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jack\fsroot\fs\26_福祉こども部\2645_子育て支援課\課共有\こども育成総務＞子育て支援\教育・保育支援課_こども育成総務課_移行用\R05_放課後児童健全育成事業関係\◆（R6引越し用）補助金\00 送付文\"/>
    </mc:Choice>
  </mc:AlternateContent>
  <xr:revisionPtr revIDLastSave="0" documentId="13_ncr:1_{32331D66-F097-492B-B0E0-E365F4B98168}" xr6:coauthVersionLast="36" xr6:coauthVersionMax="36" xr10:uidLastSave="{00000000-0000-0000-0000-000000000000}"/>
  <bookViews>
    <workbookView xWindow="0" yWindow="0" windowWidth="28800" windowHeight="11430" firstSheet="4" activeTab="5" xr2:uid="{4AF234D6-55E2-49CF-9A9C-B6BA9DC275EE}"/>
  </bookViews>
  <sheets>
    <sheet name="チェックシート１" sheetId="31" r:id="rId1"/>
    <sheet name="チェックシート２" sheetId="65" r:id="rId2"/>
    <sheet name="様式１（放課後児童名簿・利用料割引者名簿）" sheetId="52" r:id="rId3"/>
    <sheet name="様式２（クラブ児童数等報告書）" sheetId="46" r:id="rId4"/>
    <sheet name="様式３職員名簿および各種加算等一覧" sheetId="53" r:id="rId5"/>
    <sheet name="様式４年間開所カレンダー" sheetId="51" r:id="rId6"/>
    <sheet name="様式５（請求書）" sheetId="21" r:id="rId7"/>
    <sheet name="様式６（事業計画変更申請書）" sheetId="27" r:id="rId8"/>
    <sheet name="●常勤処遇改善の可能額" sheetId="55" r:id="rId9"/>
    <sheet name="●確認シート" sheetId="64" r:id="rId10"/>
    <sheet name="別紙様式２　事業実績報告書" sheetId="58" r:id="rId11"/>
    <sheet name="別紙様式２別添１　賃金改善内訳 " sheetId="59" r:id="rId12"/>
    <sheet name="参考" sheetId="60" state="hidden" r:id="rId13"/>
    <sheet name="チェックシート３ " sheetId="32" r:id="rId14"/>
    <sheet name="様式７（実績報告書）" sheetId="23" r:id="rId15"/>
    <sheet name="様式８（事業実績内訳書）" sheetId="24" r:id="rId16"/>
    <sheet name="様式９（決算書）" sheetId="35" r:id="rId17"/>
    <sheet name="様式10現在高報告書（実績報告）" sheetId="26" r:id="rId18"/>
    <sheet name="補助金算出シート（手書き用）" sheetId="63" r:id="rId19"/>
  </sheets>
  <definedNames>
    <definedName name="_xlnm._FilterDatabase" localSheetId="14" hidden="1">'様式７（実績報告書）'!$B$24:$Y$56</definedName>
    <definedName name="aaaa" localSheetId="8">#REF!</definedName>
    <definedName name="aaaa" localSheetId="2">#REF!</definedName>
    <definedName name="aaaa" localSheetId="5">#REF!</definedName>
    <definedName name="aaaa">#REF!</definedName>
    <definedName name="bbbb" localSheetId="8">#REF!</definedName>
    <definedName name="bbbb" localSheetId="2">#REF!</definedName>
    <definedName name="bbbb" localSheetId="5">#REF!</definedName>
    <definedName name="bbbb">#REF!</definedName>
    <definedName name="ｄ" localSheetId="8">#REF!,#REF!,#REF!,#REF!,#REF!,#REF!,#REF!</definedName>
    <definedName name="ｄ" localSheetId="13">#REF!,#REF!,#REF!,#REF!,#REF!,#REF!,#REF!</definedName>
    <definedName name="ｄ" localSheetId="2">#REF!,#REF!,#REF!,#REF!,#REF!,#REF!,#REF!</definedName>
    <definedName name="ｄ" localSheetId="5">#REF!,#REF!,#REF!,#REF!,#REF!,#REF!,#REF!</definedName>
    <definedName name="ｄ" localSheetId="16">#REF!,#REF!,#REF!,#REF!,#REF!,#REF!,#REF!</definedName>
    <definedName name="ｄ">#REF!,#REF!,#REF!,#REF!,#REF!,#REF!,#REF!</definedName>
    <definedName name="ｄｄｄ" localSheetId="8">#REF!,#REF!,#REF!,#REF!,#REF!,#REF!,#REF!</definedName>
    <definedName name="ｄｄｄ" localSheetId="2">#REF!,#REF!,#REF!,#REF!,#REF!,#REF!,#REF!</definedName>
    <definedName name="ｄｄｄ" localSheetId="5">#REF!,#REF!,#REF!,#REF!,#REF!,#REF!,#REF!</definedName>
    <definedName name="ｄｄｄ" localSheetId="16">#REF!,#REF!,#REF!,#REF!,#REF!,#REF!,#REF!</definedName>
    <definedName name="ｄｄｄ">#REF!,#REF!,#REF!,#REF!,#REF!,#REF!,#REF!</definedName>
    <definedName name="ｇｇ" localSheetId="8">#REF!,#REF!,#REF!,#REF!,#REF!,#REF!,#REF!</definedName>
    <definedName name="ｇｇ" localSheetId="2">#REF!,#REF!,#REF!,#REF!,#REF!,#REF!,#REF!</definedName>
    <definedName name="ｇｇ" localSheetId="5">#REF!,#REF!,#REF!,#REF!,#REF!,#REF!,#REF!</definedName>
    <definedName name="ｇｇ">#REF!,#REF!,#REF!,#REF!,#REF!,#REF!,#REF!</definedName>
    <definedName name="_xlnm.Print_Area" localSheetId="9">●確認シート!$A$1:$J$32</definedName>
    <definedName name="_xlnm.Print_Area" localSheetId="8">●常勤処遇改善の可能額!$A$1:$G$38</definedName>
    <definedName name="_xlnm.Print_Area" localSheetId="0">チェックシート１!$A$1:$K$39</definedName>
    <definedName name="_xlnm.Print_Area" localSheetId="1">チェックシート２!$A$1:$C$27</definedName>
    <definedName name="_xlnm.Print_Area" localSheetId="10">'別紙様式２　事業実績報告書'!$A$1:$AI$33</definedName>
    <definedName name="_xlnm.Print_Area" localSheetId="11">'別紙様式２別添１　賃金改善内訳 '!$A$1:$T$50</definedName>
    <definedName name="_xlnm.Print_Area" localSheetId="2">'様式１（放課後児童名簿・利用料割引者名簿）'!$A$1:$U$76</definedName>
    <definedName name="_xlnm.Print_Area" localSheetId="17">'様式10現在高報告書（実績報告）'!$A$1:$E$24</definedName>
    <definedName name="_xlnm.Print_Area" localSheetId="3">'様式２（クラブ児童数等報告書）'!$A$1:$V$44</definedName>
    <definedName name="_xlnm.Print_Area" localSheetId="4">様式３職員名簿および各種加算等一覧!$A$1:$AB$51</definedName>
    <definedName name="_xlnm.Print_Area" localSheetId="5">様式４年間開所カレンダー!$A$1:$AR$380</definedName>
    <definedName name="_xlnm.Print_Area" localSheetId="6">'様式５（請求書）'!$A$1:$X$66</definedName>
    <definedName name="_xlnm.Print_Area" localSheetId="7">'様式６（事業計画変更申請書）'!$A$1:$AA$57</definedName>
    <definedName name="_xlnm.Print_Area" localSheetId="14">'様式７（実績報告書）'!$A$1:$AA$56</definedName>
    <definedName name="_xlnm.Print_Area" localSheetId="15">'様式８（事業実績内訳書）'!$A$1:$Z$53</definedName>
    <definedName name="_xlnm.Print_Area" localSheetId="16">'様式９（決算書）'!$A$1:$AK$71</definedName>
    <definedName name="_xlnm.Print_Titles" localSheetId="11">'別紙様式２別添１　賃金改善内訳 '!$1:$5</definedName>
    <definedName name="_xlnm.Print_Titles" localSheetId="2">'様式１（放課後児童名簿・利用料割引者名簿）'!$7:$7</definedName>
    <definedName name="_xlnm.Print_Titles" localSheetId="5">様式４年間開所カレンダー!$1:$4</definedName>
    <definedName name="ｓ" localSheetId="8">#REF!,#REF!,#REF!,#REF!,#REF!,#REF!,#REF!</definedName>
    <definedName name="ｓ" localSheetId="2">#REF!,#REF!,#REF!,#REF!,#REF!,#REF!,#REF!</definedName>
    <definedName name="ｓ" localSheetId="5">#REF!,#REF!,#REF!,#REF!,#REF!,#REF!,#REF!</definedName>
    <definedName name="ｓ" localSheetId="16">#REF!,#REF!,#REF!,#REF!,#REF!,#REF!,#REF!</definedName>
    <definedName name="ｓ">#REF!,#REF!,#REF!,#REF!,#REF!,#REF!,#REF!</definedName>
    <definedName name="ss" localSheetId="8">#REF!</definedName>
    <definedName name="ss" localSheetId="2">#REF!</definedName>
    <definedName name="ss" localSheetId="5">#REF!</definedName>
    <definedName name="ss">#REF!</definedName>
    <definedName name="あ" localSheetId="8">#REF!,#REF!,#REF!,#REF!,#REF!,#REF!,#REF!</definedName>
    <definedName name="あ" localSheetId="13">#REF!,#REF!,#REF!,#REF!,#REF!,#REF!,#REF!</definedName>
    <definedName name="あ" localSheetId="2">#REF!,#REF!,#REF!,#REF!,#REF!,#REF!,#REF!</definedName>
    <definedName name="あ" localSheetId="5">#REF!,#REF!,#REF!,#REF!,#REF!,#REF!,#REF!</definedName>
    <definedName name="あ" localSheetId="16">#REF!,#REF!,#REF!,#REF!,#REF!,#REF!,#REF!</definedName>
    <definedName name="あ">#REF!,#REF!,#REF!,#REF!,#REF!,#REF!,#REF!</definedName>
    <definedName name="ひとり親・兄弟姉妹計算シート" localSheetId="8">#REF!,#REF!,#REF!,#REF!,#REF!,#REF!,#REF!</definedName>
    <definedName name="ひとり親・兄弟姉妹計算シート" localSheetId="13">#REF!,#REF!,#REF!,#REF!,#REF!,#REF!,#REF!</definedName>
    <definedName name="ひとり親・兄弟姉妹計算シート" localSheetId="2">#REF!,#REF!,#REF!,#REF!,#REF!,#REF!,#REF!</definedName>
    <definedName name="ひとり親・兄弟姉妹計算シート" localSheetId="5">#REF!,#REF!,#REF!,#REF!,#REF!,#REF!,#REF!</definedName>
    <definedName name="ひとり親・兄弟姉妹計算シート">#REF!,#REF!,#REF!,#REF!,#REF!,#REF!,#REF!</definedName>
    <definedName name="後" localSheetId="8">#REF!,#REF!,#REF!,#REF!,#REF!,#REF!,#REF!</definedName>
    <definedName name="後" localSheetId="13">#REF!,#REF!,#REF!,#REF!,#REF!,#REF!,#REF!</definedName>
    <definedName name="後" localSheetId="2">#REF!,#REF!,#REF!,#REF!,#REF!,#REF!,#REF!</definedName>
    <definedName name="後" localSheetId="5">#REF!,#REF!,#REF!,#REF!,#REF!,#REF!,#REF!</definedName>
    <definedName name="後">#REF!,#REF!,#REF!,#REF!,#REF!,#REF!,#REF!</definedName>
    <definedName name="後期" localSheetId="8">#REF!,#REF!,#REF!,#REF!,#REF!,#REF!,#REF!</definedName>
    <definedName name="後期" localSheetId="13">#REF!,#REF!,#REF!,#REF!,#REF!,#REF!,#REF!</definedName>
    <definedName name="後期" localSheetId="2">#REF!,#REF!,#REF!,#REF!,#REF!,#REF!,#REF!</definedName>
    <definedName name="後期" localSheetId="5">#REF!,#REF!,#REF!,#REF!,#REF!,#REF!,#REF!</definedName>
    <definedName name="後期">#REF!,#REF!,#REF!,#REF!,#REF!,#REF!,#REF!</definedName>
    <definedName name="後曜" localSheetId="8">#REF!,#REF!,#REF!,#REF!,#REF!,#REF!,#REF!</definedName>
    <definedName name="後曜" localSheetId="13">#REF!,#REF!,#REF!,#REF!,#REF!,#REF!,#REF!</definedName>
    <definedName name="後曜" localSheetId="2">#REF!,#REF!,#REF!,#REF!,#REF!,#REF!,#REF!</definedName>
    <definedName name="後曜" localSheetId="5">#REF!,#REF!,#REF!,#REF!,#REF!,#REF!,#REF!</definedName>
    <definedName name="後曜">#REF!,#REF!,#REF!,#REF!,#REF!,#REF!,#REF!</definedName>
    <definedName name="手書き" localSheetId="8">#REF!,#REF!,#REF!,#REF!,#REF!,#REF!,#REF!</definedName>
    <definedName name="手書き" localSheetId="13">#REF!,#REF!,#REF!,#REF!,#REF!,#REF!,#REF!</definedName>
    <definedName name="手書き" localSheetId="2">#REF!,#REF!,#REF!,#REF!,#REF!,#REF!,#REF!</definedName>
    <definedName name="手書き" localSheetId="5">#REF!,#REF!,#REF!,#REF!,#REF!,#REF!,#REF!</definedName>
    <definedName name="手書き">#REF!,#REF!,#REF!,#REF!,#REF!,#REF!,#REF!</definedName>
    <definedName name="前期" localSheetId="8">#REF!,#REF!,#REF!,#REF!,#REF!,#REF!</definedName>
    <definedName name="前期" localSheetId="13">#REF!,#REF!,#REF!,#REF!,#REF!,#REF!</definedName>
    <definedName name="前期" localSheetId="2">#REF!,#REF!,#REF!,#REF!,#REF!,#REF!</definedName>
    <definedName name="前期" localSheetId="5">#REF!,#REF!,#REF!,#REF!,#REF!,#REF!</definedName>
    <definedName name="前期" localSheetId="16">#REF!,#REF!,#REF!,#REF!,#REF!,#REF!</definedName>
    <definedName name="前期">#REF!,#REF!,#REF!,#REF!,#REF!,#REF!</definedName>
    <definedName name="前曜" localSheetId="8">#REF!,#REF!,#REF!,#REF!,#REF!,#REF!</definedName>
    <definedName name="前曜" localSheetId="13">#REF!,#REF!,#REF!,#REF!,#REF!,#REF!</definedName>
    <definedName name="前曜" localSheetId="2">#REF!,#REF!,#REF!,#REF!,#REF!,#REF!</definedName>
    <definedName name="前曜" localSheetId="5">#REF!,#REF!,#REF!,#REF!,#REF!,#REF!</definedName>
    <definedName name="前曜">#REF!,#REF!,#REF!,#REF!,#REF!,#REF!</definedName>
    <definedName name="分割１" localSheetId="8">#REF!,#REF!,#REF!,#REF!,#REF!,#REF!,#REF!</definedName>
    <definedName name="分割１" localSheetId="13">#REF!,#REF!,#REF!,#REF!,#REF!,#REF!,#REF!</definedName>
    <definedName name="分割１" localSheetId="2">#REF!,#REF!,#REF!,#REF!,#REF!,#REF!,#REF!</definedName>
    <definedName name="分割１" localSheetId="5">#REF!,#REF!,#REF!,#REF!,#REF!,#REF!,#REF!</definedName>
    <definedName name="分割１" localSheetId="16">#REF!,#REF!,#REF!,#REF!,#REF!,#REF!,#REF!</definedName>
    <definedName name="分割１">#REF!,#REF!,#REF!,#REF!,#REF!,#REF!,#REF!</definedName>
    <definedName name="保育所別民改費担当者一覧" localSheetId="8">#REF!</definedName>
    <definedName name="保育所別民改費担当者一覧" localSheetId="2">#REF!</definedName>
    <definedName name="保育所別民改費担当者一覧" localSheetId="5">#REF!</definedName>
    <definedName name="保育所別民改費担当者一覧">#REF!</definedName>
  </definedNames>
  <calcPr calcId="191029"/>
</workbook>
</file>

<file path=xl/calcChain.xml><?xml version="1.0" encoding="utf-8"?>
<calcChain xmlns="http://schemas.openxmlformats.org/spreadsheetml/2006/main">
  <c r="C12" i="65" l="1"/>
  <c r="C14" i="65" l="1"/>
  <c r="C13" i="65" l="1"/>
  <c r="C11" i="65"/>
  <c r="D10" i="65"/>
  <c r="C9" i="65"/>
  <c r="D8" i="65"/>
  <c r="W7" i="65"/>
  <c r="V7" i="65"/>
  <c r="U7" i="65"/>
  <c r="T7" i="65"/>
  <c r="S7" i="65"/>
  <c r="R7" i="65"/>
  <c r="Q7" i="65"/>
  <c r="P7" i="65"/>
  <c r="O7" i="65"/>
  <c r="N7" i="65"/>
  <c r="M7" i="65"/>
  <c r="L7" i="65"/>
  <c r="K7" i="65"/>
  <c r="J7" i="65"/>
  <c r="I7" i="65"/>
  <c r="H7" i="65"/>
  <c r="G7" i="65"/>
  <c r="F7" i="65"/>
  <c r="E7" i="65"/>
  <c r="C7" i="65" s="1"/>
  <c r="D7" i="65"/>
  <c r="W6" i="65"/>
  <c r="V6" i="65"/>
  <c r="U6" i="65"/>
  <c r="T6" i="65"/>
  <c r="S6" i="65"/>
  <c r="R6" i="65"/>
  <c r="Q6" i="65"/>
  <c r="P6" i="65"/>
  <c r="O6" i="65"/>
  <c r="N6" i="65"/>
  <c r="M6" i="65"/>
  <c r="L6" i="65"/>
  <c r="K6" i="65"/>
  <c r="J6" i="65"/>
  <c r="I6" i="65"/>
  <c r="H6" i="65"/>
  <c r="G6" i="65"/>
  <c r="F6" i="65"/>
  <c r="E6" i="65"/>
  <c r="D6" i="65"/>
  <c r="C5" i="65"/>
  <c r="C4" i="65"/>
  <c r="D3" i="65"/>
  <c r="C3" i="65" s="1"/>
  <c r="D2" i="65"/>
  <c r="C2" i="65" s="1"/>
  <c r="C6" i="65"/>
  <c r="C10" i="65"/>
  <c r="C8" i="65"/>
  <c r="D14" i="64" l="1"/>
  <c r="D15" i="64"/>
  <c r="D16" i="64"/>
  <c r="D17" i="64"/>
  <c r="D18" i="64"/>
  <c r="D19" i="64"/>
  <c r="D20" i="64"/>
  <c r="D21" i="64"/>
  <c r="D22" i="64"/>
  <c r="D23" i="64"/>
  <c r="D24" i="64"/>
  <c r="D25" i="64"/>
  <c r="D26" i="64"/>
  <c r="D27" i="64"/>
  <c r="D28" i="64"/>
  <c r="D29" i="64"/>
  <c r="D30" i="64"/>
  <c r="D31" i="64"/>
  <c r="D32" i="64"/>
  <c r="D13" i="64"/>
  <c r="G2" i="64" l="1"/>
  <c r="D9" i="26" l="1"/>
  <c r="B9" i="26"/>
  <c r="E9" i="26" l="1"/>
  <c r="G12" i="55"/>
  <c r="N320" i="51"/>
  <c r="D371" i="51" l="1"/>
  <c r="P9" i="46" l="1"/>
  <c r="P6" i="46"/>
  <c r="R52" i="35" l="1"/>
  <c r="U53" i="52" l="1"/>
  <c r="U52" i="52"/>
  <c r="U51" i="52"/>
  <c r="U50" i="52"/>
  <c r="U49" i="52"/>
  <c r="U48" i="52"/>
  <c r="U46" i="52"/>
  <c r="U47" i="52"/>
  <c r="T47" i="52"/>
  <c r="T46" i="52"/>
  <c r="T45" i="52"/>
  <c r="T44" i="52"/>
  <c r="T43" i="52"/>
  <c r="T42" i="52"/>
  <c r="T41" i="52"/>
  <c r="T40" i="52"/>
  <c r="T39" i="52"/>
  <c r="T38" i="52"/>
  <c r="U72" i="52" l="1"/>
  <c r="U9" i="52"/>
  <c r="U10" i="52"/>
  <c r="U11" i="52"/>
  <c r="U12" i="52"/>
  <c r="U13" i="52"/>
  <c r="U14" i="52"/>
  <c r="U15" i="52"/>
  <c r="U16" i="52"/>
  <c r="U17" i="52"/>
  <c r="U18" i="52"/>
  <c r="U19" i="52"/>
  <c r="U20" i="52"/>
  <c r="U21" i="52"/>
  <c r="U22" i="52"/>
  <c r="U23" i="52"/>
  <c r="U24" i="52"/>
  <c r="U25" i="52"/>
  <c r="U26" i="52"/>
  <c r="U27" i="52"/>
  <c r="U28" i="52"/>
  <c r="U29" i="52"/>
  <c r="U30" i="52"/>
  <c r="U31" i="52"/>
  <c r="U32" i="52"/>
  <c r="U33" i="52"/>
  <c r="U34" i="52"/>
  <c r="U35" i="52"/>
  <c r="U36" i="52"/>
  <c r="U37" i="52"/>
  <c r="U38" i="52"/>
  <c r="U39" i="52"/>
  <c r="U40" i="52"/>
  <c r="U41" i="52"/>
  <c r="U42" i="52"/>
  <c r="U43" i="52"/>
  <c r="U44" i="52"/>
  <c r="U45" i="52"/>
  <c r="U54" i="52"/>
  <c r="U55" i="52"/>
  <c r="U56" i="52"/>
  <c r="U57" i="52"/>
  <c r="U58" i="52"/>
  <c r="U59" i="52"/>
  <c r="U60" i="52"/>
  <c r="U61" i="52"/>
  <c r="U62" i="52"/>
  <c r="U63" i="52"/>
  <c r="U64" i="52"/>
  <c r="U65" i="52"/>
  <c r="U66" i="52"/>
  <c r="U67" i="52"/>
  <c r="U68" i="52"/>
  <c r="U69" i="52"/>
  <c r="U70" i="52"/>
  <c r="U71" i="52"/>
  <c r="U8" i="52"/>
  <c r="T72" i="52"/>
  <c r="T9" i="52"/>
  <c r="T10" i="52"/>
  <c r="T11" i="52"/>
  <c r="T12" i="52"/>
  <c r="T13" i="52"/>
  <c r="T14" i="52"/>
  <c r="T15" i="52"/>
  <c r="T16" i="52"/>
  <c r="T17" i="52"/>
  <c r="T18" i="52"/>
  <c r="T19" i="52"/>
  <c r="T20" i="52"/>
  <c r="T21" i="52"/>
  <c r="T22" i="52"/>
  <c r="T23" i="52"/>
  <c r="T24" i="52"/>
  <c r="T25" i="52"/>
  <c r="T26" i="52"/>
  <c r="T27" i="52"/>
  <c r="T28" i="52"/>
  <c r="T29" i="52"/>
  <c r="T30" i="52"/>
  <c r="T31" i="52"/>
  <c r="T32" i="52"/>
  <c r="T33" i="52"/>
  <c r="T34" i="52"/>
  <c r="T35" i="52"/>
  <c r="T36" i="52"/>
  <c r="T37" i="52"/>
  <c r="T48" i="52"/>
  <c r="T49" i="52"/>
  <c r="T50" i="52"/>
  <c r="T51" i="52"/>
  <c r="T52" i="52"/>
  <c r="T53" i="52"/>
  <c r="T54" i="52"/>
  <c r="T55" i="52"/>
  <c r="T56" i="52"/>
  <c r="T57" i="52"/>
  <c r="T58" i="52"/>
  <c r="T59" i="52"/>
  <c r="T60" i="52"/>
  <c r="T61" i="52"/>
  <c r="T62" i="52"/>
  <c r="T63" i="52"/>
  <c r="T64" i="52"/>
  <c r="T65" i="52"/>
  <c r="T66" i="52"/>
  <c r="T67" i="52"/>
  <c r="T68" i="52"/>
  <c r="T69" i="52"/>
  <c r="T70" i="52"/>
  <c r="T71" i="52"/>
  <c r="T8" i="52"/>
  <c r="R27" i="53" l="1"/>
  <c r="H26" i="46" l="1"/>
  <c r="H25" i="46"/>
  <c r="AA33" i="58" l="1"/>
  <c r="V7" i="58"/>
  <c r="U36" i="27" l="1"/>
  <c r="P34" i="27"/>
  <c r="P37" i="27"/>
  <c r="P36" i="27" s="1"/>
  <c r="Q2" i="53" l="1"/>
  <c r="N2" i="46"/>
  <c r="J26" i="46"/>
  <c r="D12" i="46"/>
  <c r="D13" i="46" s="1"/>
  <c r="G17" i="55" l="1"/>
  <c r="P35" i="27" l="1"/>
  <c r="AR337" i="51" l="1"/>
  <c r="AQ337" i="51"/>
  <c r="M337" i="51"/>
  <c r="K337" i="51"/>
  <c r="L337" i="51" s="1"/>
  <c r="I337" i="51"/>
  <c r="H337" i="51"/>
  <c r="G337" i="51"/>
  <c r="N337" i="51" s="1"/>
  <c r="O337" i="51" s="1"/>
  <c r="J337" i="51" l="1"/>
  <c r="AR358" i="51"/>
  <c r="AQ358" i="51"/>
  <c r="AR7" i="51"/>
  <c r="AR8" i="51"/>
  <c r="AR9" i="51"/>
  <c r="AR10" i="51"/>
  <c r="AR11" i="51"/>
  <c r="AR12" i="51"/>
  <c r="AR13" i="51"/>
  <c r="AR14" i="51"/>
  <c r="AR15" i="51"/>
  <c r="AR16" i="51"/>
  <c r="AR17" i="51"/>
  <c r="AR18" i="51"/>
  <c r="AR19" i="51"/>
  <c r="AR20" i="51"/>
  <c r="AR21" i="51"/>
  <c r="AR22" i="51"/>
  <c r="AR23" i="51"/>
  <c r="AR24" i="51"/>
  <c r="AR25" i="51"/>
  <c r="AR26" i="51"/>
  <c r="AR27" i="51"/>
  <c r="AR28" i="51"/>
  <c r="AR29" i="51"/>
  <c r="AR30" i="51"/>
  <c r="AR31" i="51"/>
  <c r="AR32" i="51"/>
  <c r="AR33" i="51"/>
  <c r="AR34" i="51"/>
  <c r="AR35" i="51"/>
  <c r="AR36" i="51"/>
  <c r="AR37" i="51"/>
  <c r="AR38" i="51"/>
  <c r="AR39" i="51"/>
  <c r="AR40" i="51"/>
  <c r="AR41" i="51"/>
  <c r="AR42" i="51"/>
  <c r="AR43" i="51"/>
  <c r="AR44" i="51"/>
  <c r="AR45" i="51"/>
  <c r="AR46" i="51"/>
  <c r="AR47" i="51"/>
  <c r="AR48" i="51"/>
  <c r="AR49" i="51"/>
  <c r="AR50" i="51"/>
  <c r="AR51" i="51"/>
  <c r="AR52" i="51"/>
  <c r="AR53" i="51"/>
  <c r="AR54" i="51"/>
  <c r="AR55" i="51"/>
  <c r="AR56" i="51"/>
  <c r="AR57" i="51"/>
  <c r="AR58" i="51"/>
  <c r="AR59" i="51"/>
  <c r="AR60" i="51"/>
  <c r="AR61" i="51"/>
  <c r="AR62" i="51"/>
  <c r="AR63" i="51"/>
  <c r="AR64" i="51"/>
  <c r="AR65" i="51"/>
  <c r="AR66" i="51"/>
  <c r="AR67" i="51"/>
  <c r="AR68" i="51"/>
  <c r="AR69" i="51"/>
  <c r="AR70" i="51"/>
  <c r="AR71" i="51"/>
  <c r="AR72" i="51"/>
  <c r="AR73" i="51"/>
  <c r="AR74" i="51"/>
  <c r="AR75" i="51"/>
  <c r="AR76" i="51"/>
  <c r="AR77" i="51"/>
  <c r="AR78" i="51"/>
  <c r="AR79" i="51"/>
  <c r="AR80" i="51"/>
  <c r="AR81" i="51"/>
  <c r="AR82" i="51"/>
  <c r="AR83" i="51"/>
  <c r="AR84" i="51"/>
  <c r="AR85" i="51"/>
  <c r="AR86" i="51"/>
  <c r="AR87" i="51"/>
  <c r="AR88" i="51"/>
  <c r="AR89" i="51"/>
  <c r="AR90" i="51"/>
  <c r="AR91" i="51"/>
  <c r="AR92" i="51"/>
  <c r="AR93" i="51"/>
  <c r="AR94" i="51"/>
  <c r="AR95" i="51"/>
  <c r="AR96" i="51"/>
  <c r="AR97" i="51"/>
  <c r="AR98" i="51"/>
  <c r="AR99" i="51"/>
  <c r="AR100" i="51"/>
  <c r="AR101" i="51"/>
  <c r="AR102" i="51"/>
  <c r="AR103" i="51"/>
  <c r="AR104" i="51"/>
  <c r="AR105" i="51"/>
  <c r="AR106" i="51"/>
  <c r="AR107" i="51"/>
  <c r="AR108" i="51"/>
  <c r="AR109" i="51"/>
  <c r="AR110" i="51"/>
  <c r="AR111" i="51"/>
  <c r="AR112" i="51"/>
  <c r="AR113" i="51"/>
  <c r="AR114" i="51"/>
  <c r="AR115" i="51"/>
  <c r="AR116" i="51"/>
  <c r="AR117" i="51"/>
  <c r="AR118" i="51"/>
  <c r="AR119" i="51"/>
  <c r="AR120" i="51"/>
  <c r="AR121" i="51"/>
  <c r="AR122" i="51"/>
  <c r="AR123" i="51"/>
  <c r="AR124" i="51"/>
  <c r="AR125" i="51"/>
  <c r="AR126" i="51"/>
  <c r="AR127" i="51"/>
  <c r="AR128" i="51"/>
  <c r="AR129" i="51"/>
  <c r="AR130" i="51"/>
  <c r="AR131" i="51"/>
  <c r="AR132" i="51"/>
  <c r="AR133" i="51"/>
  <c r="AR134" i="51"/>
  <c r="AR135" i="51"/>
  <c r="AR136" i="51"/>
  <c r="AR137" i="51"/>
  <c r="AR138" i="51"/>
  <c r="AR139" i="51"/>
  <c r="AR140" i="51"/>
  <c r="AR141" i="51"/>
  <c r="AR142" i="51"/>
  <c r="AR143" i="51"/>
  <c r="AR144" i="51"/>
  <c r="AR145" i="51"/>
  <c r="AR146" i="51"/>
  <c r="AR147" i="51"/>
  <c r="AR148" i="51"/>
  <c r="AR149" i="51"/>
  <c r="AR150" i="51"/>
  <c r="AR151" i="51"/>
  <c r="AR152" i="51"/>
  <c r="AR153" i="51"/>
  <c r="AR154" i="51"/>
  <c r="AR155" i="51"/>
  <c r="AR156" i="51"/>
  <c r="AR157" i="51"/>
  <c r="AR158" i="51"/>
  <c r="AR159" i="51"/>
  <c r="AR160" i="51"/>
  <c r="AR161" i="51"/>
  <c r="AR162" i="51"/>
  <c r="AR163" i="51"/>
  <c r="AR164" i="51"/>
  <c r="AR165" i="51"/>
  <c r="AR166" i="51"/>
  <c r="AR167" i="51"/>
  <c r="AR168" i="51"/>
  <c r="AR169" i="51"/>
  <c r="AR170" i="51"/>
  <c r="AR171" i="51"/>
  <c r="AR172" i="51"/>
  <c r="AR173" i="51"/>
  <c r="AR174" i="51"/>
  <c r="AR175" i="51"/>
  <c r="AR176" i="51"/>
  <c r="AR177" i="51"/>
  <c r="AR178" i="51"/>
  <c r="AR179" i="51"/>
  <c r="AR180" i="51"/>
  <c r="AR181" i="51"/>
  <c r="AR182" i="51"/>
  <c r="AR183" i="51"/>
  <c r="AR184" i="51"/>
  <c r="AR185" i="51"/>
  <c r="AR186" i="51"/>
  <c r="AR187" i="51"/>
  <c r="AR188" i="51"/>
  <c r="AR189" i="51"/>
  <c r="AR190" i="51"/>
  <c r="AR191" i="51"/>
  <c r="AR192" i="51"/>
  <c r="AR193" i="51"/>
  <c r="AR194" i="51"/>
  <c r="AR195" i="51"/>
  <c r="AR196" i="51"/>
  <c r="AR197" i="51"/>
  <c r="AR198" i="51"/>
  <c r="AR199" i="51"/>
  <c r="AR200" i="51"/>
  <c r="AR201" i="51"/>
  <c r="AR202" i="51"/>
  <c r="AR203" i="51"/>
  <c r="AR204" i="51"/>
  <c r="AR205" i="51"/>
  <c r="AR206" i="51"/>
  <c r="AR207" i="51"/>
  <c r="AR208" i="51"/>
  <c r="AR209" i="51"/>
  <c r="AR210" i="51"/>
  <c r="AR211" i="51"/>
  <c r="AR212" i="51"/>
  <c r="AR213" i="51"/>
  <c r="AR214" i="51"/>
  <c r="AR215" i="51"/>
  <c r="AR216" i="51"/>
  <c r="AR217" i="51"/>
  <c r="AR218" i="51"/>
  <c r="AR219" i="51"/>
  <c r="AR220" i="51"/>
  <c r="AR221" i="51"/>
  <c r="AR222" i="51"/>
  <c r="AR223" i="51"/>
  <c r="AR224" i="51"/>
  <c r="AR225" i="51"/>
  <c r="AR226" i="51"/>
  <c r="AR227" i="51"/>
  <c r="AR228" i="51"/>
  <c r="AR229" i="51"/>
  <c r="AR230" i="51"/>
  <c r="AR231" i="51"/>
  <c r="AR232" i="51"/>
  <c r="AR233" i="51"/>
  <c r="AR234" i="51"/>
  <c r="AR235" i="51"/>
  <c r="AR236" i="51"/>
  <c r="AR237" i="51"/>
  <c r="AR238" i="51"/>
  <c r="AR239" i="51"/>
  <c r="AR240" i="51"/>
  <c r="AR241" i="51"/>
  <c r="AR242" i="51"/>
  <c r="AR243" i="51"/>
  <c r="AR244" i="51"/>
  <c r="AR245" i="51"/>
  <c r="AR246" i="51"/>
  <c r="AR247" i="51"/>
  <c r="AR248" i="51"/>
  <c r="AR249" i="51"/>
  <c r="AR250" i="51"/>
  <c r="AR251" i="51"/>
  <c r="AR252" i="51"/>
  <c r="AR253" i="51"/>
  <c r="AR254" i="51"/>
  <c r="AR255" i="51"/>
  <c r="AR256" i="51"/>
  <c r="AR257" i="51"/>
  <c r="AR258" i="51"/>
  <c r="AR259" i="51"/>
  <c r="AR260" i="51"/>
  <c r="AR261" i="51"/>
  <c r="AR262" i="51"/>
  <c r="AR263" i="51"/>
  <c r="AR264" i="51"/>
  <c r="AR265" i="51"/>
  <c r="AR266" i="51"/>
  <c r="AR267" i="51"/>
  <c r="AR268" i="51"/>
  <c r="AR269" i="51"/>
  <c r="AR270" i="51"/>
  <c r="AR271" i="51"/>
  <c r="AR272" i="51"/>
  <c r="AR273" i="51"/>
  <c r="AR274" i="51"/>
  <c r="AR275" i="51"/>
  <c r="AR276" i="51"/>
  <c r="AR277" i="51"/>
  <c r="AR278" i="51"/>
  <c r="AR279" i="51"/>
  <c r="AR280" i="51"/>
  <c r="AR281" i="51"/>
  <c r="AR282" i="51"/>
  <c r="AR283" i="51"/>
  <c r="AR284" i="51"/>
  <c r="AR285" i="51"/>
  <c r="AR286" i="51"/>
  <c r="AR287" i="51"/>
  <c r="AR288" i="51"/>
  <c r="AR289" i="51"/>
  <c r="AR290" i="51"/>
  <c r="AR291" i="51"/>
  <c r="AR292" i="51"/>
  <c r="AR293" i="51"/>
  <c r="AR294" i="51"/>
  <c r="AR295" i="51"/>
  <c r="AR296" i="51"/>
  <c r="AR297" i="51"/>
  <c r="AR298" i="51"/>
  <c r="AR299" i="51"/>
  <c r="AR300" i="51"/>
  <c r="AR301" i="51"/>
  <c r="AR302" i="51"/>
  <c r="AR303" i="51"/>
  <c r="AR304" i="51"/>
  <c r="AR305" i="51"/>
  <c r="AR306" i="51"/>
  <c r="AR307" i="51"/>
  <c r="AR308" i="51"/>
  <c r="AR309" i="51"/>
  <c r="AR310" i="51"/>
  <c r="AR311" i="51"/>
  <c r="AR312" i="51"/>
  <c r="AR313" i="51"/>
  <c r="AR314" i="51"/>
  <c r="AR315" i="51"/>
  <c r="AR316" i="51"/>
  <c r="AR317" i="51"/>
  <c r="AR318" i="51"/>
  <c r="AR319" i="51"/>
  <c r="AR320" i="51"/>
  <c r="AR321" i="51"/>
  <c r="AR322" i="51"/>
  <c r="AR323" i="51"/>
  <c r="AR324" i="51"/>
  <c r="AR325" i="51"/>
  <c r="AR326" i="51"/>
  <c r="AR327" i="51"/>
  <c r="AR328" i="51"/>
  <c r="AR329" i="51"/>
  <c r="AR330" i="51"/>
  <c r="AR331" i="51"/>
  <c r="AR332" i="51"/>
  <c r="AR333" i="51"/>
  <c r="AR334" i="51"/>
  <c r="AR335" i="51"/>
  <c r="AR336" i="51"/>
  <c r="AR338" i="51"/>
  <c r="AR339" i="51"/>
  <c r="AR340" i="51"/>
  <c r="AR341" i="51"/>
  <c r="AR342" i="51"/>
  <c r="AR343" i="51"/>
  <c r="AR344" i="51"/>
  <c r="AR345" i="51"/>
  <c r="AR346" i="51"/>
  <c r="AR347" i="51"/>
  <c r="AR348" i="51"/>
  <c r="AR349" i="51"/>
  <c r="AR350" i="51"/>
  <c r="AR351" i="51"/>
  <c r="AR352" i="51"/>
  <c r="AR353" i="51"/>
  <c r="AR354" i="51"/>
  <c r="AR355" i="51"/>
  <c r="AR356" i="51"/>
  <c r="AR357" i="51"/>
  <c r="AR359" i="51"/>
  <c r="AR360" i="51"/>
  <c r="AR361" i="51"/>
  <c r="AR362" i="51"/>
  <c r="AR363" i="51"/>
  <c r="AR364" i="51"/>
  <c r="AR365" i="51"/>
  <c r="AR366" i="51"/>
  <c r="AR367" i="51"/>
  <c r="AR368" i="51"/>
  <c r="AR369" i="51"/>
  <c r="AR370" i="51"/>
  <c r="AR6" i="51"/>
  <c r="AR5" i="51"/>
  <c r="L380" i="51" l="1"/>
  <c r="AA29" i="53" l="1"/>
  <c r="H35" i="31" l="1"/>
  <c r="Q12" i="59" l="1"/>
  <c r="Q13" i="59"/>
  <c r="Q14" i="59"/>
  <c r="Q15" i="59"/>
  <c r="Q16" i="59"/>
  <c r="Q17" i="59"/>
  <c r="Q18" i="59"/>
  <c r="Q19" i="59"/>
  <c r="Q20" i="59"/>
  <c r="Q21" i="59"/>
  <c r="Q22" i="59"/>
  <c r="Q23" i="59"/>
  <c r="Q24" i="59"/>
  <c r="Q25" i="59"/>
  <c r="Q26" i="59"/>
  <c r="Q27" i="59"/>
  <c r="Q28" i="59"/>
  <c r="Q29" i="59"/>
  <c r="Q30" i="59"/>
  <c r="Q31" i="59"/>
  <c r="Q32" i="59"/>
  <c r="Q33" i="59"/>
  <c r="Q34" i="59"/>
  <c r="Q35" i="59"/>
  <c r="Q36" i="59"/>
  <c r="Q37" i="59"/>
  <c r="Q38" i="59"/>
  <c r="Q39" i="59"/>
  <c r="Q40" i="59"/>
  <c r="Q11" i="59"/>
  <c r="W1" i="51" l="1"/>
  <c r="R7" i="35" l="1"/>
  <c r="AV31" i="51" l="1"/>
  <c r="AV30" i="51"/>
  <c r="AV29" i="51"/>
  <c r="AV28" i="51"/>
  <c r="AV27" i="51"/>
  <c r="AV26" i="51"/>
  <c r="AV25" i="51"/>
  <c r="AV24" i="51"/>
  <c r="AV23" i="51"/>
  <c r="AV22" i="51"/>
  <c r="AV21" i="51"/>
  <c r="AV20" i="51"/>
  <c r="AV19" i="51"/>
  <c r="AV18" i="51"/>
  <c r="AV17" i="51"/>
  <c r="AV16" i="51"/>
  <c r="AV15" i="51"/>
  <c r="AV14" i="51"/>
  <c r="AV13" i="51"/>
  <c r="AV12" i="51" l="1"/>
  <c r="AU31" i="51"/>
  <c r="AU30" i="51"/>
  <c r="AU29" i="51"/>
  <c r="AU28" i="51"/>
  <c r="AU27" i="51"/>
  <c r="AU26" i="51"/>
  <c r="AU25" i="51"/>
  <c r="AU24" i="51"/>
  <c r="AU23" i="51"/>
  <c r="AU22" i="51"/>
  <c r="AU21" i="51"/>
  <c r="AU20" i="51"/>
  <c r="AU19" i="51"/>
  <c r="AU18" i="51"/>
  <c r="AU17" i="51"/>
  <c r="AU16" i="51"/>
  <c r="AU15" i="51"/>
  <c r="AU14" i="51"/>
  <c r="AT14" i="51"/>
  <c r="AU13" i="51"/>
  <c r="AU12" i="51"/>
  <c r="AT31" i="51"/>
  <c r="AT30" i="51"/>
  <c r="AT29" i="51"/>
  <c r="AT28" i="51"/>
  <c r="AT27" i="51"/>
  <c r="AT26" i="51"/>
  <c r="AT25" i="51"/>
  <c r="AT24" i="51"/>
  <c r="AT23" i="51"/>
  <c r="AT22" i="51"/>
  <c r="AT21" i="51"/>
  <c r="AT20" i="51"/>
  <c r="AT19" i="51"/>
  <c r="AT18" i="51"/>
  <c r="AT17" i="51"/>
  <c r="AT16" i="51"/>
  <c r="AT15" i="51"/>
  <c r="AT13" i="51"/>
  <c r="AT12" i="51"/>
  <c r="W5" i="51" l="1"/>
  <c r="T5" i="51"/>
  <c r="U5" i="51"/>
  <c r="U8" i="51"/>
  <c r="U9" i="51"/>
  <c r="U10" i="51"/>
  <c r="U11" i="51"/>
  <c r="U12" i="51"/>
  <c r="T9" i="51"/>
  <c r="T10" i="51"/>
  <c r="T12" i="51"/>
  <c r="T8" i="51"/>
  <c r="T11" i="51"/>
  <c r="AM370" i="51"/>
  <c r="AM369" i="51"/>
  <c r="AM368" i="51"/>
  <c r="AM367" i="51"/>
  <c r="AM366" i="51"/>
  <c r="AM365" i="51"/>
  <c r="AM364" i="51"/>
  <c r="AM363" i="51"/>
  <c r="AM362" i="51"/>
  <c r="AM361" i="51"/>
  <c r="AM360" i="51"/>
  <c r="AM359" i="51"/>
  <c r="AM358" i="51"/>
  <c r="AM357" i="51"/>
  <c r="AM356" i="51"/>
  <c r="AM355" i="51"/>
  <c r="AM354" i="51"/>
  <c r="AM353" i="51"/>
  <c r="AM352" i="51"/>
  <c r="AM351" i="51"/>
  <c r="AM350" i="51"/>
  <c r="AM349" i="51"/>
  <c r="AM348" i="51"/>
  <c r="AM347" i="51"/>
  <c r="AM346" i="51"/>
  <c r="AM345" i="51"/>
  <c r="AM344" i="51"/>
  <c r="AM343" i="51"/>
  <c r="AM342" i="51"/>
  <c r="AM341" i="51"/>
  <c r="AM340" i="51"/>
  <c r="AM339" i="51"/>
  <c r="AM338" i="51"/>
  <c r="AM337" i="51"/>
  <c r="AM336" i="51"/>
  <c r="AM335" i="51"/>
  <c r="AM334" i="51"/>
  <c r="AM333" i="51"/>
  <c r="AM332" i="51"/>
  <c r="AM331" i="51"/>
  <c r="AM330" i="51"/>
  <c r="AM329" i="51"/>
  <c r="AM328" i="51"/>
  <c r="AM327" i="51"/>
  <c r="AM326" i="51"/>
  <c r="AM325" i="51"/>
  <c r="AM324" i="51"/>
  <c r="AM323" i="51"/>
  <c r="AM322" i="51"/>
  <c r="AM321" i="51"/>
  <c r="AM320" i="51"/>
  <c r="AM319" i="51"/>
  <c r="AM318" i="51"/>
  <c r="AM317" i="51"/>
  <c r="AM316" i="51"/>
  <c r="AM315" i="51"/>
  <c r="AM314" i="51"/>
  <c r="AM313" i="51"/>
  <c r="AM312" i="51"/>
  <c r="AM311" i="51"/>
  <c r="AM310" i="51"/>
  <c r="AM309" i="51"/>
  <c r="AM308" i="51"/>
  <c r="AM307" i="51"/>
  <c r="AM306" i="51"/>
  <c r="AM305" i="51"/>
  <c r="AM304" i="51"/>
  <c r="AM303" i="51"/>
  <c r="AM302" i="51"/>
  <c r="AM301" i="51"/>
  <c r="AM300" i="51"/>
  <c r="AM299" i="51"/>
  <c r="AM298" i="51"/>
  <c r="AM297" i="51"/>
  <c r="AM296" i="51"/>
  <c r="AM295" i="51"/>
  <c r="AM294" i="51"/>
  <c r="AM293" i="51"/>
  <c r="AM292" i="51"/>
  <c r="AM291" i="51"/>
  <c r="AM290" i="51"/>
  <c r="AM289" i="51"/>
  <c r="AM288" i="51"/>
  <c r="AM287" i="51"/>
  <c r="AM286" i="51"/>
  <c r="AL369" i="51"/>
  <c r="AL367" i="51"/>
  <c r="AL365" i="51"/>
  <c r="AL363" i="51"/>
  <c r="AL361" i="51"/>
  <c r="AL359" i="51"/>
  <c r="AL357" i="51"/>
  <c r="AL355" i="51"/>
  <c r="AL353" i="51"/>
  <c r="AL351" i="51"/>
  <c r="AL349" i="51"/>
  <c r="AL347" i="51"/>
  <c r="AL345" i="51"/>
  <c r="AL343" i="51"/>
  <c r="AL341" i="51"/>
  <c r="AL339" i="51"/>
  <c r="AL337" i="51"/>
  <c r="AL335" i="51"/>
  <c r="AL333" i="51"/>
  <c r="AL331" i="51"/>
  <c r="AL329" i="51"/>
  <c r="AL327" i="51"/>
  <c r="AL325" i="51"/>
  <c r="AL323" i="51"/>
  <c r="AL321" i="51"/>
  <c r="AL319" i="51"/>
  <c r="AL317" i="51"/>
  <c r="AL315" i="51"/>
  <c r="AL313" i="51"/>
  <c r="AL311" i="51"/>
  <c r="AL309" i="51"/>
  <c r="AL307" i="51"/>
  <c r="AL305" i="51"/>
  <c r="AL303" i="51"/>
  <c r="AL301" i="51"/>
  <c r="AL299" i="51"/>
  <c r="AL297" i="51"/>
  <c r="AL295" i="51"/>
  <c r="AL293" i="51"/>
  <c r="AL291" i="51"/>
  <c r="AL289" i="51"/>
  <c r="AL287" i="51"/>
  <c r="AM285" i="51"/>
  <c r="AM284" i="51"/>
  <c r="AM283" i="51"/>
  <c r="AM282" i="51"/>
  <c r="AM281" i="51"/>
  <c r="AM280" i="51"/>
  <c r="AM279" i="51"/>
  <c r="AM278" i="51"/>
  <c r="AM277" i="51"/>
  <c r="AM276" i="51"/>
  <c r="AM275" i="51"/>
  <c r="AM274" i="51"/>
  <c r="AM273" i="51"/>
  <c r="AM272" i="51"/>
  <c r="AM271" i="51"/>
  <c r="AM270" i="51"/>
  <c r="AM269" i="51"/>
  <c r="AM268" i="51"/>
  <c r="AM267" i="51"/>
  <c r="AM266" i="51"/>
  <c r="AM265" i="51"/>
  <c r="AM264" i="51"/>
  <c r="AM263" i="51"/>
  <c r="AM262" i="51"/>
  <c r="AM261" i="51"/>
  <c r="AM260" i="51"/>
  <c r="AM259" i="51"/>
  <c r="AM258" i="51"/>
  <c r="AM257" i="51"/>
  <c r="AM256" i="51"/>
  <c r="AM255" i="51"/>
  <c r="AM254" i="51"/>
  <c r="AM253" i="51"/>
  <c r="AM252" i="51"/>
  <c r="AM251" i="51"/>
  <c r="AM250" i="51"/>
  <c r="AM249" i="51"/>
  <c r="AM248" i="51"/>
  <c r="AM247" i="51"/>
  <c r="AM246" i="51"/>
  <c r="AM245" i="51"/>
  <c r="AM244" i="51"/>
  <c r="AM243" i="51"/>
  <c r="AL370" i="51"/>
  <c r="AL366" i="51"/>
  <c r="AL362" i="51"/>
  <c r="AL358" i="51"/>
  <c r="AL354" i="51"/>
  <c r="AL350" i="51"/>
  <c r="AL346" i="51"/>
  <c r="AL342" i="51"/>
  <c r="AL338" i="51"/>
  <c r="AL334" i="51"/>
  <c r="AL330" i="51"/>
  <c r="AL326" i="51"/>
  <c r="AL322" i="51"/>
  <c r="AL318" i="51"/>
  <c r="AL314" i="51"/>
  <c r="AL310" i="51"/>
  <c r="AL306" i="51"/>
  <c r="AL302" i="51"/>
  <c r="AL298" i="51"/>
  <c r="AL294" i="51"/>
  <c r="AL290" i="51"/>
  <c r="AL286" i="51"/>
  <c r="AL284" i="51"/>
  <c r="AL282" i="51"/>
  <c r="AL280" i="51"/>
  <c r="AL278" i="51"/>
  <c r="AL276" i="51"/>
  <c r="AL274" i="51"/>
  <c r="AL272" i="51"/>
  <c r="AL270" i="51"/>
  <c r="AL268" i="51"/>
  <c r="AL266" i="51"/>
  <c r="AL264" i="51"/>
  <c r="AL262" i="51"/>
  <c r="AL260" i="51"/>
  <c r="AL258" i="51"/>
  <c r="AL256" i="51"/>
  <c r="AL254" i="51"/>
  <c r="AL252" i="51"/>
  <c r="AL250" i="51"/>
  <c r="AL248" i="51"/>
  <c r="AL246" i="51"/>
  <c r="AL244" i="51"/>
  <c r="AM242" i="51"/>
  <c r="AM241" i="51"/>
  <c r="AM240" i="51"/>
  <c r="AM239" i="51"/>
  <c r="AM238" i="51"/>
  <c r="AM237" i="51"/>
  <c r="AM236" i="51"/>
  <c r="AM235" i="51"/>
  <c r="AM234" i="51"/>
  <c r="AM233" i="51"/>
  <c r="AM232" i="51"/>
  <c r="AM231" i="51"/>
  <c r="AM230" i="51"/>
  <c r="AM229" i="51"/>
  <c r="AM228" i="51"/>
  <c r="AM227" i="51"/>
  <c r="AM226" i="51"/>
  <c r="AM225" i="51"/>
  <c r="AM224" i="51"/>
  <c r="AM223" i="51"/>
  <c r="AM222" i="51"/>
  <c r="AM221" i="51"/>
  <c r="AM220" i="51"/>
  <c r="AM219" i="51"/>
  <c r="AM218" i="51"/>
  <c r="AM217" i="51"/>
  <c r="AM216" i="51"/>
  <c r="AM215" i="51"/>
  <c r="AM214" i="51"/>
  <c r="AM213" i="51"/>
  <c r="AM212" i="51"/>
  <c r="AM211" i="51"/>
  <c r="AM210" i="51"/>
  <c r="AM209" i="51"/>
  <c r="AM208" i="51"/>
  <c r="AM207" i="51"/>
  <c r="AM206" i="51"/>
  <c r="AM205" i="51"/>
  <c r="AM204" i="51"/>
  <c r="AM203" i="51"/>
  <c r="AM202" i="51"/>
  <c r="AM201" i="51"/>
  <c r="AM200" i="51"/>
  <c r="AM199" i="51"/>
  <c r="AM198" i="51"/>
  <c r="AM197" i="51"/>
  <c r="AM196" i="51"/>
  <c r="AM195" i="51"/>
  <c r="AM194" i="51"/>
  <c r="AM193" i="51"/>
  <c r="AM192" i="51"/>
  <c r="AM191" i="51"/>
  <c r="AM190" i="51"/>
  <c r="AM189" i="51"/>
  <c r="AM188" i="51"/>
  <c r="AM187" i="51"/>
  <c r="AM186" i="51"/>
  <c r="AM185" i="51"/>
  <c r="AM184" i="51"/>
  <c r="AM183" i="51"/>
  <c r="AM182" i="51"/>
  <c r="AM181" i="51"/>
  <c r="AM180" i="51"/>
  <c r="AM179" i="51"/>
  <c r="AM178" i="51"/>
  <c r="AM177" i="51"/>
  <c r="AM176" i="51"/>
  <c r="AM175" i="51"/>
  <c r="AM174" i="51"/>
  <c r="AM173" i="51"/>
  <c r="AM172" i="51"/>
  <c r="AM171" i="51"/>
  <c r="AM170" i="51"/>
  <c r="AM169" i="51"/>
  <c r="AM168" i="51"/>
  <c r="AM167" i="51"/>
  <c r="AM166" i="51"/>
  <c r="AM165" i="51"/>
  <c r="AM164" i="51"/>
  <c r="AM163" i="51"/>
  <c r="AM162" i="51"/>
  <c r="AM161" i="51"/>
  <c r="AM160" i="51"/>
  <c r="AM159" i="51"/>
  <c r="AM158" i="51"/>
  <c r="AM157" i="51"/>
  <c r="AM156" i="51"/>
  <c r="AM155" i="51"/>
  <c r="AM154" i="51"/>
  <c r="AM153" i="51"/>
  <c r="AM152" i="51"/>
  <c r="AM151" i="51"/>
  <c r="AM150" i="51"/>
  <c r="AM149" i="51"/>
  <c r="AM148" i="51"/>
  <c r="AM147" i="51"/>
  <c r="AM146" i="51"/>
  <c r="AM145" i="51"/>
  <c r="AM144" i="51"/>
  <c r="AM143" i="51"/>
  <c r="AM142" i="51"/>
  <c r="AM141" i="51"/>
  <c r="AM140" i="51"/>
  <c r="AM139" i="51"/>
  <c r="AM138" i="51"/>
  <c r="AM137" i="51"/>
  <c r="AM136" i="51"/>
  <c r="AM135" i="51"/>
  <c r="AM134" i="51"/>
  <c r="AM133" i="51"/>
  <c r="AM132" i="51"/>
  <c r="AM131" i="51"/>
  <c r="AM130" i="51"/>
  <c r="AM129" i="51"/>
  <c r="AM128" i="51"/>
  <c r="AM127" i="51"/>
  <c r="AM126" i="51"/>
  <c r="AM125" i="51"/>
  <c r="AM124" i="51"/>
  <c r="AM123" i="51"/>
  <c r="AM122" i="51"/>
  <c r="AM121" i="51"/>
  <c r="AM120" i="51"/>
  <c r="AM119" i="51"/>
  <c r="AM118" i="51"/>
  <c r="AM117" i="51"/>
  <c r="AM116" i="51"/>
  <c r="AL364" i="51"/>
  <c r="AL356" i="51"/>
  <c r="AL348" i="51"/>
  <c r="AL340" i="51"/>
  <c r="AL332" i="51"/>
  <c r="AL324" i="51"/>
  <c r="AL316" i="51"/>
  <c r="AL308" i="51"/>
  <c r="AL300" i="51"/>
  <c r="AL292" i="51"/>
  <c r="AL285" i="51"/>
  <c r="AL281" i="51"/>
  <c r="AL277" i="51"/>
  <c r="AL273" i="51"/>
  <c r="AL269" i="51"/>
  <c r="AL265" i="51"/>
  <c r="AL261" i="51"/>
  <c r="AL257" i="51"/>
  <c r="AL253" i="51"/>
  <c r="AL249" i="51"/>
  <c r="AL245" i="51"/>
  <c r="AL242" i="51"/>
  <c r="AL240" i="51"/>
  <c r="AL238" i="51"/>
  <c r="AL236" i="51"/>
  <c r="AL234" i="51"/>
  <c r="AL232" i="51"/>
  <c r="AL230" i="51"/>
  <c r="AL228" i="51"/>
  <c r="AL226" i="51"/>
  <c r="AL224" i="51"/>
  <c r="AL222" i="51"/>
  <c r="AL220" i="51"/>
  <c r="AL218" i="51"/>
  <c r="AL216" i="51"/>
  <c r="AL214" i="51"/>
  <c r="AL212" i="51"/>
  <c r="AL210" i="51"/>
  <c r="AL208" i="51"/>
  <c r="AL206" i="51"/>
  <c r="AL204" i="51"/>
  <c r="AL202" i="51"/>
  <c r="AL200" i="51"/>
  <c r="AL198" i="51"/>
  <c r="AL196" i="51"/>
  <c r="AL194" i="51"/>
  <c r="AL192" i="51"/>
  <c r="AL190" i="51"/>
  <c r="AL188" i="51"/>
  <c r="AL186" i="51"/>
  <c r="AL184" i="51"/>
  <c r="AL182" i="51"/>
  <c r="AL180" i="51"/>
  <c r="AL178" i="51"/>
  <c r="AL176" i="51"/>
  <c r="AL174" i="51"/>
  <c r="AL172" i="51"/>
  <c r="AL170" i="51"/>
  <c r="AL168" i="51"/>
  <c r="AL166" i="51"/>
  <c r="AL164" i="51"/>
  <c r="AL162" i="51"/>
  <c r="AL160" i="51"/>
  <c r="AL158" i="51"/>
  <c r="AL156" i="51"/>
  <c r="AL154" i="51"/>
  <c r="AL152" i="51"/>
  <c r="AL150" i="51"/>
  <c r="AL148" i="51"/>
  <c r="AL146" i="51"/>
  <c r="AL144" i="51"/>
  <c r="AL142" i="51"/>
  <c r="AL140" i="51"/>
  <c r="AL138" i="51"/>
  <c r="AL136" i="51"/>
  <c r="AL134" i="51"/>
  <c r="AL132" i="51"/>
  <c r="AL130" i="51"/>
  <c r="AL128" i="51"/>
  <c r="AL126" i="51"/>
  <c r="AL124" i="51"/>
  <c r="AL122" i="51"/>
  <c r="AL120" i="51"/>
  <c r="AL118" i="51"/>
  <c r="AL116" i="51"/>
  <c r="AL115" i="51"/>
  <c r="AL114" i="51"/>
  <c r="AL113" i="51"/>
  <c r="AL112" i="51"/>
  <c r="AL111" i="51"/>
  <c r="AL110" i="51"/>
  <c r="AL109" i="51"/>
  <c r="AL108" i="51"/>
  <c r="AL107" i="51"/>
  <c r="AL106" i="51"/>
  <c r="AL105" i="51"/>
  <c r="AL104" i="51"/>
  <c r="AL103" i="51"/>
  <c r="AL102" i="51"/>
  <c r="AL101" i="51"/>
  <c r="AL100" i="51"/>
  <c r="AL99" i="51"/>
  <c r="AL98" i="51"/>
  <c r="AL97" i="51"/>
  <c r="AL96" i="51"/>
  <c r="AL95" i="51"/>
  <c r="AL94" i="51"/>
  <c r="AL93" i="51"/>
  <c r="AL92" i="51"/>
  <c r="AL91" i="51"/>
  <c r="AL90" i="51"/>
  <c r="AL89" i="51"/>
  <c r="AL88" i="51"/>
  <c r="AL87" i="51"/>
  <c r="AL86" i="51"/>
  <c r="AL85" i="51"/>
  <c r="AL84" i="51"/>
  <c r="AL83" i="51"/>
  <c r="AL82" i="51"/>
  <c r="AL81" i="51"/>
  <c r="AL80" i="51"/>
  <c r="AL79" i="51"/>
  <c r="AL78" i="51"/>
  <c r="AL77" i="51"/>
  <c r="AL76" i="51"/>
  <c r="AL75" i="51"/>
  <c r="AL74" i="51"/>
  <c r="AL73" i="51"/>
  <c r="AL72" i="51"/>
  <c r="AL71" i="51"/>
  <c r="AL70" i="51"/>
  <c r="AL69" i="51"/>
  <c r="AL68" i="51"/>
  <c r="AL67" i="51"/>
  <c r="AL66" i="51"/>
  <c r="AL65" i="51"/>
  <c r="AL64" i="51"/>
  <c r="AL63" i="51"/>
  <c r="AL62" i="51"/>
  <c r="AL61" i="51"/>
  <c r="AL60" i="51"/>
  <c r="AL59" i="51"/>
  <c r="AL58" i="51"/>
  <c r="AL57" i="51"/>
  <c r="AL56" i="51"/>
  <c r="AL55" i="51"/>
  <c r="AL54" i="51"/>
  <c r="AL53" i="51"/>
  <c r="AL52" i="51"/>
  <c r="AL51" i="51"/>
  <c r="AL50" i="51"/>
  <c r="AL49" i="51"/>
  <c r="AL48" i="51"/>
  <c r="AL47" i="51"/>
  <c r="AL46" i="51"/>
  <c r="AL45" i="51"/>
  <c r="AL44" i="51"/>
  <c r="AL43" i="51"/>
  <c r="AL42" i="51"/>
  <c r="AL41" i="51"/>
  <c r="AL40" i="51"/>
  <c r="AL39" i="51"/>
  <c r="AL38" i="51"/>
  <c r="AL37" i="51"/>
  <c r="AL36" i="51"/>
  <c r="AL35" i="51"/>
  <c r="AL34" i="51"/>
  <c r="AL33" i="51"/>
  <c r="AL32" i="51"/>
  <c r="AL31" i="51"/>
  <c r="AL368" i="51"/>
  <c r="AL352" i="51"/>
  <c r="AL336" i="51"/>
  <c r="AL320" i="51"/>
  <c r="AL304" i="51"/>
  <c r="AL288" i="51"/>
  <c r="AL279" i="51"/>
  <c r="AL271" i="51"/>
  <c r="AL263" i="51"/>
  <c r="AL255" i="51"/>
  <c r="AL247" i="51"/>
  <c r="AL241" i="51"/>
  <c r="AL237" i="51"/>
  <c r="AL233" i="51"/>
  <c r="AL229" i="51"/>
  <c r="AL225" i="51"/>
  <c r="AL221" i="51"/>
  <c r="AL217" i="51"/>
  <c r="AL213" i="51"/>
  <c r="AL209" i="51"/>
  <c r="AL205" i="51"/>
  <c r="AL201" i="51"/>
  <c r="AL197" i="51"/>
  <c r="AL193" i="51"/>
  <c r="AL189" i="51"/>
  <c r="AL185" i="51"/>
  <c r="AL181" i="51"/>
  <c r="AL177" i="51"/>
  <c r="AL173" i="51"/>
  <c r="AL169" i="51"/>
  <c r="AL165" i="51"/>
  <c r="AL161" i="51"/>
  <c r="AL157" i="51"/>
  <c r="AL153" i="51"/>
  <c r="AL149" i="51"/>
  <c r="AL145" i="51"/>
  <c r="AL141" i="51"/>
  <c r="AL137" i="51"/>
  <c r="AL133" i="51"/>
  <c r="AL129" i="51"/>
  <c r="AL125" i="51"/>
  <c r="AL121" i="51"/>
  <c r="AL117" i="51"/>
  <c r="AM114" i="51"/>
  <c r="AM112" i="51"/>
  <c r="AM110" i="51"/>
  <c r="AM108" i="51"/>
  <c r="AM106" i="51"/>
  <c r="AM104" i="51"/>
  <c r="AM102" i="51"/>
  <c r="AM100" i="51"/>
  <c r="AM98" i="51"/>
  <c r="AM96" i="51"/>
  <c r="AM94" i="51"/>
  <c r="AM92" i="51"/>
  <c r="AM90" i="51"/>
  <c r="AM88" i="51"/>
  <c r="AM86" i="51"/>
  <c r="AM84" i="51"/>
  <c r="AM82" i="51"/>
  <c r="AM80" i="51"/>
  <c r="AM78" i="51"/>
  <c r="AM76" i="51"/>
  <c r="AM74" i="51"/>
  <c r="AM72" i="51"/>
  <c r="AM70" i="51"/>
  <c r="AM68" i="51"/>
  <c r="AM66" i="51"/>
  <c r="AM64" i="51"/>
  <c r="AM62" i="51"/>
  <c r="AM60" i="51"/>
  <c r="AM58" i="51"/>
  <c r="AM56" i="51"/>
  <c r="AM54" i="51"/>
  <c r="AM52" i="51"/>
  <c r="AM50" i="51"/>
  <c r="AM48" i="51"/>
  <c r="AM46" i="51"/>
  <c r="AM44" i="51"/>
  <c r="AM42" i="51"/>
  <c r="AM40" i="51"/>
  <c r="AM38" i="51"/>
  <c r="AM36" i="51"/>
  <c r="AM34" i="51"/>
  <c r="AM32" i="51"/>
  <c r="AM30" i="51"/>
  <c r="AM29" i="51"/>
  <c r="AM28" i="51"/>
  <c r="AM27" i="51"/>
  <c r="AM26" i="51"/>
  <c r="AM25" i="51"/>
  <c r="AM24" i="51"/>
  <c r="AM23" i="51"/>
  <c r="AM22" i="51"/>
  <c r="AM21" i="51"/>
  <c r="AM20" i="51"/>
  <c r="AM19" i="51"/>
  <c r="AM18" i="51"/>
  <c r="AM17" i="51"/>
  <c r="AM16" i="51"/>
  <c r="AM15" i="51"/>
  <c r="AM14" i="51"/>
  <c r="AM13" i="51"/>
  <c r="AM12" i="51"/>
  <c r="AM11" i="51"/>
  <c r="AM10" i="51"/>
  <c r="AM9" i="51"/>
  <c r="AM8" i="51"/>
  <c r="AM7" i="51"/>
  <c r="AM6" i="51"/>
  <c r="AM5" i="51"/>
  <c r="AJ370" i="51"/>
  <c r="AJ369" i="51"/>
  <c r="AJ368" i="51"/>
  <c r="AJ367" i="51"/>
  <c r="AJ366" i="51"/>
  <c r="AJ365" i="51"/>
  <c r="AJ364" i="51"/>
  <c r="AJ363" i="51"/>
  <c r="AJ362" i="51"/>
  <c r="AJ361" i="51"/>
  <c r="AJ360" i="51"/>
  <c r="AJ359" i="51"/>
  <c r="AJ358" i="51"/>
  <c r="AJ357" i="51"/>
  <c r="AJ356" i="51"/>
  <c r="AJ355" i="51"/>
  <c r="AJ354" i="51"/>
  <c r="AJ353" i="51"/>
  <c r="AJ352" i="51"/>
  <c r="AJ351" i="51"/>
  <c r="AJ350" i="51"/>
  <c r="AJ349" i="51"/>
  <c r="AJ348" i="51"/>
  <c r="AJ347" i="51"/>
  <c r="AJ346" i="51"/>
  <c r="AJ345" i="51"/>
  <c r="AJ344" i="51"/>
  <c r="AJ343" i="51"/>
  <c r="AJ342" i="51"/>
  <c r="AJ341" i="51"/>
  <c r="AJ340" i="51"/>
  <c r="AJ339" i="51"/>
  <c r="AJ338" i="51"/>
  <c r="AJ337" i="51"/>
  <c r="AJ336" i="51"/>
  <c r="AJ335" i="51"/>
  <c r="AJ334" i="51"/>
  <c r="AJ333" i="51"/>
  <c r="AJ332" i="51"/>
  <c r="AJ331" i="51"/>
  <c r="AJ330" i="51"/>
  <c r="AJ329" i="51"/>
  <c r="AJ328" i="51"/>
  <c r="AJ327" i="51"/>
  <c r="AJ326" i="51"/>
  <c r="AJ325" i="51"/>
  <c r="AJ324" i="51"/>
  <c r="AJ323" i="51"/>
  <c r="AJ322" i="51"/>
  <c r="AJ321" i="51"/>
  <c r="AJ320" i="51"/>
  <c r="AJ319" i="51"/>
  <c r="AJ318" i="51"/>
  <c r="AJ317" i="51"/>
  <c r="AJ316" i="51"/>
  <c r="AJ315" i="51"/>
  <c r="AJ314" i="51"/>
  <c r="AJ313" i="51"/>
  <c r="AJ312" i="51"/>
  <c r="AJ311" i="51"/>
  <c r="AJ310" i="51"/>
  <c r="AJ309" i="51"/>
  <c r="AJ308" i="51"/>
  <c r="AJ307" i="51"/>
  <c r="AJ306" i="51"/>
  <c r="AJ305" i="51"/>
  <c r="AJ304" i="51"/>
  <c r="AJ303" i="51"/>
  <c r="AJ302" i="51"/>
  <c r="AJ301" i="51"/>
  <c r="AJ300" i="51"/>
  <c r="AJ299" i="51"/>
  <c r="AJ298" i="51"/>
  <c r="AJ297" i="51"/>
  <c r="AJ296" i="51"/>
  <c r="AJ295" i="51"/>
  <c r="AJ294" i="51"/>
  <c r="AJ293" i="51"/>
  <c r="AJ292" i="51"/>
  <c r="AJ291" i="51"/>
  <c r="AJ290" i="51"/>
  <c r="AJ289" i="51"/>
  <c r="AJ288" i="51"/>
  <c r="AJ287" i="51"/>
  <c r="AJ286" i="51"/>
  <c r="AJ285" i="51"/>
  <c r="AJ284" i="51"/>
  <c r="AJ283" i="51"/>
  <c r="AJ282" i="51"/>
  <c r="AJ281" i="51"/>
  <c r="AJ280" i="51"/>
  <c r="AJ279" i="51"/>
  <c r="AJ278" i="51"/>
  <c r="AJ277" i="51"/>
  <c r="AJ276" i="51"/>
  <c r="AJ275" i="51"/>
  <c r="AJ274" i="51"/>
  <c r="AJ273" i="51"/>
  <c r="AJ272" i="51"/>
  <c r="AJ271" i="51"/>
  <c r="AJ270" i="51"/>
  <c r="AJ269" i="51"/>
  <c r="AJ268" i="51"/>
  <c r="AJ267" i="51"/>
  <c r="AJ266" i="51"/>
  <c r="AJ265" i="51"/>
  <c r="AJ264" i="51"/>
  <c r="AJ263" i="51"/>
  <c r="AJ262" i="51"/>
  <c r="AJ261" i="51"/>
  <c r="AJ260" i="51"/>
  <c r="AJ259" i="51"/>
  <c r="AJ258" i="51"/>
  <c r="AJ257" i="51"/>
  <c r="AJ256" i="51"/>
  <c r="AJ255" i="51"/>
  <c r="AJ254" i="51"/>
  <c r="AJ253" i="51"/>
  <c r="AJ252" i="51"/>
  <c r="AJ251" i="51"/>
  <c r="AJ250" i="51"/>
  <c r="AJ249" i="51"/>
  <c r="AJ248" i="51"/>
  <c r="AJ247" i="51"/>
  <c r="AJ246" i="51"/>
  <c r="AJ245" i="51"/>
  <c r="AJ244" i="51"/>
  <c r="AJ243" i="51"/>
  <c r="AJ242" i="51"/>
  <c r="AJ241" i="51"/>
  <c r="AJ240" i="51"/>
  <c r="AJ239" i="51"/>
  <c r="AJ238" i="51"/>
  <c r="AJ237" i="51"/>
  <c r="AJ236" i="51"/>
  <c r="AJ235" i="51"/>
  <c r="AJ234" i="51"/>
  <c r="AJ233" i="51"/>
  <c r="AJ232" i="51"/>
  <c r="AJ231" i="51"/>
  <c r="AJ230" i="51"/>
  <c r="AJ229" i="51"/>
  <c r="AJ228" i="51"/>
  <c r="AJ227" i="51"/>
  <c r="AJ226" i="51"/>
  <c r="AJ225" i="51"/>
  <c r="AJ224" i="51"/>
  <c r="AJ223" i="51"/>
  <c r="AJ222" i="51"/>
  <c r="AJ221" i="51"/>
  <c r="AJ220" i="51"/>
  <c r="AJ219" i="51"/>
  <c r="AJ218" i="51"/>
  <c r="AJ217" i="51"/>
  <c r="AJ216" i="51"/>
  <c r="AJ215" i="51"/>
  <c r="AJ214" i="51"/>
  <c r="AJ213" i="51"/>
  <c r="AJ212" i="51"/>
  <c r="AJ211" i="51"/>
  <c r="AJ210" i="51"/>
  <c r="AJ209" i="51"/>
  <c r="AJ208" i="51"/>
  <c r="AJ207" i="51"/>
  <c r="AJ206" i="51"/>
  <c r="AJ205" i="51"/>
  <c r="AJ204" i="51"/>
  <c r="AJ203" i="51"/>
  <c r="AJ202" i="51"/>
  <c r="AJ201" i="51"/>
  <c r="AJ200" i="51"/>
  <c r="AJ199" i="51"/>
  <c r="AJ198" i="51"/>
  <c r="AJ197" i="51"/>
  <c r="AJ196" i="51"/>
  <c r="AJ195" i="51"/>
  <c r="AJ194" i="51"/>
  <c r="AJ193" i="51"/>
  <c r="AJ192" i="51"/>
  <c r="AJ191" i="51"/>
  <c r="AJ190" i="51"/>
  <c r="AJ189" i="51"/>
  <c r="AJ188" i="51"/>
  <c r="AJ187" i="51"/>
  <c r="AJ186" i="51"/>
  <c r="AJ185" i="51"/>
  <c r="AJ184" i="51"/>
  <c r="AJ183" i="51"/>
  <c r="AJ182" i="51"/>
  <c r="AJ181" i="51"/>
  <c r="AJ180" i="51"/>
  <c r="AJ179" i="51"/>
  <c r="AJ178" i="51"/>
  <c r="AJ177" i="51"/>
  <c r="AJ176" i="51"/>
  <c r="AJ175" i="51"/>
  <c r="AJ174" i="51"/>
  <c r="AJ173" i="51"/>
  <c r="AJ172" i="51"/>
  <c r="AJ171" i="51"/>
  <c r="AJ170" i="51"/>
  <c r="AJ169" i="51"/>
  <c r="AJ168" i="51"/>
  <c r="AJ167" i="51"/>
  <c r="AJ166" i="51"/>
  <c r="AJ165" i="51"/>
  <c r="AJ164" i="51"/>
  <c r="AJ163" i="51"/>
  <c r="AJ162" i="51"/>
  <c r="AJ161" i="51"/>
  <c r="AJ160" i="51"/>
  <c r="AJ159" i="51"/>
  <c r="AJ158" i="51"/>
  <c r="AJ157" i="51"/>
  <c r="AJ156" i="51"/>
  <c r="AJ155" i="51"/>
  <c r="AJ154" i="51"/>
  <c r="AJ153" i="51"/>
  <c r="AJ152" i="51"/>
  <c r="AJ151" i="51"/>
  <c r="AJ150" i="51"/>
  <c r="AJ149" i="51"/>
  <c r="AJ148" i="51"/>
  <c r="AJ147" i="51"/>
  <c r="AJ146" i="51"/>
  <c r="AJ145" i="51"/>
  <c r="AJ144" i="51"/>
  <c r="AJ143" i="51"/>
  <c r="AJ142" i="51"/>
  <c r="AJ141" i="51"/>
  <c r="AL344" i="51"/>
  <c r="AL312" i="51"/>
  <c r="AL283" i="51"/>
  <c r="AL267" i="51"/>
  <c r="AL251" i="51"/>
  <c r="AL239" i="51"/>
  <c r="AL231" i="51"/>
  <c r="AL223" i="51"/>
  <c r="AL215" i="51"/>
  <c r="AL207" i="51"/>
  <c r="AL199" i="51"/>
  <c r="AL191" i="51"/>
  <c r="AL183" i="51"/>
  <c r="AL175" i="51"/>
  <c r="AL167" i="51"/>
  <c r="AL159" i="51"/>
  <c r="AL151" i="51"/>
  <c r="AL143" i="51"/>
  <c r="AL135" i="51"/>
  <c r="AL127" i="51"/>
  <c r="AL119" i="51"/>
  <c r="AM113" i="51"/>
  <c r="AM109" i="51"/>
  <c r="AM105" i="51"/>
  <c r="AM101" i="51"/>
  <c r="AM97" i="51"/>
  <c r="AM93" i="51"/>
  <c r="AM89" i="51"/>
  <c r="AM85" i="51"/>
  <c r="AM81" i="51"/>
  <c r="AM77" i="51"/>
  <c r="AM73" i="51"/>
  <c r="AM69" i="51"/>
  <c r="AM65" i="51"/>
  <c r="AM61" i="51"/>
  <c r="AM57" i="51"/>
  <c r="AM53" i="51"/>
  <c r="AM49" i="51"/>
  <c r="AM45" i="51"/>
  <c r="AM41" i="51"/>
  <c r="AM37" i="51"/>
  <c r="AM33" i="51"/>
  <c r="AL30" i="51"/>
  <c r="AL28" i="51"/>
  <c r="AL26" i="51"/>
  <c r="AL24" i="51"/>
  <c r="AL22" i="51"/>
  <c r="AL20" i="51"/>
  <c r="AL18" i="51"/>
  <c r="AL16" i="51"/>
  <c r="AL14" i="51"/>
  <c r="AL12" i="51"/>
  <c r="AL10" i="51"/>
  <c r="AL8" i="51"/>
  <c r="AL6" i="51"/>
  <c r="AI370" i="51"/>
  <c r="AI368" i="51"/>
  <c r="AI366" i="51"/>
  <c r="AI364" i="51"/>
  <c r="AI362" i="51"/>
  <c r="AI360" i="51"/>
  <c r="AI358" i="51"/>
  <c r="AI356" i="51"/>
  <c r="AI354" i="51"/>
  <c r="AI352" i="51"/>
  <c r="AI350" i="51"/>
  <c r="AI348" i="51"/>
  <c r="AI346" i="51"/>
  <c r="AI344" i="51"/>
  <c r="AI342" i="51"/>
  <c r="AI340" i="51"/>
  <c r="AI338" i="51"/>
  <c r="AI336" i="51"/>
  <c r="AI334" i="51"/>
  <c r="AI332" i="51"/>
  <c r="AI330" i="51"/>
  <c r="AI328" i="51"/>
  <c r="AI326" i="51"/>
  <c r="AI324" i="51"/>
  <c r="AI322" i="51"/>
  <c r="AI320" i="51"/>
  <c r="AI318" i="51"/>
  <c r="AI316" i="51"/>
  <c r="AI314" i="51"/>
  <c r="AI312" i="51"/>
  <c r="AI310" i="51"/>
  <c r="AI308" i="51"/>
  <c r="AI306" i="51"/>
  <c r="AI304" i="51"/>
  <c r="AI302" i="51"/>
  <c r="AI300" i="51"/>
  <c r="AI298" i="51"/>
  <c r="AI296" i="51"/>
  <c r="AI294" i="51"/>
  <c r="AI292" i="51"/>
  <c r="AI290" i="51"/>
  <c r="AI288" i="51"/>
  <c r="AI286" i="51"/>
  <c r="AI284" i="51"/>
  <c r="AI282" i="51"/>
  <c r="AI280" i="51"/>
  <c r="AI278" i="51"/>
  <c r="AI276" i="51"/>
  <c r="AI274" i="51"/>
  <c r="AI272" i="51"/>
  <c r="AI270" i="51"/>
  <c r="AI268" i="51"/>
  <c r="AI266" i="51"/>
  <c r="AI264" i="51"/>
  <c r="AI262" i="51"/>
  <c r="AI260" i="51"/>
  <c r="AI258" i="51"/>
  <c r="AI256" i="51"/>
  <c r="AI254" i="51"/>
  <c r="AI252" i="51"/>
  <c r="AI250" i="51"/>
  <c r="AI248" i="51"/>
  <c r="AI246" i="51"/>
  <c r="AI244" i="51"/>
  <c r="AI242" i="51"/>
  <c r="AI240" i="51"/>
  <c r="AI238" i="51"/>
  <c r="AI236" i="51"/>
  <c r="AI234" i="51"/>
  <c r="AI232" i="51"/>
  <c r="AI230" i="51"/>
  <c r="AI228" i="51"/>
  <c r="AI226" i="51"/>
  <c r="AI224" i="51"/>
  <c r="AI222" i="51"/>
  <c r="AI220" i="51"/>
  <c r="AI218" i="51"/>
  <c r="AI216" i="51"/>
  <c r="AI214" i="51"/>
  <c r="AI212" i="51"/>
  <c r="AI210" i="51"/>
  <c r="AI208" i="51"/>
  <c r="AI206" i="51"/>
  <c r="AI204" i="51"/>
  <c r="AI202" i="51"/>
  <c r="AI200" i="51"/>
  <c r="AI198" i="51"/>
  <c r="AI196" i="51"/>
  <c r="AI194" i="51"/>
  <c r="AI192" i="51"/>
  <c r="AI190" i="51"/>
  <c r="AI188" i="51"/>
  <c r="AI186" i="51"/>
  <c r="AI184" i="51"/>
  <c r="AI182" i="51"/>
  <c r="AI180" i="51"/>
  <c r="AI178" i="51"/>
  <c r="AI176" i="51"/>
  <c r="AI174" i="51"/>
  <c r="AI172" i="51"/>
  <c r="AI170" i="51"/>
  <c r="AI168" i="51"/>
  <c r="AI166" i="51"/>
  <c r="AI164" i="51"/>
  <c r="AI162" i="51"/>
  <c r="AI160" i="51"/>
  <c r="AI158" i="51"/>
  <c r="AI156" i="51"/>
  <c r="AI154" i="51"/>
  <c r="AI152" i="51"/>
  <c r="AI150" i="51"/>
  <c r="AI148" i="51"/>
  <c r="AI146" i="51"/>
  <c r="AI144" i="51"/>
  <c r="AI142" i="51"/>
  <c r="AJ140" i="51"/>
  <c r="AJ139" i="51"/>
  <c r="AJ138" i="51"/>
  <c r="AJ137" i="51"/>
  <c r="AJ136" i="51"/>
  <c r="AJ135" i="51"/>
  <c r="AJ134" i="51"/>
  <c r="AJ133" i="51"/>
  <c r="AJ132" i="51"/>
  <c r="AJ131" i="51"/>
  <c r="AJ130" i="51"/>
  <c r="AJ129" i="51"/>
  <c r="AJ128" i="51"/>
  <c r="AJ127" i="51"/>
  <c r="AJ126" i="51"/>
  <c r="AJ125" i="51"/>
  <c r="AJ124" i="51"/>
  <c r="AJ123" i="51"/>
  <c r="AJ122" i="51"/>
  <c r="AJ121" i="51"/>
  <c r="AJ120" i="51"/>
  <c r="AJ119" i="51"/>
  <c r="AJ118" i="51"/>
  <c r="AJ117" i="51"/>
  <c r="AJ116" i="51"/>
  <c r="AJ115" i="51"/>
  <c r="AJ114" i="51"/>
  <c r="AJ113" i="51"/>
  <c r="AJ112" i="51"/>
  <c r="AJ111" i="51"/>
  <c r="AJ110" i="51"/>
  <c r="AJ109" i="51"/>
  <c r="AJ108" i="51"/>
  <c r="AJ107" i="51"/>
  <c r="AJ106" i="51"/>
  <c r="AJ105" i="51"/>
  <c r="AJ104" i="51"/>
  <c r="AJ103" i="51"/>
  <c r="AJ102" i="51"/>
  <c r="AJ101" i="51"/>
  <c r="AJ100" i="51"/>
  <c r="AJ99" i="51"/>
  <c r="AJ98" i="51"/>
  <c r="AJ97" i="51"/>
  <c r="AJ96" i="51"/>
  <c r="AJ95" i="51"/>
  <c r="AJ94" i="51"/>
  <c r="AJ93" i="51"/>
  <c r="AJ92" i="51"/>
  <c r="AJ91" i="51"/>
  <c r="AJ90" i="51"/>
  <c r="AJ89" i="51"/>
  <c r="AJ88" i="51"/>
  <c r="AJ87" i="51"/>
  <c r="AJ86" i="51"/>
  <c r="AJ85" i="51"/>
  <c r="AJ84" i="51"/>
  <c r="AJ83" i="51"/>
  <c r="AJ82" i="51"/>
  <c r="AJ81" i="51"/>
  <c r="AJ80" i="51"/>
  <c r="AJ79" i="51"/>
  <c r="AJ78" i="51"/>
  <c r="AJ77" i="51"/>
  <c r="AJ76" i="51"/>
  <c r="AJ75" i="51"/>
  <c r="AJ74" i="51"/>
  <c r="AJ73" i="51"/>
  <c r="AJ72" i="51"/>
  <c r="AJ71" i="51"/>
  <c r="AJ70" i="51"/>
  <c r="AJ69" i="51"/>
  <c r="AJ68" i="51"/>
  <c r="AJ67" i="51"/>
  <c r="AJ66" i="51"/>
  <c r="AJ65" i="51"/>
  <c r="AJ64" i="51"/>
  <c r="AJ63" i="51"/>
  <c r="AJ62" i="51"/>
  <c r="AJ61" i="51"/>
  <c r="AJ60" i="51"/>
  <c r="AJ59" i="51"/>
  <c r="AJ58" i="51"/>
  <c r="AJ57" i="51"/>
  <c r="AJ56" i="51"/>
  <c r="AJ55" i="51"/>
  <c r="AJ54" i="51"/>
  <c r="AJ53" i="51"/>
  <c r="AJ52" i="51"/>
  <c r="AJ51" i="51"/>
  <c r="AJ50" i="51"/>
  <c r="AJ49" i="51"/>
  <c r="AJ48" i="51"/>
  <c r="AJ47" i="51"/>
  <c r="AJ46" i="51"/>
  <c r="AJ45" i="51"/>
  <c r="AJ44" i="51"/>
  <c r="AJ43" i="51"/>
  <c r="AJ42" i="51"/>
  <c r="AJ41" i="51"/>
  <c r="AJ40" i="51"/>
  <c r="AJ39" i="51"/>
  <c r="AJ38" i="51"/>
  <c r="AJ37" i="51"/>
  <c r="AJ36" i="51"/>
  <c r="AJ35" i="51"/>
  <c r="AJ34" i="51"/>
  <c r="AJ33" i="51"/>
  <c r="AJ32" i="51"/>
  <c r="AJ31" i="51"/>
  <c r="AJ30" i="51"/>
  <c r="AJ29" i="51"/>
  <c r="AJ28" i="51"/>
  <c r="AJ27" i="51"/>
  <c r="AJ26" i="51"/>
  <c r="AJ25" i="51"/>
  <c r="AJ24" i="51"/>
  <c r="AJ23" i="51"/>
  <c r="AJ22" i="51"/>
  <c r="AJ21" i="51"/>
  <c r="AJ20" i="51"/>
  <c r="AJ19" i="51"/>
  <c r="AJ18" i="51"/>
  <c r="AJ17" i="51"/>
  <c r="AJ16" i="51"/>
  <c r="AJ15" i="51"/>
  <c r="AJ14" i="51"/>
  <c r="AJ13" i="51"/>
  <c r="AJ12" i="51"/>
  <c r="AJ11" i="51"/>
  <c r="AJ10" i="51"/>
  <c r="AJ9" i="51"/>
  <c r="AJ8" i="51"/>
  <c r="AJ7" i="51"/>
  <c r="AJ6" i="51"/>
  <c r="AJ5" i="51"/>
  <c r="AG370" i="51"/>
  <c r="AG369" i="51"/>
  <c r="AG368" i="51"/>
  <c r="AG367" i="51"/>
  <c r="AG366" i="51"/>
  <c r="AG365" i="51"/>
  <c r="AG364" i="51"/>
  <c r="AG363" i="51"/>
  <c r="AG362" i="51"/>
  <c r="AG361" i="51"/>
  <c r="AG360" i="51"/>
  <c r="AG359" i="51"/>
  <c r="AG358" i="51"/>
  <c r="AG357" i="51"/>
  <c r="AG356" i="51"/>
  <c r="AG355" i="51"/>
  <c r="AG354" i="51"/>
  <c r="AG353" i="51"/>
  <c r="AG352" i="51"/>
  <c r="AG351" i="51"/>
  <c r="AG350" i="51"/>
  <c r="AG349" i="51"/>
  <c r="AG348" i="51"/>
  <c r="AG347" i="51"/>
  <c r="AG346" i="51"/>
  <c r="AG345" i="51"/>
  <c r="AG344" i="51"/>
  <c r="AG343" i="51"/>
  <c r="AG342" i="51"/>
  <c r="AG341" i="51"/>
  <c r="AG340" i="51"/>
  <c r="AG339" i="51"/>
  <c r="AG338" i="51"/>
  <c r="AG337" i="51"/>
  <c r="AG336" i="51"/>
  <c r="AL360" i="51"/>
  <c r="AL296" i="51"/>
  <c r="AL259" i="51"/>
  <c r="AL235" i="51"/>
  <c r="AL219" i="51"/>
  <c r="AL203" i="51"/>
  <c r="AL187" i="51"/>
  <c r="AL171" i="51"/>
  <c r="AL155" i="51"/>
  <c r="AL139" i="51"/>
  <c r="AL123" i="51"/>
  <c r="AM111" i="51"/>
  <c r="AM103" i="51"/>
  <c r="AM95" i="51"/>
  <c r="AM87" i="51"/>
  <c r="AM79" i="51"/>
  <c r="AM71" i="51"/>
  <c r="AM63" i="51"/>
  <c r="AM55" i="51"/>
  <c r="AM47" i="51"/>
  <c r="AM39" i="51"/>
  <c r="AM31" i="51"/>
  <c r="AL27" i="51"/>
  <c r="AL23" i="51"/>
  <c r="AL19" i="51"/>
  <c r="AL15" i="51"/>
  <c r="AL11" i="51"/>
  <c r="AL7" i="51"/>
  <c r="AI369" i="51"/>
  <c r="AI365" i="51"/>
  <c r="AI361" i="51"/>
  <c r="AI357" i="51"/>
  <c r="AI353" i="51"/>
  <c r="AI349" i="51"/>
  <c r="AI345" i="51"/>
  <c r="AI341" i="51"/>
  <c r="AI337" i="51"/>
  <c r="AI333" i="51"/>
  <c r="AI329" i="51"/>
  <c r="AI325" i="51"/>
  <c r="AI321" i="51"/>
  <c r="AI317" i="51"/>
  <c r="AI313" i="51"/>
  <c r="AI309" i="51"/>
  <c r="AI305" i="51"/>
  <c r="AI301" i="51"/>
  <c r="AI297" i="51"/>
  <c r="AI293" i="51"/>
  <c r="AI289" i="51"/>
  <c r="AI285" i="51"/>
  <c r="AI281" i="51"/>
  <c r="AI277" i="51"/>
  <c r="AI273" i="51"/>
  <c r="AI269" i="51"/>
  <c r="AI265" i="51"/>
  <c r="AI261" i="51"/>
  <c r="AI257" i="51"/>
  <c r="AI253" i="51"/>
  <c r="AI249" i="51"/>
  <c r="AI245" i="51"/>
  <c r="AI241" i="51"/>
  <c r="AI237" i="51"/>
  <c r="AI233" i="51"/>
  <c r="AI229" i="51"/>
  <c r="AI225" i="51"/>
  <c r="AI221" i="51"/>
  <c r="AI217" i="51"/>
  <c r="AI213" i="51"/>
  <c r="AI209" i="51"/>
  <c r="AI205" i="51"/>
  <c r="AI201" i="51"/>
  <c r="AI197" i="51"/>
  <c r="AI193" i="51"/>
  <c r="AI189" i="51"/>
  <c r="AI185" i="51"/>
  <c r="AI181" i="51"/>
  <c r="AI177" i="51"/>
  <c r="AI173" i="51"/>
  <c r="AI169" i="51"/>
  <c r="AI165" i="51"/>
  <c r="AI161" i="51"/>
  <c r="AI157" i="51"/>
  <c r="AI153" i="51"/>
  <c r="AI149" i="51"/>
  <c r="AI145" i="51"/>
  <c r="AI141" i="51"/>
  <c r="AI139" i="51"/>
  <c r="AI137" i="51"/>
  <c r="AI135" i="51"/>
  <c r="AI133" i="51"/>
  <c r="AI131" i="51"/>
  <c r="AI129" i="51"/>
  <c r="AI127" i="51"/>
  <c r="AI125" i="51"/>
  <c r="AI123" i="51"/>
  <c r="AI121" i="51"/>
  <c r="AI119" i="51"/>
  <c r="AI117" i="51"/>
  <c r="AI115" i="51"/>
  <c r="AI113" i="51"/>
  <c r="AI111" i="51"/>
  <c r="AI109" i="51"/>
  <c r="AI107" i="51"/>
  <c r="AI105" i="51"/>
  <c r="AI103" i="51"/>
  <c r="AI101" i="51"/>
  <c r="AI99" i="51"/>
  <c r="AI97" i="51"/>
  <c r="AI95" i="51"/>
  <c r="AI93" i="51"/>
  <c r="AI91" i="51"/>
  <c r="AI89" i="51"/>
  <c r="AI87" i="51"/>
  <c r="AI85" i="51"/>
  <c r="AI83" i="51"/>
  <c r="AI81" i="51"/>
  <c r="AI79" i="51"/>
  <c r="AI77" i="51"/>
  <c r="AI75" i="51"/>
  <c r="AI73" i="51"/>
  <c r="AI71" i="51"/>
  <c r="AI69" i="51"/>
  <c r="AI67" i="51"/>
  <c r="AI65" i="51"/>
  <c r="AI63" i="51"/>
  <c r="AI61" i="51"/>
  <c r="AI59" i="51"/>
  <c r="AI57" i="51"/>
  <c r="AI55" i="51"/>
  <c r="AI53" i="51"/>
  <c r="AI51" i="51"/>
  <c r="AI49" i="51"/>
  <c r="AI47" i="51"/>
  <c r="AI45" i="51"/>
  <c r="AI43" i="51"/>
  <c r="AI41" i="51"/>
  <c r="AI39" i="51"/>
  <c r="AI37" i="51"/>
  <c r="AI35" i="51"/>
  <c r="AI33" i="51"/>
  <c r="AI31" i="51"/>
  <c r="AI29" i="51"/>
  <c r="AI27" i="51"/>
  <c r="AI25" i="51"/>
  <c r="AI23" i="51"/>
  <c r="AI21" i="51"/>
  <c r="AI19" i="51"/>
  <c r="AI17" i="51"/>
  <c r="AI15" i="51"/>
  <c r="AI13" i="51"/>
  <c r="AI11" i="51"/>
  <c r="AI9" i="51"/>
  <c r="AI7" i="51"/>
  <c r="AI5" i="51"/>
  <c r="AF369" i="51"/>
  <c r="AF367" i="51"/>
  <c r="AF365" i="51"/>
  <c r="AF363" i="51"/>
  <c r="AF361" i="51"/>
  <c r="AF359" i="51"/>
  <c r="AF357" i="51"/>
  <c r="AF355" i="51"/>
  <c r="AF353" i="51"/>
  <c r="AF351" i="51"/>
  <c r="AF349" i="51"/>
  <c r="AF347" i="51"/>
  <c r="AF345" i="51"/>
  <c r="AF343" i="51"/>
  <c r="AF341" i="51"/>
  <c r="AF339" i="51"/>
  <c r="AF337" i="51"/>
  <c r="AG335" i="51"/>
  <c r="AG334" i="51"/>
  <c r="AG333" i="51"/>
  <c r="AG332" i="51"/>
  <c r="AG331" i="51"/>
  <c r="AG330" i="51"/>
  <c r="AG329" i="51"/>
  <c r="AG328" i="51"/>
  <c r="AG327" i="51"/>
  <c r="AG326" i="51"/>
  <c r="AG325" i="51"/>
  <c r="AG324" i="51"/>
  <c r="AG323" i="51"/>
  <c r="AG322" i="51"/>
  <c r="AG321" i="51"/>
  <c r="AG320" i="51"/>
  <c r="AG319" i="51"/>
  <c r="AG318" i="51"/>
  <c r="AG317" i="51"/>
  <c r="AG316" i="51"/>
  <c r="AG315" i="51"/>
  <c r="AG314" i="51"/>
  <c r="AG313" i="51"/>
  <c r="AG312" i="51"/>
  <c r="AG311" i="51"/>
  <c r="AG310" i="51"/>
  <c r="AG309" i="51"/>
  <c r="AG308" i="51"/>
  <c r="AG307" i="51"/>
  <c r="AG306" i="51"/>
  <c r="AG305" i="51"/>
  <c r="AG304" i="51"/>
  <c r="AG303" i="51"/>
  <c r="AG302" i="51"/>
  <c r="AG301" i="51"/>
  <c r="AG300" i="51"/>
  <c r="AG299" i="51"/>
  <c r="AG298" i="51"/>
  <c r="AG297" i="51"/>
  <c r="AG296" i="51"/>
  <c r="AG295" i="51"/>
  <c r="AG294" i="51"/>
  <c r="AG293" i="51"/>
  <c r="AG292" i="51"/>
  <c r="AG291" i="51"/>
  <c r="AG290" i="51"/>
  <c r="AG289" i="51"/>
  <c r="AG288" i="51"/>
  <c r="AG287" i="51"/>
  <c r="AG286" i="51"/>
  <c r="AG285" i="51"/>
  <c r="AG284" i="51"/>
  <c r="AG283" i="51"/>
  <c r="AG282" i="51"/>
  <c r="AG281" i="51"/>
  <c r="AG280" i="51"/>
  <c r="AG279" i="51"/>
  <c r="AG278" i="51"/>
  <c r="AG277" i="51"/>
  <c r="AG276" i="51"/>
  <c r="AG275" i="51"/>
  <c r="AG274" i="51"/>
  <c r="AG273" i="51"/>
  <c r="AG272" i="51"/>
  <c r="AG271" i="51"/>
  <c r="AG270" i="51"/>
  <c r="AG269" i="51"/>
  <c r="AG268" i="51"/>
  <c r="AG267" i="51"/>
  <c r="AG266" i="51"/>
  <c r="AG265" i="51"/>
  <c r="AG264" i="51"/>
  <c r="AG263" i="51"/>
  <c r="AG262" i="51"/>
  <c r="AG261" i="51"/>
  <c r="AG260" i="51"/>
  <c r="AG259" i="51"/>
  <c r="AG258" i="51"/>
  <c r="AG257" i="51"/>
  <c r="AG256" i="51"/>
  <c r="AG255" i="51"/>
  <c r="AG254" i="51"/>
  <c r="AG253" i="51"/>
  <c r="AG252" i="51"/>
  <c r="AG251" i="51"/>
  <c r="AG250" i="51"/>
  <c r="AG249" i="51"/>
  <c r="AG248" i="51"/>
  <c r="AG247" i="51"/>
  <c r="AG246" i="51"/>
  <c r="AG245" i="51"/>
  <c r="AG244" i="51"/>
  <c r="AG243" i="51"/>
  <c r="AG242" i="51"/>
  <c r="AG241" i="51"/>
  <c r="AG240" i="51"/>
  <c r="AG239" i="51"/>
  <c r="AG238" i="51"/>
  <c r="AG237" i="51"/>
  <c r="AG236" i="51"/>
  <c r="AG235" i="51"/>
  <c r="AG234" i="51"/>
  <c r="AG233" i="51"/>
  <c r="AG232" i="51"/>
  <c r="AG231" i="51"/>
  <c r="AG230" i="51"/>
  <c r="AG229" i="51"/>
  <c r="AG228" i="51"/>
  <c r="AG227" i="51"/>
  <c r="AG226" i="51"/>
  <c r="AG225" i="51"/>
  <c r="AG224" i="51"/>
  <c r="AG223" i="51"/>
  <c r="AG222" i="51"/>
  <c r="AG221" i="51"/>
  <c r="AG220" i="51"/>
  <c r="AG219" i="51"/>
  <c r="AG218" i="51"/>
  <c r="AG217" i="51"/>
  <c r="AG216" i="51"/>
  <c r="AG215" i="51"/>
  <c r="AG214" i="51"/>
  <c r="AG213" i="51"/>
  <c r="AG212" i="51"/>
  <c r="AG211" i="51"/>
  <c r="AG210" i="51"/>
  <c r="AG209" i="51"/>
  <c r="AG208" i="51"/>
  <c r="AG207" i="51"/>
  <c r="AG206" i="51"/>
  <c r="AG205" i="51"/>
  <c r="AG204" i="51"/>
  <c r="AG203" i="51"/>
  <c r="AG202" i="51"/>
  <c r="AG201" i="51"/>
  <c r="AG200" i="51"/>
  <c r="AG199" i="51"/>
  <c r="AG198" i="51"/>
  <c r="AG197" i="51"/>
  <c r="AG196" i="51"/>
  <c r="AG195" i="51"/>
  <c r="AG194" i="51"/>
  <c r="AG193" i="51"/>
  <c r="AG192" i="51"/>
  <c r="AG191" i="51"/>
  <c r="AG190" i="51"/>
  <c r="AG189" i="51"/>
  <c r="AG188" i="51"/>
  <c r="AG187" i="51"/>
  <c r="AG186" i="51"/>
  <c r="AG185" i="51"/>
  <c r="AG184" i="51"/>
  <c r="AG183" i="51"/>
  <c r="AG182" i="51"/>
  <c r="AG181" i="51"/>
  <c r="AG180" i="51"/>
  <c r="AG179" i="51"/>
  <c r="AG178" i="51"/>
  <c r="AG177" i="51"/>
  <c r="AG176" i="51"/>
  <c r="AG175" i="51"/>
  <c r="AG174" i="51"/>
  <c r="AG173" i="51"/>
  <c r="AG172" i="51"/>
  <c r="AG171" i="51"/>
  <c r="AG170" i="51"/>
  <c r="AG169" i="51"/>
  <c r="AG168" i="51"/>
  <c r="AG167" i="51"/>
  <c r="AG166" i="51"/>
  <c r="AG165" i="51"/>
  <c r="AG164" i="51"/>
  <c r="AG163" i="51"/>
  <c r="AG162" i="51"/>
  <c r="AG161" i="51"/>
  <c r="AG160" i="51"/>
  <c r="AG159" i="51"/>
  <c r="AG158" i="51"/>
  <c r="AG157" i="51"/>
  <c r="AG156" i="51"/>
  <c r="AG155" i="51"/>
  <c r="AG154" i="51"/>
  <c r="AG153" i="51"/>
  <c r="AG152" i="51"/>
  <c r="AG151" i="51"/>
  <c r="AG150" i="51"/>
  <c r="AG149" i="51"/>
  <c r="AG148" i="51"/>
  <c r="AG147" i="51"/>
  <c r="AG146" i="51"/>
  <c r="AG145" i="51"/>
  <c r="AG144" i="51"/>
  <c r="AG143" i="51"/>
  <c r="AG142" i="51"/>
  <c r="AG141" i="51"/>
  <c r="AG140" i="51"/>
  <c r="AG139" i="51"/>
  <c r="AG138" i="51"/>
  <c r="AG137" i="51"/>
  <c r="AG136" i="51"/>
  <c r="AG135" i="51"/>
  <c r="AG134" i="51"/>
  <c r="AG133" i="51"/>
  <c r="AG132" i="51"/>
  <c r="AG131" i="51"/>
  <c r="AG130" i="51"/>
  <c r="AG129" i="51"/>
  <c r="AG128" i="51"/>
  <c r="AG127" i="51"/>
  <c r="AG126" i="51"/>
  <c r="AG125" i="51"/>
  <c r="AG124" i="51"/>
  <c r="AG123" i="51"/>
  <c r="AG122" i="51"/>
  <c r="AG121" i="51"/>
  <c r="AG120" i="51"/>
  <c r="AG119" i="51"/>
  <c r="AG118" i="51"/>
  <c r="AG117" i="51"/>
  <c r="AG116" i="51"/>
  <c r="AG115" i="51"/>
  <c r="AG114" i="51"/>
  <c r="AG113" i="51"/>
  <c r="AG112" i="51"/>
  <c r="AG111" i="51"/>
  <c r="AG110" i="51"/>
  <c r="AG109" i="51"/>
  <c r="AG108" i="51"/>
  <c r="AG107" i="51"/>
  <c r="AG106" i="51"/>
  <c r="AG105" i="51"/>
  <c r="AG104" i="51"/>
  <c r="AG103" i="51"/>
  <c r="AG102" i="51"/>
  <c r="AG101" i="51"/>
  <c r="AG100" i="51"/>
  <c r="AG99" i="51"/>
  <c r="AG98" i="51"/>
  <c r="AG97" i="51"/>
  <c r="AG96" i="51"/>
  <c r="AG95" i="51"/>
  <c r="AG94" i="51"/>
  <c r="AG93" i="51"/>
  <c r="AG92" i="51"/>
  <c r="AG91" i="51"/>
  <c r="AG90" i="51"/>
  <c r="AG89" i="51"/>
  <c r="AG88" i="51"/>
  <c r="AG87" i="51"/>
  <c r="AG86" i="51"/>
  <c r="AG85" i="51"/>
  <c r="AG84" i="51"/>
  <c r="AG83" i="51"/>
  <c r="AG82" i="51"/>
  <c r="AG81" i="51"/>
  <c r="AG80" i="51"/>
  <c r="AG79" i="51"/>
  <c r="AG78" i="51"/>
  <c r="AG77" i="51"/>
  <c r="AG76" i="51"/>
  <c r="AG75" i="51"/>
  <c r="AG74" i="51"/>
  <c r="AG73" i="51"/>
  <c r="AG72" i="51"/>
  <c r="AG71" i="51"/>
  <c r="AG70" i="51"/>
  <c r="AG69" i="51"/>
  <c r="AG68" i="51"/>
  <c r="AG67" i="51"/>
  <c r="AG66" i="51"/>
  <c r="AG65" i="51"/>
  <c r="AG64" i="51"/>
  <c r="AG63" i="51"/>
  <c r="AG62" i="51"/>
  <c r="AG61" i="51"/>
  <c r="AG60" i="51"/>
  <c r="AG59" i="51"/>
  <c r="AG58" i="51"/>
  <c r="AG57" i="51"/>
  <c r="AG56" i="51"/>
  <c r="AG55" i="51"/>
  <c r="AG54" i="51"/>
  <c r="AG53" i="51"/>
  <c r="AG52" i="51"/>
  <c r="AG51" i="51"/>
  <c r="AG50" i="51"/>
  <c r="AG49" i="51"/>
  <c r="AG48" i="51"/>
  <c r="AG47" i="51"/>
  <c r="AG46" i="51"/>
  <c r="AG45" i="51"/>
  <c r="AG44" i="51"/>
  <c r="AG43" i="51"/>
  <c r="AG42" i="51"/>
  <c r="AG41" i="51"/>
  <c r="AG40" i="51"/>
  <c r="AG39" i="51"/>
  <c r="AG38" i="51"/>
  <c r="AG37" i="51"/>
  <c r="AG36" i="51"/>
  <c r="AG35" i="51"/>
  <c r="AG34" i="51"/>
  <c r="AG33" i="51"/>
  <c r="AG32" i="51"/>
  <c r="AG31" i="51"/>
  <c r="AG30" i="51"/>
  <c r="AG29" i="51"/>
  <c r="AG28" i="51"/>
  <c r="AG27" i="51"/>
  <c r="AG26" i="51"/>
  <c r="AG25" i="51"/>
  <c r="AG24" i="51"/>
  <c r="AG23" i="51"/>
  <c r="AG22" i="51"/>
  <c r="AG21" i="51"/>
  <c r="AG20" i="51"/>
  <c r="AG19" i="51"/>
  <c r="AG18" i="51"/>
  <c r="AG17" i="51"/>
  <c r="AG16" i="51"/>
  <c r="AG15" i="51"/>
  <c r="AG14" i="51"/>
  <c r="AG13" i="51"/>
  <c r="AG12" i="51"/>
  <c r="AG11" i="51"/>
  <c r="AG10" i="51"/>
  <c r="AG9" i="51"/>
  <c r="AG8" i="51"/>
  <c r="AG7" i="51"/>
  <c r="AG6" i="51"/>
  <c r="AG5" i="51"/>
  <c r="AD370" i="51"/>
  <c r="AD369" i="51"/>
  <c r="AD368" i="51"/>
  <c r="AD367" i="51"/>
  <c r="AD366" i="51"/>
  <c r="AD365" i="51"/>
  <c r="AD364" i="51"/>
  <c r="AD363" i="51"/>
  <c r="AD362" i="51"/>
  <c r="AD361" i="51"/>
  <c r="AD360" i="51"/>
  <c r="AD359" i="51"/>
  <c r="AD358" i="51"/>
  <c r="AD357" i="51"/>
  <c r="AD356" i="51"/>
  <c r="AD355" i="51"/>
  <c r="AD354" i="51"/>
  <c r="AD353" i="51"/>
  <c r="AD352" i="51"/>
  <c r="AD351" i="51"/>
  <c r="AD350" i="51"/>
  <c r="AD349" i="51"/>
  <c r="AD348" i="51"/>
  <c r="AD347" i="51"/>
  <c r="AD346" i="51"/>
  <c r="AD345" i="51"/>
  <c r="AD344" i="51"/>
  <c r="AD343" i="51"/>
  <c r="AD342" i="51"/>
  <c r="AD341" i="51"/>
  <c r="AD340" i="51"/>
  <c r="AD339" i="51"/>
  <c r="AD338" i="51"/>
  <c r="AD337" i="51"/>
  <c r="AD336" i="51"/>
  <c r="AD335" i="51"/>
  <c r="AD334" i="51"/>
  <c r="AD333" i="51"/>
  <c r="AD332" i="51"/>
  <c r="AD331" i="51"/>
  <c r="AD330" i="51"/>
  <c r="AD329" i="51"/>
  <c r="AD328" i="51"/>
  <c r="AD327" i="51"/>
  <c r="AD326" i="51"/>
  <c r="AD325" i="51"/>
  <c r="AD324" i="51"/>
  <c r="AD323" i="51"/>
  <c r="AD322" i="51"/>
  <c r="AD321" i="51"/>
  <c r="AD320" i="51"/>
  <c r="AD319" i="51"/>
  <c r="AD318" i="51"/>
  <c r="AD317" i="51"/>
  <c r="AD316" i="51"/>
  <c r="AD315" i="51"/>
  <c r="AD314" i="51"/>
  <c r="AD313" i="51"/>
  <c r="AD312" i="51"/>
  <c r="AD311" i="51"/>
  <c r="AD310" i="51"/>
  <c r="AD309" i="51"/>
  <c r="AD308" i="51"/>
  <c r="AD307" i="51"/>
  <c r="AD306" i="51"/>
  <c r="AD305" i="51"/>
  <c r="AD304" i="51"/>
  <c r="AD303" i="51"/>
  <c r="AD302" i="51"/>
  <c r="AD301" i="51"/>
  <c r="AD300" i="51"/>
  <c r="AD299" i="51"/>
  <c r="AD298" i="51"/>
  <c r="AD297" i="51"/>
  <c r="AD296" i="51"/>
  <c r="AD295" i="51"/>
  <c r="AD294" i="51"/>
  <c r="AD293" i="51"/>
  <c r="AD292" i="51"/>
  <c r="AD291" i="51"/>
  <c r="AD290" i="51"/>
  <c r="AD289" i="51"/>
  <c r="AD288" i="51"/>
  <c r="AD287" i="51"/>
  <c r="AD286" i="51"/>
  <c r="AD285" i="51"/>
  <c r="AD284" i="51"/>
  <c r="AD283" i="51"/>
  <c r="AD282" i="51"/>
  <c r="AD281" i="51"/>
  <c r="AD280" i="51"/>
  <c r="AD279" i="51"/>
  <c r="AD278" i="51"/>
  <c r="AD277" i="51"/>
  <c r="AD276" i="51"/>
  <c r="AD275" i="51"/>
  <c r="AD274" i="51"/>
  <c r="AD273" i="51"/>
  <c r="AD272" i="51"/>
  <c r="AD271" i="51"/>
  <c r="AD270" i="51"/>
  <c r="AD269" i="51"/>
  <c r="AD268" i="51"/>
  <c r="AD267" i="51"/>
  <c r="AD266" i="51"/>
  <c r="AD265" i="51"/>
  <c r="AD264" i="51"/>
  <c r="AD263" i="51"/>
  <c r="AD262" i="51"/>
  <c r="AD261" i="51"/>
  <c r="AD260" i="51"/>
  <c r="AD259" i="51"/>
  <c r="AD258" i="51"/>
  <c r="AD257" i="51"/>
  <c r="AD256" i="51"/>
  <c r="AD255" i="51"/>
  <c r="AD254" i="51"/>
  <c r="AD253" i="51"/>
  <c r="AD252" i="51"/>
  <c r="AD251" i="51"/>
  <c r="AD250" i="51"/>
  <c r="AD249" i="51"/>
  <c r="AD248" i="51"/>
  <c r="AD247" i="51"/>
  <c r="AD246" i="51"/>
  <c r="AD245" i="51"/>
  <c r="AD244" i="51"/>
  <c r="AD243" i="51"/>
  <c r="AD242" i="51"/>
  <c r="AD241" i="51"/>
  <c r="AD240" i="51"/>
  <c r="AD239" i="51"/>
  <c r="AD238" i="51"/>
  <c r="AD237" i="51"/>
  <c r="AD236" i="51"/>
  <c r="AD235" i="51"/>
  <c r="AD234" i="51"/>
  <c r="AD233" i="51"/>
  <c r="AD232" i="51"/>
  <c r="AD231" i="51"/>
  <c r="AD230" i="51"/>
  <c r="AD229" i="51"/>
  <c r="AD228" i="51"/>
  <c r="AD227" i="51"/>
  <c r="AD226" i="51"/>
  <c r="AD225" i="51"/>
  <c r="AD224" i="51"/>
  <c r="AD223" i="51"/>
  <c r="AD222" i="51"/>
  <c r="AD221" i="51"/>
  <c r="AD220" i="51"/>
  <c r="AD219" i="51"/>
  <c r="AD218" i="51"/>
  <c r="AD217" i="51"/>
  <c r="AD216" i="51"/>
  <c r="AD215" i="51"/>
  <c r="AD214" i="51"/>
  <c r="AD213" i="51"/>
  <c r="AD212" i="51"/>
  <c r="AD211" i="51"/>
  <c r="AD210" i="51"/>
  <c r="AD209" i="51"/>
  <c r="AD208" i="51"/>
  <c r="AD207" i="51"/>
  <c r="AD206" i="51"/>
  <c r="AD205" i="51"/>
  <c r="AD204" i="51"/>
  <c r="AD203" i="51"/>
  <c r="AD202" i="51"/>
  <c r="AD201" i="51"/>
  <c r="AD200" i="51"/>
  <c r="AD199" i="51"/>
  <c r="AD198" i="51"/>
  <c r="AD197" i="51"/>
  <c r="AD196" i="51"/>
  <c r="AD195" i="51"/>
  <c r="AD194" i="51"/>
  <c r="AD193" i="51"/>
  <c r="AD192" i="51"/>
  <c r="AD191" i="51"/>
  <c r="AL328" i="51"/>
  <c r="AL275" i="51"/>
  <c r="AL243" i="51"/>
  <c r="AL227" i="51"/>
  <c r="AL211" i="51"/>
  <c r="AL195" i="51"/>
  <c r="AL179" i="51"/>
  <c r="AL163" i="51"/>
  <c r="AL147" i="51"/>
  <c r="AL131" i="51"/>
  <c r="AM115" i="51"/>
  <c r="AM107" i="51"/>
  <c r="AM99" i="51"/>
  <c r="AM91" i="51"/>
  <c r="AM83" i="51"/>
  <c r="AM75" i="51"/>
  <c r="AM67" i="51"/>
  <c r="AM59" i="51"/>
  <c r="AM51" i="51"/>
  <c r="AM43" i="51"/>
  <c r="AM35" i="51"/>
  <c r="AL29" i="51"/>
  <c r="AL25" i="51"/>
  <c r="AL21" i="51"/>
  <c r="AL17" i="51"/>
  <c r="AL13" i="51"/>
  <c r="AL9" i="51"/>
  <c r="AL5" i="51"/>
  <c r="AI363" i="51"/>
  <c r="AI355" i="51"/>
  <c r="AI347" i="51"/>
  <c r="AI339" i="51"/>
  <c r="AI331" i="51"/>
  <c r="AI323" i="51"/>
  <c r="AI315" i="51"/>
  <c r="AI307" i="51"/>
  <c r="AI299" i="51"/>
  <c r="AI291" i="51"/>
  <c r="AI283" i="51"/>
  <c r="AI275" i="51"/>
  <c r="AI267" i="51"/>
  <c r="AI259" i="51"/>
  <c r="AI251" i="51"/>
  <c r="AI243" i="51"/>
  <c r="AI235" i="51"/>
  <c r="AI227" i="51"/>
  <c r="AI219" i="51"/>
  <c r="AI211" i="51"/>
  <c r="AI203" i="51"/>
  <c r="AI195" i="51"/>
  <c r="AI187" i="51"/>
  <c r="AI179" i="51"/>
  <c r="AI171" i="51"/>
  <c r="AI163" i="51"/>
  <c r="AI155" i="51"/>
  <c r="AI147" i="51"/>
  <c r="AI140" i="51"/>
  <c r="AI136" i="51"/>
  <c r="AI132" i="51"/>
  <c r="AI128" i="51"/>
  <c r="AI124" i="51"/>
  <c r="AI120" i="51"/>
  <c r="AI116" i="51"/>
  <c r="AI112" i="51"/>
  <c r="AI108" i="51"/>
  <c r="AI104" i="51"/>
  <c r="AI100" i="51"/>
  <c r="AI96" i="51"/>
  <c r="AI92" i="51"/>
  <c r="AI88" i="51"/>
  <c r="AI84" i="51"/>
  <c r="AI80" i="51"/>
  <c r="AI76" i="51"/>
  <c r="AI72" i="51"/>
  <c r="AI68" i="51"/>
  <c r="AI64" i="51"/>
  <c r="AI60" i="51"/>
  <c r="AI56" i="51"/>
  <c r="AI52" i="51"/>
  <c r="AI48" i="51"/>
  <c r="AI44" i="51"/>
  <c r="AI40" i="51"/>
  <c r="AI36" i="51"/>
  <c r="AI32" i="51"/>
  <c r="AI28" i="51"/>
  <c r="AI24" i="51"/>
  <c r="AI20" i="51"/>
  <c r="AI16" i="51"/>
  <c r="AI12" i="51"/>
  <c r="AI8" i="51"/>
  <c r="AF370" i="51"/>
  <c r="AF366" i="51"/>
  <c r="AF362" i="51"/>
  <c r="AF358" i="51"/>
  <c r="AF354" i="51"/>
  <c r="AF350" i="51"/>
  <c r="AF346" i="51"/>
  <c r="AF342" i="51"/>
  <c r="AF338" i="51"/>
  <c r="AF335" i="51"/>
  <c r="AF333" i="51"/>
  <c r="AF331" i="51"/>
  <c r="AF329" i="51"/>
  <c r="AF327" i="51"/>
  <c r="AF325" i="51"/>
  <c r="AF323" i="51"/>
  <c r="AF321" i="51"/>
  <c r="AF319" i="51"/>
  <c r="AF317" i="51"/>
  <c r="AF315" i="51"/>
  <c r="AF313" i="51"/>
  <c r="AF311" i="51"/>
  <c r="AF309" i="51"/>
  <c r="AF307" i="51"/>
  <c r="AF305" i="51"/>
  <c r="AF303" i="51"/>
  <c r="AF301" i="51"/>
  <c r="AF299" i="51"/>
  <c r="AF297" i="51"/>
  <c r="AF295" i="51"/>
  <c r="AF293" i="51"/>
  <c r="AF291" i="51"/>
  <c r="AF289" i="51"/>
  <c r="AF287" i="51"/>
  <c r="AF285" i="51"/>
  <c r="AF283" i="51"/>
  <c r="AF281" i="51"/>
  <c r="AF279" i="51"/>
  <c r="AF277" i="51"/>
  <c r="AF275" i="51"/>
  <c r="AF273" i="51"/>
  <c r="AF271" i="51"/>
  <c r="AF269" i="51"/>
  <c r="AF267" i="51"/>
  <c r="AF265" i="51"/>
  <c r="AF263" i="51"/>
  <c r="AF261" i="51"/>
  <c r="AF259" i="51"/>
  <c r="AF257" i="51"/>
  <c r="AF255" i="51"/>
  <c r="AF253" i="51"/>
  <c r="AF251" i="51"/>
  <c r="AF249" i="51"/>
  <c r="AF247" i="51"/>
  <c r="AF245" i="51"/>
  <c r="AF243" i="51"/>
  <c r="AF241" i="51"/>
  <c r="AF239" i="51"/>
  <c r="AF237" i="51"/>
  <c r="AF235" i="51"/>
  <c r="AF233" i="51"/>
  <c r="AF231" i="51"/>
  <c r="AF229" i="51"/>
  <c r="AF227" i="51"/>
  <c r="AF225" i="51"/>
  <c r="AF223" i="51"/>
  <c r="AF221" i="51"/>
  <c r="AF219" i="51"/>
  <c r="AF217" i="51"/>
  <c r="AF215" i="51"/>
  <c r="AF213" i="51"/>
  <c r="AF211" i="51"/>
  <c r="AF209" i="51"/>
  <c r="AF207" i="51"/>
  <c r="AF205" i="51"/>
  <c r="AF203" i="51"/>
  <c r="AF201" i="51"/>
  <c r="AF199" i="51"/>
  <c r="AF197" i="51"/>
  <c r="AF195" i="51"/>
  <c r="AF193" i="51"/>
  <c r="AF191" i="51"/>
  <c r="AF189" i="51"/>
  <c r="AF187" i="51"/>
  <c r="AF185" i="51"/>
  <c r="AF183" i="51"/>
  <c r="AF181" i="51"/>
  <c r="AF179" i="51"/>
  <c r="AF177" i="51"/>
  <c r="AF175" i="51"/>
  <c r="AF173" i="51"/>
  <c r="AF171" i="51"/>
  <c r="AF169" i="51"/>
  <c r="AF167" i="51"/>
  <c r="AF165" i="51"/>
  <c r="AF163" i="51"/>
  <c r="AF161" i="51"/>
  <c r="AF159" i="51"/>
  <c r="AF157" i="51"/>
  <c r="AF155" i="51"/>
  <c r="AF153" i="51"/>
  <c r="AF151" i="51"/>
  <c r="AF149" i="51"/>
  <c r="AF147" i="51"/>
  <c r="AF145" i="51"/>
  <c r="AF143" i="51"/>
  <c r="AF141" i="51"/>
  <c r="AF139" i="51"/>
  <c r="AF137" i="51"/>
  <c r="AF135" i="51"/>
  <c r="AF133" i="51"/>
  <c r="AF131" i="51"/>
  <c r="AF129" i="51"/>
  <c r="AF127" i="51"/>
  <c r="AF125" i="51"/>
  <c r="AF123" i="51"/>
  <c r="AF121" i="51"/>
  <c r="AF119" i="51"/>
  <c r="AF117" i="51"/>
  <c r="AF115" i="51"/>
  <c r="AF113" i="51"/>
  <c r="AF111" i="51"/>
  <c r="AF109" i="51"/>
  <c r="AF107" i="51"/>
  <c r="AF105" i="51"/>
  <c r="AF103" i="51"/>
  <c r="AF101" i="51"/>
  <c r="AF99" i="51"/>
  <c r="AF97" i="51"/>
  <c r="AF95" i="51"/>
  <c r="AF93" i="51"/>
  <c r="AF91" i="51"/>
  <c r="AF89" i="51"/>
  <c r="AF87" i="51"/>
  <c r="AF85" i="51"/>
  <c r="AF83" i="51"/>
  <c r="AF81" i="51"/>
  <c r="AF79" i="51"/>
  <c r="AF77" i="51"/>
  <c r="AF75" i="51"/>
  <c r="AF73" i="51"/>
  <c r="AF71" i="51"/>
  <c r="AF69" i="51"/>
  <c r="AF67" i="51"/>
  <c r="AF65" i="51"/>
  <c r="AF63" i="51"/>
  <c r="AF61" i="51"/>
  <c r="AF59" i="51"/>
  <c r="AF57" i="51"/>
  <c r="AF55" i="51"/>
  <c r="AF53" i="51"/>
  <c r="AF51" i="51"/>
  <c r="AF49" i="51"/>
  <c r="AF47" i="51"/>
  <c r="AF45" i="51"/>
  <c r="AF43" i="51"/>
  <c r="AF41" i="51"/>
  <c r="AF39" i="51"/>
  <c r="AF37" i="51"/>
  <c r="AF35" i="51"/>
  <c r="AF33" i="51"/>
  <c r="AF31" i="51"/>
  <c r="AF29" i="51"/>
  <c r="AF27" i="51"/>
  <c r="AF25" i="51"/>
  <c r="AF23" i="51"/>
  <c r="AF21" i="51"/>
  <c r="AF19" i="51"/>
  <c r="AF17" i="51"/>
  <c r="AF15" i="51"/>
  <c r="AF13" i="51"/>
  <c r="AF11" i="51"/>
  <c r="AF9" i="51"/>
  <c r="AF7" i="51"/>
  <c r="AF5" i="51"/>
  <c r="AC369" i="51"/>
  <c r="AC367" i="51"/>
  <c r="AC365" i="51"/>
  <c r="AC363" i="51"/>
  <c r="AC361" i="51"/>
  <c r="AC359" i="51"/>
  <c r="AC357" i="51"/>
  <c r="AC355" i="51"/>
  <c r="AC353" i="51"/>
  <c r="AC351" i="51"/>
  <c r="AC349" i="51"/>
  <c r="AC347" i="51"/>
  <c r="AC345" i="51"/>
  <c r="AC343" i="51"/>
  <c r="AC341" i="51"/>
  <c r="AC339" i="51"/>
  <c r="AC337" i="51"/>
  <c r="AC335" i="51"/>
  <c r="AC333" i="51"/>
  <c r="AC331" i="51"/>
  <c r="AC329" i="51"/>
  <c r="AC327" i="51"/>
  <c r="AC325" i="51"/>
  <c r="AC323" i="51"/>
  <c r="AC321" i="51"/>
  <c r="AC319" i="51"/>
  <c r="AC317" i="51"/>
  <c r="AC315" i="51"/>
  <c r="AC313" i="51"/>
  <c r="AC311" i="51"/>
  <c r="AC309" i="51"/>
  <c r="AC307" i="51"/>
  <c r="AC305" i="51"/>
  <c r="AC303" i="51"/>
  <c r="AC301" i="51"/>
  <c r="AI367" i="51"/>
  <c r="AI359" i="51"/>
  <c r="AI351" i="51"/>
  <c r="AI343" i="51"/>
  <c r="AI335" i="51"/>
  <c r="AI327" i="51"/>
  <c r="AI319" i="51"/>
  <c r="AI311" i="51"/>
  <c r="AI303" i="51"/>
  <c r="AI295" i="51"/>
  <c r="AI287" i="51"/>
  <c r="AI279" i="51"/>
  <c r="AI271" i="51"/>
  <c r="AI263" i="51"/>
  <c r="AI255" i="51"/>
  <c r="AI247" i="51"/>
  <c r="AI239" i="51"/>
  <c r="AI231" i="51"/>
  <c r="AI223" i="51"/>
  <c r="AI215" i="51"/>
  <c r="AI207" i="51"/>
  <c r="AI199" i="51"/>
  <c r="AI191" i="51"/>
  <c r="AI183" i="51"/>
  <c r="AI175" i="51"/>
  <c r="AI167" i="51"/>
  <c r="AI159" i="51"/>
  <c r="AI151" i="51"/>
  <c r="AI143" i="51"/>
  <c r="AI138" i="51"/>
  <c r="AI134" i="51"/>
  <c r="AI130" i="51"/>
  <c r="AI126" i="51"/>
  <c r="AI122" i="51"/>
  <c r="AI118" i="51"/>
  <c r="AI114" i="51"/>
  <c r="AI110" i="51"/>
  <c r="AI106" i="51"/>
  <c r="AI102" i="51"/>
  <c r="AI98" i="51"/>
  <c r="AI94" i="51"/>
  <c r="AI90" i="51"/>
  <c r="AI86" i="51"/>
  <c r="AI82" i="51"/>
  <c r="AI78" i="51"/>
  <c r="AI74" i="51"/>
  <c r="AI70" i="51"/>
  <c r="AI66" i="51"/>
  <c r="AI62" i="51"/>
  <c r="AI58" i="51"/>
  <c r="AI54" i="51"/>
  <c r="AI50" i="51"/>
  <c r="AI46" i="51"/>
  <c r="AI42" i="51"/>
  <c r="AI38" i="51"/>
  <c r="AI34" i="51"/>
  <c r="AI30" i="51"/>
  <c r="AI26" i="51"/>
  <c r="AI22" i="51"/>
  <c r="AI18" i="51"/>
  <c r="AI14" i="51"/>
  <c r="AI10" i="51"/>
  <c r="AI6" i="51"/>
  <c r="AF368" i="51"/>
  <c r="AF364" i="51"/>
  <c r="AF360" i="51"/>
  <c r="AF356" i="51"/>
  <c r="AF352" i="51"/>
  <c r="AF348" i="51"/>
  <c r="AF344" i="51"/>
  <c r="AF340" i="51"/>
  <c r="AF336" i="51"/>
  <c r="AF334" i="51"/>
  <c r="AF332" i="51"/>
  <c r="AF330" i="51"/>
  <c r="AF328" i="51"/>
  <c r="AF326" i="51"/>
  <c r="AF324" i="51"/>
  <c r="AF322" i="51"/>
  <c r="AF320" i="51"/>
  <c r="AF318" i="51"/>
  <c r="AF316" i="51"/>
  <c r="AF314" i="51"/>
  <c r="AF312" i="51"/>
  <c r="AF310" i="51"/>
  <c r="AF308" i="51"/>
  <c r="AF306" i="51"/>
  <c r="AF304" i="51"/>
  <c r="AF302" i="51"/>
  <c r="AF300" i="51"/>
  <c r="AF298" i="51"/>
  <c r="AF296" i="51"/>
  <c r="AF294" i="51"/>
  <c r="AF292" i="51"/>
  <c r="AF290" i="51"/>
  <c r="AF288" i="51"/>
  <c r="AF286" i="51"/>
  <c r="AF284" i="51"/>
  <c r="AF282" i="51"/>
  <c r="AF280" i="51"/>
  <c r="AF278" i="51"/>
  <c r="AF276" i="51"/>
  <c r="AF274" i="51"/>
  <c r="AF272" i="51"/>
  <c r="AF270" i="51"/>
  <c r="AF268" i="51"/>
  <c r="AF266" i="51"/>
  <c r="AF264" i="51"/>
  <c r="AF262" i="51"/>
  <c r="AF260" i="51"/>
  <c r="AF258" i="51"/>
  <c r="AF256" i="51"/>
  <c r="AF254" i="51"/>
  <c r="AF252" i="51"/>
  <c r="AF250" i="51"/>
  <c r="AF248" i="51"/>
  <c r="AF246" i="51"/>
  <c r="AF244" i="51"/>
  <c r="AF242" i="51"/>
  <c r="AF240" i="51"/>
  <c r="AF238" i="51"/>
  <c r="AF236" i="51"/>
  <c r="AF234" i="51"/>
  <c r="AF232" i="51"/>
  <c r="AF230" i="51"/>
  <c r="AF228" i="51"/>
  <c r="AF226" i="51"/>
  <c r="AF224" i="51"/>
  <c r="AF222" i="51"/>
  <c r="AF220" i="51"/>
  <c r="AF218" i="51"/>
  <c r="AF216" i="51"/>
  <c r="AF214" i="51"/>
  <c r="AF212" i="51"/>
  <c r="AF210" i="51"/>
  <c r="AF208" i="51"/>
  <c r="AF206" i="51"/>
  <c r="AF204" i="51"/>
  <c r="AF202" i="51"/>
  <c r="AF200" i="51"/>
  <c r="AF198" i="51"/>
  <c r="AF196" i="51"/>
  <c r="AF194" i="51"/>
  <c r="AF192" i="51"/>
  <c r="AF190" i="51"/>
  <c r="AF188" i="51"/>
  <c r="AF186" i="51"/>
  <c r="AF184" i="51"/>
  <c r="AF182" i="51"/>
  <c r="AF180" i="51"/>
  <c r="AF178" i="51"/>
  <c r="AF176" i="51"/>
  <c r="AF174" i="51"/>
  <c r="AF172" i="51"/>
  <c r="AF170" i="51"/>
  <c r="AF168" i="51"/>
  <c r="AF166" i="51"/>
  <c r="AF164" i="51"/>
  <c r="AF162" i="51"/>
  <c r="AF160" i="51"/>
  <c r="AF158" i="51"/>
  <c r="AF156" i="51"/>
  <c r="AF154" i="51"/>
  <c r="AF152" i="51"/>
  <c r="AF150" i="51"/>
  <c r="AF148" i="51"/>
  <c r="AF146" i="51"/>
  <c r="AF144" i="51"/>
  <c r="AF142" i="51"/>
  <c r="AF140" i="51"/>
  <c r="AF138" i="51"/>
  <c r="AF136" i="51"/>
  <c r="AF134" i="51"/>
  <c r="AF132" i="51"/>
  <c r="AF130" i="51"/>
  <c r="AF128" i="51"/>
  <c r="AF126" i="51"/>
  <c r="AF124" i="51"/>
  <c r="AF122" i="51"/>
  <c r="AF120" i="51"/>
  <c r="AF118" i="51"/>
  <c r="AF116" i="51"/>
  <c r="AF114" i="51"/>
  <c r="AF112" i="51"/>
  <c r="AF110" i="51"/>
  <c r="AF108" i="51"/>
  <c r="AF106" i="51"/>
  <c r="AF104" i="51"/>
  <c r="AF102" i="51"/>
  <c r="AF100" i="51"/>
  <c r="AF98" i="51"/>
  <c r="AF96" i="51"/>
  <c r="AF94" i="51"/>
  <c r="AF92" i="51"/>
  <c r="AF90" i="51"/>
  <c r="AF88" i="51"/>
  <c r="AF86" i="51"/>
  <c r="AF84" i="51"/>
  <c r="AF82" i="51"/>
  <c r="AF80" i="51"/>
  <c r="AF78" i="51"/>
  <c r="AF76" i="51"/>
  <c r="AF74" i="51"/>
  <c r="AF72" i="51"/>
  <c r="AF70" i="51"/>
  <c r="AF68" i="51"/>
  <c r="AF66" i="51"/>
  <c r="AF64" i="51"/>
  <c r="AF62" i="51"/>
  <c r="AF60" i="51"/>
  <c r="AF58" i="51"/>
  <c r="AF56" i="51"/>
  <c r="AF54" i="51"/>
  <c r="AF52" i="51"/>
  <c r="AF50" i="51"/>
  <c r="AF48" i="51"/>
  <c r="AF46" i="51"/>
  <c r="AF44" i="51"/>
  <c r="AF42" i="51"/>
  <c r="AF40" i="51"/>
  <c r="AF38" i="51"/>
  <c r="AF36" i="51"/>
  <c r="AF34" i="51"/>
  <c r="AF32" i="51"/>
  <c r="AF30" i="51"/>
  <c r="AF28" i="51"/>
  <c r="AF26" i="51"/>
  <c r="AF24" i="51"/>
  <c r="AF22" i="51"/>
  <c r="AF20" i="51"/>
  <c r="AF18" i="51"/>
  <c r="AF16" i="51"/>
  <c r="AF14" i="51"/>
  <c r="AF12" i="51"/>
  <c r="AF10" i="51"/>
  <c r="AF8" i="51"/>
  <c r="AF6" i="51"/>
  <c r="AC370" i="51"/>
  <c r="AC368" i="51"/>
  <c r="AC366" i="51"/>
  <c r="AC364" i="51"/>
  <c r="AC362" i="51"/>
  <c r="AC360" i="51"/>
  <c r="AC358" i="51"/>
  <c r="AC356" i="51"/>
  <c r="AC354" i="51"/>
  <c r="AC352" i="51"/>
  <c r="AC350" i="51"/>
  <c r="AC348" i="51"/>
  <c r="AC346" i="51"/>
  <c r="AC344" i="51"/>
  <c r="AC342" i="51"/>
  <c r="AC340" i="51"/>
  <c r="AC338" i="51"/>
  <c r="AC336" i="51"/>
  <c r="AC334" i="51"/>
  <c r="AC332" i="51"/>
  <c r="AC330" i="51"/>
  <c r="AC328" i="51"/>
  <c r="AC326" i="51"/>
  <c r="AC324" i="51"/>
  <c r="AC322" i="51"/>
  <c r="AC320" i="51"/>
  <c r="AC318" i="51"/>
  <c r="AC316" i="51"/>
  <c r="AC314" i="51"/>
  <c r="AC312" i="51"/>
  <c r="AC310" i="51"/>
  <c r="AC308" i="51"/>
  <c r="AC306" i="51"/>
  <c r="AC304" i="51"/>
  <c r="AC302" i="51"/>
  <c r="AC300" i="51"/>
  <c r="AC298" i="51"/>
  <c r="AC296" i="51"/>
  <c r="AC294" i="51"/>
  <c r="AC292" i="51"/>
  <c r="AC290" i="51"/>
  <c r="AC288" i="51"/>
  <c r="AC286" i="51"/>
  <c r="AC284" i="51"/>
  <c r="AC282" i="51"/>
  <c r="AC280" i="51"/>
  <c r="AC278" i="51"/>
  <c r="AC276" i="51"/>
  <c r="AC274" i="51"/>
  <c r="AC272" i="51"/>
  <c r="AC270" i="51"/>
  <c r="AC268" i="51"/>
  <c r="AC266" i="51"/>
  <c r="AC264" i="51"/>
  <c r="AC262" i="51"/>
  <c r="AC260" i="51"/>
  <c r="AC258" i="51"/>
  <c r="AC256" i="51"/>
  <c r="AC254" i="51"/>
  <c r="AC252" i="51"/>
  <c r="AC250" i="51"/>
  <c r="AC248" i="51"/>
  <c r="AC246" i="51"/>
  <c r="AC244" i="51"/>
  <c r="AC242" i="51"/>
  <c r="AC240" i="51"/>
  <c r="AC238" i="51"/>
  <c r="AC236" i="51"/>
  <c r="AC234" i="51"/>
  <c r="AC232" i="51"/>
  <c r="AC230" i="51"/>
  <c r="AC228" i="51"/>
  <c r="AC226" i="51"/>
  <c r="AC224" i="51"/>
  <c r="AC222" i="51"/>
  <c r="AC220" i="51"/>
  <c r="AC218" i="51"/>
  <c r="AC216" i="51"/>
  <c r="AC214" i="51"/>
  <c r="AC212" i="51"/>
  <c r="AC210" i="51"/>
  <c r="AC208" i="51"/>
  <c r="AC206" i="51"/>
  <c r="AC204" i="51"/>
  <c r="AC202" i="51"/>
  <c r="AC200" i="51"/>
  <c r="AC198" i="51"/>
  <c r="AC196" i="51"/>
  <c r="AC194" i="51"/>
  <c r="AC192" i="51"/>
  <c r="AD190" i="51"/>
  <c r="AD189" i="51"/>
  <c r="AD188" i="51"/>
  <c r="AD187" i="51"/>
  <c r="AD186" i="51"/>
  <c r="AD185" i="51"/>
  <c r="AD184" i="51"/>
  <c r="AD183" i="51"/>
  <c r="AD182" i="51"/>
  <c r="AD181" i="51"/>
  <c r="AD180" i="51"/>
  <c r="AD179" i="51"/>
  <c r="AD178" i="51"/>
  <c r="AD177" i="51"/>
  <c r="AD176" i="51"/>
  <c r="AD175" i="51"/>
  <c r="AD174" i="51"/>
  <c r="AD173" i="51"/>
  <c r="AD172" i="51"/>
  <c r="AD171" i="51"/>
  <c r="AD170" i="51"/>
  <c r="AD169" i="51"/>
  <c r="AD168" i="51"/>
  <c r="AD167" i="51"/>
  <c r="AD166" i="51"/>
  <c r="AD165" i="51"/>
  <c r="AD164" i="51"/>
  <c r="AD163" i="51"/>
  <c r="AD162" i="51"/>
  <c r="AD161" i="51"/>
  <c r="AD160" i="51"/>
  <c r="AD159" i="51"/>
  <c r="AD158" i="51"/>
  <c r="AD157" i="51"/>
  <c r="AD156" i="51"/>
  <c r="AD155" i="51"/>
  <c r="AD154" i="51"/>
  <c r="AD153" i="51"/>
  <c r="AD152" i="51"/>
  <c r="AD151" i="51"/>
  <c r="AD150" i="51"/>
  <c r="AD149" i="51"/>
  <c r="AD148" i="51"/>
  <c r="AD147" i="51"/>
  <c r="AD146" i="51"/>
  <c r="AD145" i="51"/>
  <c r="AD144" i="51"/>
  <c r="AD143" i="51"/>
  <c r="AD142" i="51"/>
  <c r="AD141" i="51"/>
  <c r="AD140" i="51"/>
  <c r="AD139" i="51"/>
  <c r="AD138" i="51"/>
  <c r="AD137" i="51"/>
  <c r="AD136" i="51"/>
  <c r="AD135" i="51"/>
  <c r="AD134" i="51"/>
  <c r="AD133" i="51"/>
  <c r="AD132" i="51"/>
  <c r="AD131" i="51"/>
  <c r="AD130" i="51"/>
  <c r="AD129" i="51"/>
  <c r="AD128" i="51"/>
  <c r="AD127" i="51"/>
  <c r="AD126" i="51"/>
  <c r="AD125" i="51"/>
  <c r="AD124" i="51"/>
  <c r="AD123" i="51"/>
  <c r="AD122" i="51"/>
  <c r="AD121" i="51"/>
  <c r="AD120" i="51"/>
  <c r="AD119" i="51"/>
  <c r="AD118" i="51"/>
  <c r="AD117" i="51"/>
  <c r="AD116" i="51"/>
  <c r="AD115" i="51"/>
  <c r="AD114" i="51"/>
  <c r="AD113" i="51"/>
  <c r="AD112" i="51"/>
  <c r="AD111" i="51"/>
  <c r="AD110" i="51"/>
  <c r="AD109" i="51"/>
  <c r="AD108" i="51"/>
  <c r="AD107" i="51"/>
  <c r="AD106" i="51"/>
  <c r="AD105" i="51"/>
  <c r="AD104" i="51"/>
  <c r="AD103" i="51"/>
  <c r="AD102" i="51"/>
  <c r="AD101" i="51"/>
  <c r="AD100" i="51"/>
  <c r="AD99" i="51"/>
  <c r="AD98" i="51"/>
  <c r="AD97" i="51"/>
  <c r="AD96" i="51"/>
  <c r="AD95" i="51"/>
  <c r="AD94" i="51"/>
  <c r="AD93" i="51"/>
  <c r="AD92" i="51"/>
  <c r="AD91" i="51"/>
  <c r="AD90" i="51"/>
  <c r="AD89" i="51"/>
  <c r="AD88" i="51"/>
  <c r="AD87" i="51"/>
  <c r="AD86" i="51"/>
  <c r="AD85" i="51"/>
  <c r="AD84" i="51"/>
  <c r="AD83" i="51"/>
  <c r="AD82" i="51"/>
  <c r="AD81" i="51"/>
  <c r="AD80" i="51"/>
  <c r="AD79" i="51"/>
  <c r="AD78" i="51"/>
  <c r="AD77" i="51"/>
  <c r="AD76" i="51"/>
  <c r="AD75" i="51"/>
  <c r="AD74" i="51"/>
  <c r="AD73" i="51"/>
  <c r="AD72" i="51"/>
  <c r="AD71" i="51"/>
  <c r="AD70" i="51"/>
  <c r="AD69" i="51"/>
  <c r="AD68" i="51"/>
  <c r="AD67" i="51"/>
  <c r="AD66" i="51"/>
  <c r="AD65" i="51"/>
  <c r="AD64" i="51"/>
  <c r="AD63" i="51"/>
  <c r="AD62" i="51"/>
  <c r="AD61" i="51"/>
  <c r="AD60" i="51"/>
  <c r="AD59" i="51"/>
  <c r="AD58" i="51"/>
  <c r="AD57" i="51"/>
  <c r="AD56" i="51"/>
  <c r="AD55" i="51"/>
  <c r="AD54" i="51"/>
  <c r="AD53" i="51"/>
  <c r="AD52" i="51"/>
  <c r="AD51" i="51"/>
  <c r="AD50" i="51"/>
  <c r="AD49" i="51"/>
  <c r="AD48" i="51"/>
  <c r="AD47" i="51"/>
  <c r="AD46" i="51"/>
  <c r="AD45" i="51"/>
  <c r="AD44" i="51"/>
  <c r="AD43" i="51"/>
  <c r="AD42" i="51"/>
  <c r="AD41" i="51"/>
  <c r="AD40" i="51"/>
  <c r="AD39" i="51"/>
  <c r="AD38" i="51"/>
  <c r="AD37" i="51"/>
  <c r="AD36" i="51"/>
  <c r="AD35" i="51"/>
  <c r="AD34" i="51"/>
  <c r="AD33" i="51"/>
  <c r="AD32" i="51"/>
  <c r="AD31" i="51"/>
  <c r="AD30" i="51"/>
  <c r="AD29" i="51"/>
  <c r="AD28" i="51"/>
  <c r="AD27" i="51"/>
  <c r="AD26" i="51"/>
  <c r="AD25" i="51"/>
  <c r="AD24" i="51"/>
  <c r="AD23" i="51"/>
  <c r="AD22" i="51"/>
  <c r="AD21" i="51"/>
  <c r="AD20" i="51"/>
  <c r="AD19" i="51"/>
  <c r="AD18" i="51"/>
  <c r="AD17" i="51"/>
  <c r="AD16" i="51"/>
  <c r="AD15" i="51"/>
  <c r="AD14" i="51"/>
  <c r="AD13" i="51"/>
  <c r="AD12" i="51"/>
  <c r="AD11" i="51"/>
  <c r="AD10" i="51"/>
  <c r="AD9" i="51"/>
  <c r="AD8" i="51"/>
  <c r="AD7" i="51"/>
  <c r="AD6" i="51"/>
  <c r="AA370" i="51"/>
  <c r="AA363" i="51"/>
  <c r="AA356" i="51"/>
  <c r="AA349" i="51"/>
  <c r="AA342" i="51"/>
  <c r="AA335" i="51"/>
  <c r="AA328" i="51"/>
  <c r="AA321" i="51"/>
  <c r="AA314" i="51"/>
  <c r="AA307" i="51"/>
  <c r="AA300" i="51"/>
  <c r="AA293" i="51"/>
  <c r="AA286" i="51"/>
  <c r="AA279" i="51"/>
  <c r="AA272" i="51"/>
  <c r="AA265" i="51"/>
  <c r="AA258" i="51"/>
  <c r="AA251" i="51"/>
  <c r="AA244" i="51"/>
  <c r="AA237" i="51"/>
  <c r="AA230" i="51"/>
  <c r="AA223" i="51"/>
  <c r="AA216" i="51"/>
  <c r="AA209" i="51"/>
  <c r="AA202" i="51"/>
  <c r="AC299" i="51"/>
  <c r="AC295" i="51"/>
  <c r="AC291" i="51"/>
  <c r="AC287" i="51"/>
  <c r="AC283" i="51"/>
  <c r="AC279" i="51"/>
  <c r="AC275" i="51"/>
  <c r="AC271" i="51"/>
  <c r="AC267" i="51"/>
  <c r="AC263" i="51"/>
  <c r="AC259" i="51"/>
  <c r="AC255" i="51"/>
  <c r="AC251" i="51"/>
  <c r="AC247" i="51"/>
  <c r="AC243" i="51"/>
  <c r="AC239" i="51"/>
  <c r="AC235" i="51"/>
  <c r="AC231" i="51"/>
  <c r="AC227" i="51"/>
  <c r="AC223" i="51"/>
  <c r="AC219" i="51"/>
  <c r="AC215" i="51"/>
  <c r="AC211" i="51"/>
  <c r="AC207" i="51"/>
  <c r="AC203" i="51"/>
  <c r="AC199" i="51"/>
  <c r="AC195" i="51"/>
  <c r="AC191" i="51"/>
  <c r="AC189" i="51"/>
  <c r="AC187" i="51"/>
  <c r="AC185" i="51"/>
  <c r="AC183" i="51"/>
  <c r="AC181" i="51"/>
  <c r="AC179" i="51"/>
  <c r="AC177" i="51"/>
  <c r="AC175" i="51"/>
  <c r="AC173" i="51"/>
  <c r="AC171" i="51"/>
  <c r="AC169" i="51"/>
  <c r="AC167" i="51"/>
  <c r="AC165" i="51"/>
  <c r="AC163" i="51"/>
  <c r="AC161" i="51"/>
  <c r="AC159" i="51"/>
  <c r="AC157" i="51"/>
  <c r="AC155" i="51"/>
  <c r="AC153" i="51"/>
  <c r="AC151" i="51"/>
  <c r="AC149" i="51"/>
  <c r="AC147" i="51"/>
  <c r="AC145" i="51"/>
  <c r="AC143" i="51"/>
  <c r="AC141" i="51"/>
  <c r="AC139" i="51"/>
  <c r="AC137" i="51"/>
  <c r="AC135" i="51"/>
  <c r="AC133" i="51"/>
  <c r="AC131" i="51"/>
  <c r="AC129" i="51"/>
  <c r="AC127" i="51"/>
  <c r="AC125" i="51"/>
  <c r="AC123" i="51"/>
  <c r="AC121" i="51"/>
  <c r="AC119" i="51"/>
  <c r="AC117" i="51"/>
  <c r="AC115" i="51"/>
  <c r="AC113" i="51"/>
  <c r="AC111" i="51"/>
  <c r="AC109" i="51"/>
  <c r="AC107" i="51"/>
  <c r="AC105" i="51"/>
  <c r="AC103" i="51"/>
  <c r="AC101" i="51"/>
  <c r="AC99" i="51"/>
  <c r="AC97" i="51"/>
  <c r="AC95" i="51"/>
  <c r="AC93" i="51"/>
  <c r="AC91" i="51"/>
  <c r="AC89" i="51"/>
  <c r="AC87" i="51"/>
  <c r="AC85" i="51"/>
  <c r="AC83" i="51"/>
  <c r="AC81" i="51"/>
  <c r="AC79" i="51"/>
  <c r="AC77" i="51"/>
  <c r="AC75" i="51"/>
  <c r="AC73" i="51"/>
  <c r="AC71" i="51"/>
  <c r="AC69" i="51"/>
  <c r="AC67" i="51"/>
  <c r="AC65" i="51"/>
  <c r="AC63" i="51"/>
  <c r="AC61" i="51"/>
  <c r="AC59" i="51"/>
  <c r="AC57" i="51"/>
  <c r="AC55" i="51"/>
  <c r="AC53" i="51"/>
  <c r="AC51" i="51"/>
  <c r="AC49" i="51"/>
  <c r="AC47" i="51"/>
  <c r="AC45" i="51"/>
  <c r="AC43" i="51"/>
  <c r="AC41" i="51"/>
  <c r="AC39" i="51"/>
  <c r="AC37" i="51"/>
  <c r="AC35" i="51"/>
  <c r="AC33" i="51"/>
  <c r="AC31" i="51"/>
  <c r="AC29" i="51"/>
  <c r="AC27" i="51"/>
  <c r="AC25" i="51"/>
  <c r="AC23" i="51"/>
  <c r="AC21" i="51"/>
  <c r="AC19" i="51"/>
  <c r="AC17" i="51"/>
  <c r="AC15" i="51"/>
  <c r="AC13" i="51"/>
  <c r="AC11" i="51"/>
  <c r="AC9" i="51"/>
  <c r="AC7" i="51"/>
  <c r="Z363" i="51"/>
  <c r="Z349" i="51"/>
  <c r="Z335" i="51"/>
  <c r="Z321" i="51"/>
  <c r="Z307" i="51"/>
  <c r="Z293" i="51"/>
  <c r="Z279" i="51"/>
  <c r="Z265" i="51"/>
  <c r="Z251" i="51"/>
  <c r="Z237" i="51"/>
  <c r="Z223" i="51"/>
  <c r="Z209" i="51"/>
  <c r="AA195" i="51"/>
  <c r="AA188" i="51"/>
  <c r="AA181" i="51"/>
  <c r="AA174" i="51"/>
  <c r="AA167" i="51"/>
  <c r="AA160" i="51"/>
  <c r="AA153" i="51"/>
  <c r="AA146" i="51"/>
  <c r="AA139" i="51"/>
  <c r="AA132" i="51"/>
  <c r="AA125" i="51"/>
  <c r="AA118" i="51"/>
  <c r="AA111" i="51"/>
  <c r="AA104" i="51"/>
  <c r="AA97" i="51"/>
  <c r="AA90" i="51"/>
  <c r="AA83" i="51"/>
  <c r="AA76" i="51"/>
  <c r="AA69" i="51"/>
  <c r="AA62" i="51"/>
  <c r="AA55" i="51"/>
  <c r="AA48" i="51"/>
  <c r="AA41" i="51"/>
  <c r="AA34" i="51"/>
  <c r="AA27" i="51"/>
  <c r="AA20" i="51"/>
  <c r="AA13" i="51"/>
  <c r="X335" i="51"/>
  <c r="X321" i="51"/>
  <c r="X307" i="51"/>
  <c r="X293" i="51"/>
  <c r="X279" i="51"/>
  <c r="X272" i="51"/>
  <c r="X265" i="51"/>
  <c r="X258" i="51"/>
  <c r="X251" i="51"/>
  <c r="X244" i="51"/>
  <c r="X237" i="51"/>
  <c r="X230" i="51"/>
  <c r="X223" i="51"/>
  <c r="X216" i="51"/>
  <c r="X209" i="51"/>
  <c r="X202" i="51"/>
  <c r="X174" i="51"/>
  <c r="X160" i="51"/>
  <c r="X146" i="51"/>
  <c r="X139" i="51"/>
  <c r="X132" i="51"/>
  <c r="X118" i="51"/>
  <c r="X111" i="51"/>
  <c r="X104" i="51"/>
  <c r="X20" i="51"/>
  <c r="X13" i="51"/>
  <c r="T69" i="51"/>
  <c r="T97" i="51"/>
  <c r="T125" i="51"/>
  <c r="T153" i="51"/>
  <c r="T195" i="51"/>
  <c r="T209" i="51"/>
  <c r="T223" i="51"/>
  <c r="AC297" i="51"/>
  <c r="AC293" i="51"/>
  <c r="AC289" i="51"/>
  <c r="AC285" i="51"/>
  <c r="AC281" i="51"/>
  <c r="AC277" i="51"/>
  <c r="AC273" i="51"/>
  <c r="AC269" i="51"/>
  <c r="AC265" i="51"/>
  <c r="AC261" i="51"/>
  <c r="AC257" i="51"/>
  <c r="AC253" i="51"/>
  <c r="AC249" i="51"/>
  <c r="AC245" i="51"/>
  <c r="AC241" i="51"/>
  <c r="AC237" i="51"/>
  <c r="AC233" i="51"/>
  <c r="AC229" i="51"/>
  <c r="AC225" i="51"/>
  <c r="AC221" i="51"/>
  <c r="AC217" i="51"/>
  <c r="AC213" i="51"/>
  <c r="AC209" i="51"/>
  <c r="AC205" i="51"/>
  <c r="AC201" i="51"/>
  <c r="AC197" i="51"/>
  <c r="AC193" i="51"/>
  <c r="AC190" i="51"/>
  <c r="AC188" i="51"/>
  <c r="AC186" i="51"/>
  <c r="AC184" i="51"/>
  <c r="AC182" i="51"/>
  <c r="AC180" i="51"/>
  <c r="AC178" i="51"/>
  <c r="AC176" i="51"/>
  <c r="AC174" i="51"/>
  <c r="AC172" i="51"/>
  <c r="AC170" i="51"/>
  <c r="AC168" i="51"/>
  <c r="AC166" i="51"/>
  <c r="AC164" i="51"/>
  <c r="AC162" i="51"/>
  <c r="AC160" i="51"/>
  <c r="AC158" i="51"/>
  <c r="AC156" i="51"/>
  <c r="AC154" i="51"/>
  <c r="AC152" i="51"/>
  <c r="AC150" i="51"/>
  <c r="AC148" i="51"/>
  <c r="AC146" i="51"/>
  <c r="AC144" i="51"/>
  <c r="AC142" i="51"/>
  <c r="AC140" i="51"/>
  <c r="AC138" i="51"/>
  <c r="AC136" i="51"/>
  <c r="AC134" i="51"/>
  <c r="AC132" i="51"/>
  <c r="AC130" i="51"/>
  <c r="AC128" i="51"/>
  <c r="AC126" i="51"/>
  <c r="AC124" i="51"/>
  <c r="AC122" i="51"/>
  <c r="AC120" i="51"/>
  <c r="AC118" i="51"/>
  <c r="AC116" i="51"/>
  <c r="AC114" i="51"/>
  <c r="AC112" i="51"/>
  <c r="AC110" i="51"/>
  <c r="AC108" i="51"/>
  <c r="AC106" i="51"/>
  <c r="AC104" i="51"/>
  <c r="AC102" i="51"/>
  <c r="AC100" i="51"/>
  <c r="AC98" i="51"/>
  <c r="AC96" i="51"/>
  <c r="AC94" i="51"/>
  <c r="AC92" i="51"/>
  <c r="AC90" i="51"/>
  <c r="AC88" i="51"/>
  <c r="AC86" i="51"/>
  <c r="AC84" i="51"/>
  <c r="AC82" i="51"/>
  <c r="AC80" i="51"/>
  <c r="AC78" i="51"/>
  <c r="AC76" i="51"/>
  <c r="AC74" i="51"/>
  <c r="AC72" i="51"/>
  <c r="AC70" i="51"/>
  <c r="AC68" i="51"/>
  <c r="AC66" i="51"/>
  <c r="AC64" i="51"/>
  <c r="AC62" i="51"/>
  <c r="AC60" i="51"/>
  <c r="AC58" i="51"/>
  <c r="AC56" i="51"/>
  <c r="AC54" i="51"/>
  <c r="AC52" i="51"/>
  <c r="AC50" i="51"/>
  <c r="AC48" i="51"/>
  <c r="AC46" i="51"/>
  <c r="AC44" i="51"/>
  <c r="AC42" i="51"/>
  <c r="AC40" i="51"/>
  <c r="AC38" i="51"/>
  <c r="AC36" i="51"/>
  <c r="AC34" i="51"/>
  <c r="AC32" i="51"/>
  <c r="AC30" i="51"/>
  <c r="AC28" i="51"/>
  <c r="AC26" i="51"/>
  <c r="AC24" i="51"/>
  <c r="AC22" i="51"/>
  <c r="AC20" i="51"/>
  <c r="AC18" i="51"/>
  <c r="AC16" i="51"/>
  <c r="AC14" i="51"/>
  <c r="AC12" i="51"/>
  <c r="AC10" i="51"/>
  <c r="AC8" i="51"/>
  <c r="AC6" i="51"/>
  <c r="Z370" i="51"/>
  <c r="Z356" i="51"/>
  <c r="Z342" i="51"/>
  <c r="Z328" i="51"/>
  <c r="Z314" i="51"/>
  <c r="Z300" i="51"/>
  <c r="Z286" i="51"/>
  <c r="Z272" i="51"/>
  <c r="Z258" i="51"/>
  <c r="Z244" i="51"/>
  <c r="Z230" i="51"/>
  <c r="Z216" i="51"/>
  <c r="Z202" i="51"/>
  <c r="Z195" i="51"/>
  <c r="Z188" i="51"/>
  <c r="Z181" i="51"/>
  <c r="Z174" i="51"/>
  <c r="Z167" i="51"/>
  <c r="Z160" i="51"/>
  <c r="Z153" i="51"/>
  <c r="Z146" i="51"/>
  <c r="Z139" i="51"/>
  <c r="Z132" i="51"/>
  <c r="Z125" i="51"/>
  <c r="Z118" i="51"/>
  <c r="Z111" i="51"/>
  <c r="Z104" i="51"/>
  <c r="Z97" i="51"/>
  <c r="Z90" i="51"/>
  <c r="Z83" i="51"/>
  <c r="Z76" i="51"/>
  <c r="Z69" i="51"/>
  <c r="Z62" i="51"/>
  <c r="Z55" i="51"/>
  <c r="Z48" i="51"/>
  <c r="Z41" i="51"/>
  <c r="Z34" i="51"/>
  <c r="Z27" i="51"/>
  <c r="Z20" i="51"/>
  <c r="Z13" i="51"/>
  <c r="Z6" i="51"/>
  <c r="W370" i="51"/>
  <c r="W363" i="51"/>
  <c r="W356" i="51"/>
  <c r="W349" i="51"/>
  <c r="W342" i="51"/>
  <c r="W335" i="51"/>
  <c r="W328" i="51"/>
  <c r="W321" i="51"/>
  <c r="W314" i="51"/>
  <c r="W307" i="51"/>
  <c r="W300" i="51"/>
  <c r="W293" i="51"/>
  <c r="W286" i="51"/>
  <c r="W279" i="51"/>
  <c r="W272" i="51"/>
  <c r="W265" i="51"/>
  <c r="W258" i="51"/>
  <c r="W251" i="51"/>
  <c r="W244" i="51"/>
  <c r="W237" i="51"/>
  <c r="W230" i="51"/>
  <c r="W223" i="51"/>
  <c r="W216" i="51"/>
  <c r="W209" i="51"/>
  <c r="W202" i="51"/>
  <c r="W195" i="51"/>
  <c r="W188" i="51"/>
  <c r="W181" i="51"/>
  <c r="W174" i="51"/>
  <c r="W167" i="51"/>
  <c r="W160" i="51"/>
  <c r="W153" i="51"/>
  <c r="W146" i="51"/>
  <c r="W139" i="51"/>
  <c r="W132" i="51"/>
  <c r="W125" i="51"/>
  <c r="W118" i="51"/>
  <c r="W111" i="51"/>
  <c r="W104" i="51"/>
  <c r="W97" i="51"/>
  <c r="W90" i="51"/>
  <c r="W83" i="51"/>
  <c r="W76" i="51"/>
  <c r="W69" i="51"/>
  <c r="W62" i="51"/>
  <c r="W55" i="51"/>
  <c r="W48" i="51"/>
  <c r="W41" i="51"/>
  <c r="W34" i="51"/>
  <c r="W27" i="51"/>
  <c r="W20" i="51"/>
  <c r="W13" i="51"/>
  <c r="W6" i="51"/>
  <c r="T20" i="51"/>
  <c r="T34" i="51"/>
  <c r="T48" i="51"/>
  <c r="T62" i="51"/>
  <c r="T76" i="51"/>
  <c r="T90" i="51"/>
  <c r="T104" i="51"/>
  <c r="T118" i="51"/>
  <c r="T132" i="51"/>
  <c r="T146" i="51"/>
  <c r="T160" i="51"/>
  <c r="T174" i="51"/>
  <c r="T188" i="51"/>
  <c r="T202" i="51"/>
  <c r="T216" i="51"/>
  <c r="T230" i="51"/>
  <c r="T244" i="51"/>
  <c r="T258" i="51"/>
  <c r="T272" i="51"/>
  <c r="T286" i="51"/>
  <c r="T300" i="51"/>
  <c r="T314" i="51"/>
  <c r="T328" i="51"/>
  <c r="T342" i="51"/>
  <c r="T356" i="51"/>
  <c r="U6" i="51"/>
  <c r="AA6" i="51"/>
  <c r="X370" i="51"/>
  <c r="X363" i="51"/>
  <c r="X356" i="51"/>
  <c r="X349" i="51"/>
  <c r="X342" i="51"/>
  <c r="X328" i="51"/>
  <c r="X314" i="51"/>
  <c r="X300" i="51"/>
  <c r="X286" i="51"/>
  <c r="X195" i="51"/>
  <c r="X188" i="51"/>
  <c r="X181" i="51"/>
  <c r="X167" i="51"/>
  <c r="X153" i="51"/>
  <c r="X125" i="51"/>
  <c r="X97" i="51"/>
  <c r="X90" i="51"/>
  <c r="X83" i="51"/>
  <c r="X76" i="51"/>
  <c r="X69" i="51"/>
  <c r="X62" i="51"/>
  <c r="X55" i="51"/>
  <c r="X48" i="51"/>
  <c r="X41" i="51"/>
  <c r="X34" i="51"/>
  <c r="X27" i="51"/>
  <c r="X6" i="51"/>
  <c r="T370" i="51"/>
  <c r="T13" i="51"/>
  <c r="T27" i="51"/>
  <c r="T41" i="51"/>
  <c r="T55" i="51"/>
  <c r="T83" i="51"/>
  <c r="T111" i="51"/>
  <c r="T139" i="51"/>
  <c r="T167" i="51"/>
  <c r="T181" i="51"/>
  <c r="T237" i="51"/>
  <c r="T251" i="51"/>
  <c r="T265" i="51"/>
  <c r="T279" i="51"/>
  <c r="T293" i="51"/>
  <c r="T307" i="51"/>
  <c r="T321" i="51"/>
  <c r="T335" i="51"/>
  <c r="T349" i="51"/>
  <c r="T363" i="51"/>
  <c r="T6" i="51"/>
  <c r="F10" i="55"/>
  <c r="P3" i="52"/>
  <c r="AP337" i="51" l="1"/>
  <c r="AO337" i="51"/>
  <c r="AN337" i="51"/>
  <c r="J25" i="46"/>
  <c r="O25" i="46" s="1"/>
  <c r="O12" i="46"/>
  <c r="Q41" i="59" l="1"/>
  <c r="P41" i="59"/>
  <c r="R16" i="58" s="1"/>
  <c r="O41" i="59"/>
  <c r="R15" i="58" s="1"/>
  <c r="M41" i="59"/>
  <c r="S40" i="59"/>
  <c r="K40" i="59"/>
  <c r="L40" i="59" s="1"/>
  <c r="N40" i="59" s="1"/>
  <c r="I40" i="59"/>
  <c r="S39" i="59"/>
  <c r="K39" i="59"/>
  <c r="L39" i="59" s="1"/>
  <c r="N39" i="59" s="1"/>
  <c r="I39" i="59"/>
  <c r="S38" i="59"/>
  <c r="K38" i="59"/>
  <c r="L38" i="59" s="1"/>
  <c r="N38" i="59" s="1"/>
  <c r="I38" i="59"/>
  <c r="S37" i="59"/>
  <c r="K37" i="59"/>
  <c r="L37" i="59" s="1"/>
  <c r="N37" i="59" s="1"/>
  <c r="I37" i="59"/>
  <c r="S36" i="59"/>
  <c r="K36" i="59"/>
  <c r="L36" i="59" s="1"/>
  <c r="N36" i="59" s="1"/>
  <c r="I36" i="59"/>
  <c r="S35" i="59"/>
  <c r="K35" i="59"/>
  <c r="L35" i="59" s="1"/>
  <c r="N35" i="59" s="1"/>
  <c r="I35" i="59"/>
  <c r="S34" i="59"/>
  <c r="K34" i="59"/>
  <c r="L34" i="59" s="1"/>
  <c r="N34" i="59" s="1"/>
  <c r="I34" i="59"/>
  <c r="S33" i="59"/>
  <c r="K33" i="59"/>
  <c r="L33" i="59" s="1"/>
  <c r="N33" i="59" s="1"/>
  <c r="I33" i="59"/>
  <c r="S32" i="59"/>
  <c r="K32" i="59"/>
  <c r="L32" i="59" s="1"/>
  <c r="N32" i="59" s="1"/>
  <c r="I32" i="59"/>
  <c r="S31" i="59"/>
  <c r="K31" i="59"/>
  <c r="L31" i="59" s="1"/>
  <c r="N31" i="59" s="1"/>
  <c r="I31" i="59"/>
  <c r="S30" i="59"/>
  <c r="K30" i="59"/>
  <c r="L30" i="59" s="1"/>
  <c r="N30" i="59" s="1"/>
  <c r="I30" i="59"/>
  <c r="S29" i="59"/>
  <c r="K29" i="59"/>
  <c r="L29" i="59" s="1"/>
  <c r="N29" i="59" s="1"/>
  <c r="I29" i="59"/>
  <c r="S28" i="59"/>
  <c r="K28" i="59"/>
  <c r="L28" i="59" s="1"/>
  <c r="N28" i="59" s="1"/>
  <c r="I28" i="59"/>
  <c r="S27" i="59"/>
  <c r="K27" i="59"/>
  <c r="L27" i="59" s="1"/>
  <c r="N27" i="59" s="1"/>
  <c r="I27" i="59"/>
  <c r="S26" i="59"/>
  <c r="K26" i="59"/>
  <c r="L26" i="59" s="1"/>
  <c r="N26" i="59" s="1"/>
  <c r="I26" i="59"/>
  <c r="S25" i="59"/>
  <c r="K25" i="59"/>
  <c r="L25" i="59" s="1"/>
  <c r="N25" i="59" s="1"/>
  <c r="I25" i="59"/>
  <c r="S24" i="59"/>
  <c r="K24" i="59"/>
  <c r="L24" i="59" s="1"/>
  <c r="N24" i="59" s="1"/>
  <c r="I24" i="59"/>
  <c r="S23" i="59"/>
  <c r="K23" i="59"/>
  <c r="L23" i="59" s="1"/>
  <c r="N23" i="59" s="1"/>
  <c r="I23" i="59"/>
  <c r="S22" i="59"/>
  <c r="K22" i="59"/>
  <c r="L22" i="59" s="1"/>
  <c r="N22" i="59" s="1"/>
  <c r="I22" i="59"/>
  <c r="S21" i="59"/>
  <c r="K21" i="59"/>
  <c r="L21" i="59" s="1"/>
  <c r="N21" i="59" s="1"/>
  <c r="I21" i="59"/>
  <c r="S20" i="59"/>
  <c r="K20" i="59"/>
  <c r="L20" i="59" s="1"/>
  <c r="N20" i="59" s="1"/>
  <c r="I20" i="59"/>
  <c r="S19" i="59"/>
  <c r="K19" i="59"/>
  <c r="L19" i="59" s="1"/>
  <c r="N19" i="59" s="1"/>
  <c r="I19" i="59"/>
  <c r="S18" i="59"/>
  <c r="K18" i="59"/>
  <c r="L18" i="59" s="1"/>
  <c r="N18" i="59" s="1"/>
  <c r="I18" i="59"/>
  <c r="S17" i="59"/>
  <c r="K17" i="59"/>
  <c r="L17" i="59" s="1"/>
  <c r="N17" i="59" s="1"/>
  <c r="I17" i="59"/>
  <c r="S16" i="59"/>
  <c r="K16" i="59"/>
  <c r="L16" i="59" s="1"/>
  <c r="N16" i="59" s="1"/>
  <c r="I16" i="59"/>
  <c r="S15" i="59"/>
  <c r="K15" i="59"/>
  <c r="L15" i="59" s="1"/>
  <c r="N15" i="59" s="1"/>
  <c r="I15" i="59"/>
  <c r="S14" i="59"/>
  <c r="K14" i="59"/>
  <c r="L14" i="59" s="1"/>
  <c r="N14" i="59" s="1"/>
  <c r="I14" i="59"/>
  <c r="S13" i="59"/>
  <c r="K13" i="59"/>
  <c r="L13" i="59" s="1"/>
  <c r="I13" i="59"/>
  <c r="S12" i="59"/>
  <c r="K12" i="59"/>
  <c r="L12" i="59" s="1"/>
  <c r="I12" i="59"/>
  <c r="S11" i="59"/>
  <c r="K11" i="59"/>
  <c r="L11" i="59" s="1"/>
  <c r="I11" i="59"/>
  <c r="S5" i="59"/>
  <c r="AA31" i="58"/>
  <c r="R18" i="58"/>
  <c r="N13" i="59" l="1"/>
  <c r="I41" i="59"/>
  <c r="N12" i="59"/>
  <c r="N11" i="59"/>
  <c r="S41" i="59"/>
  <c r="R17" i="58"/>
  <c r="AM15" i="58" s="1"/>
  <c r="L41" i="59"/>
  <c r="N41" i="59" l="1"/>
  <c r="R11" i="58" s="1"/>
  <c r="G16" i="55" s="1"/>
  <c r="R61" i="35"/>
  <c r="R42" i="35"/>
  <c r="AL42" i="35" s="1"/>
  <c r="R46" i="35"/>
  <c r="AM18" i="58" l="1"/>
  <c r="P29" i="27"/>
  <c r="R25" i="35" s="1"/>
  <c r="R41" i="35"/>
  <c r="R67" i="35" s="1"/>
  <c r="W36" i="53"/>
  <c r="R33" i="35"/>
  <c r="R32" i="35" s="1"/>
  <c r="R30" i="35"/>
  <c r="R31" i="35"/>
  <c r="K35" i="27" l="1"/>
  <c r="K37" i="27"/>
  <c r="K36" i="27" s="1"/>
  <c r="K34" i="27"/>
  <c r="K29" i="27"/>
  <c r="O21" i="46"/>
  <c r="N21" i="46"/>
  <c r="M21" i="46"/>
  <c r="L21" i="46"/>
  <c r="K21" i="46"/>
  <c r="J21" i="46"/>
  <c r="I21" i="46"/>
  <c r="H21" i="46"/>
  <c r="G21" i="46"/>
  <c r="F21" i="46"/>
  <c r="E21" i="46"/>
  <c r="D21" i="46"/>
  <c r="O20" i="46"/>
  <c r="N20" i="46"/>
  <c r="M20" i="46"/>
  <c r="L20" i="46"/>
  <c r="K20" i="46"/>
  <c r="J20" i="46"/>
  <c r="I20" i="46"/>
  <c r="H20" i="46"/>
  <c r="G20" i="46"/>
  <c r="F20" i="46"/>
  <c r="E20" i="46"/>
  <c r="D20" i="46"/>
  <c r="O13" i="46"/>
  <c r="P76" i="52"/>
  <c r="Q6" i="46" s="1"/>
  <c r="O76" i="52"/>
  <c r="P75" i="52"/>
  <c r="N76" i="52"/>
  <c r="M76" i="52"/>
  <c r="L76" i="52"/>
  <c r="K76" i="52"/>
  <c r="O75" i="52"/>
  <c r="N75" i="52"/>
  <c r="M75" i="52"/>
  <c r="L75" i="52"/>
  <c r="K75" i="52"/>
  <c r="P18" i="46"/>
  <c r="P27" i="53" l="1"/>
  <c r="X27" i="53" l="1"/>
  <c r="AA8" i="53" l="1"/>
  <c r="AA9" i="53"/>
  <c r="AA10" i="53"/>
  <c r="AA11" i="53"/>
  <c r="AA12" i="53"/>
  <c r="AA13" i="53"/>
  <c r="AA14" i="53"/>
  <c r="AA15" i="53"/>
  <c r="AA16" i="53"/>
  <c r="AA17" i="53"/>
  <c r="AA18" i="53"/>
  <c r="AA19" i="53"/>
  <c r="AA20" i="53"/>
  <c r="AA21" i="53"/>
  <c r="AA22" i="53"/>
  <c r="AA23" i="53"/>
  <c r="AA24" i="53"/>
  <c r="AA25" i="53"/>
  <c r="AA26" i="53"/>
  <c r="AA7" i="53"/>
  <c r="Y27" i="53"/>
  <c r="Z27" i="53"/>
  <c r="Z31" i="53" s="1"/>
  <c r="W27" i="53"/>
  <c r="W31" i="53" s="1"/>
  <c r="Z32" i="53" l="1"/>
  <c r="Z33" i="53" s="1"/>
  <c r="Y31" i="53"/>
  <c r="Y32" i="53" s="1"/>
  <c r="G18" i="55"/>
  <c r="AA27" i="53"/>
  <c r="X31" i="53"/>
  <c r="X32" i="53" s="1"/>
  <c r="X33" i="53" s="1"/>
  <c r="P30" i="27" l="1"/>
  <c r="Y33" i="53"/>
  <c r="P31" i="27"/>
  <c r="G15" i="55"/>
  <c r="P28" i="27"/>
  <c r="AA31" i="53"/>
  <c r="P7" i="46"/>
  <c r="Q7" i="46" s="1"/>
  <c r="P8" i="46"/>
  <c r="Q8" i="46" s="1"/>
  <c r="Q9" i="46"/>
  <c r="P10" i="46"/>
  <c r="Q10" i="46" s="1"/>
  <c r="P11" i="46"/>
  <c r="Q11" i="46" s="1"/>
  <c r="O5" i="46"/>
  <c r="S73" i="52"/>
  <c r="D379" i="51" l="1"/>
  <c r="D378" i="51"/>
  <c r="D377" i="51"/>
  <c r="D376" i="51"/>
  <c r="F371" i="51"/>
  <c r="R370" i="51"/>
  <c r="M370" i="51"/>
  <c r="K370" i="51"/>
  <c r="L370" i="51" s="1"/>
  <c r="I370" i="51"/>
  <c r="H370" i="51"/>
  <c r="G370" i="51"/>
  <c r="N370" i="51" s="1"/>
  <c r="O370" i="51" s="1"/>
  <c r="M369" i="51"/>
  <c r="I369" i="51"/>
  <c r="H369" i="51"/>
  <c r="G369" i="51"/>
  <c r="N369" i="51" s="1"/>
  <c r="M368" i="51"/>
  <c r="I368" i="51"/>
  <c r="H368" i="51"/>
  <c r="G368" i="51"/>
  <c r="N368" i="51" s="1"/>
  <c r="M367" i="51"/>
  <c r="I367" i="51"/>
  <c r="H367" i="51"/>
  <c r="G367" i="51"/>
  <c r="N367" i="51" s="1"/>
  <c r="M366" i="51"/>
  <c r="I366" i="51"/>
  <c r="H366" i="51"/>
  <c r="G366" i="51"/>
  <c r="N366" i="51" s="1"/>
  <c r="M365" i="51"/>
  <c r="I365" i="51"/>
  <c r="H365" i="51"/>
  <c r="G365" i="51"/>
  <c r="N365" i="51" s="1"/>
  <c r="M364" i="51"/>
  <c r="I364" i="51"/>
  <c r="H364" i="51"/>
  <c r="G364" i="51"/>
  <c r="N364" i="51" s="1"/>
  <c r="N363" i="51"/>
  <c r="O363" i="51" s="1"/>
  <c r="M363" i="51"/>
  <c r="K363" i="51"/>
  <c r="L363" i="51" s="1"/>
  <c r="I363" i="51"/>
  <c r="H363" i="51"/>
  <c r="G363" i="51"/>
  <c r="M362" i="51"/>
  <c r="I362" i="51"/>
  <c r="H362" i="51"/>
  <c r="G362" i="51"/>
  <c r="K362" i="51" s="1"/>
  <c r="L362" i="51" s="1"/>
  <c r="M361" i="51"/>
  <c r="K361" i="51"/>
  <c r="L361" i="51" s="1"/>
  <c r="I361" i="51"/>
  <c r="H361" i="51"/>
  <c r="G361" i="51"/>
  <c r="N361" i="51" s="1"/>
  <c r="O361" i="51" s="1"/>
  <c r="M360" i="51"/>
  <c r="K360" i="51"/>
  <c r="L360" i="51" s="1"/>
  <c r="I360" i="51"/>
  <c r="H360" i="51"/>
  <c r="G360" i="51"/>
  <c r="N360" i="51" s="1"/>
  <c r="O360" i="51" s="1"/>
  <c r="M359" i="51"/>
  <c r="I359" i="51"/>
  <c r="H359" i="51"/>
  <c r="G359" i="51"/>
  <c r="N359" i="51" s="1"/>
  <c r="M358" i="51"/>
  <c r="K358" i="51"/>
  <c r="L358" i="51" s="1"/>
  <c r="I358" i="51"/>
  <c r="H358" i="51"/>
  <c r="G358" i="51"/>
  <c r="N358" i="51" s="1"/>
  <c r="O358" i="51" s="1"/>
  <c r="M357" i="51"/>
  <c r="K357" i="51"/>
  <c r="L357" i="51" s="1"/>
  <c r="I357" i="51"/>
  <c r="H357" i="51"/>
  <c r="G357" i="51"/>
  <c r="N357" i="51" s="1"/>
  <c r="O357" i="51" s="1"/>
  <c r="N356" i="51"/>
  <c r="O356" i="51" s="1"/>
  <c r="M356" i="51"/>
  <c r="K356" i="51"/>
  <c r="L356" i="51" s="1"/>
  <c r="I356" i="51"/>
  <c r="H356" i="51"/>
  <c r="G356" i="51"/>
  <c r="M355" i="51"/>
  <c r="I355" i="51"/>
  <c r="H355" i="51"/>
  <c r="G355" i="51"/>
  <c r="N355" i="51" s="1"/>
  <c r="M354" i="51"/>
  <c r="K354" i="51"/>
  <c r="L354" i="51" s="1"/>
  <c r="I354" i="51"/>
  <c r="H354" i="51"/>
  <c r="G354" i="51"/>
  <c r="N354" i="51" s="1"/>
  <c r="O354" i="51" s="1"/>
  <c r="M353" i="51"/>
  <c r="K353" i="51"/>
  <c r="L353" i="51" s="1"/>
  <c r="I353" i="51"/>
  <c r="H353" i="51"/>
  <c r="G353" i="51"/>
  <c r="N353" i="51" s="1"/>
  <c r="O353" i="51" s="1"/>
  <c r="M352" i="51"/>
  <c r="K352" i="51"/>
  <c r="L352" i="51" s="1"/>
  <c r="I352" i="51"/>
  <c r="H352" i="51"/>
  <c r="G352" i="51"/>
  <c r="N352" i="51" s="1"/>
  <c r="O352" i="51" s="1"/>
  <c r="M351" i="51"/>
  <c r="K351" i="51"/>
  <c r="L351" i="51" s="1"/>
  <c r="I351" i="51"/>
  <c r="H351" i="51"/>
  <c r="G351" i="51"/>
  <c r="N351" i="51" s="1"/>
  <c r="O351" i="51" s="1"/>
  <c r="M350" i="51"/>
  <c r="K350" i="51"/>
  <c r="L350" i="51" s="1"/>
  <c r="I350" i="51"/>
  <c r="H350" i="51"/>
  <c r="G350" i="51"/>
  <c r="N350" i="51" s="1"/>
  <c r="O350" i="51" s="1"/>
  <c r="N349" i="51"/>
  <c r="O349" i="51" s="1"/>
  <c r="M349" i="51"/>
  <c r="K349" i="51"/>
  <c r="L349" i="51" s="1"/>
  <c r="I349" i="51"/>
  <c r="H349" i="51"/>
  <c r="G349" i="51"/>
  <c r="M348" i="51"/>
  <c r="I348" i="51"/>
  <c r="H348" i="51"/>
  <c r="G348" i="51"/>
  <c r="N348" i="51" s="1"/>
  <c r="M347" i="51"/>
  <c r="K347" i="51"/>
  <c r="L347" i="51" s="1"/>
  <c r="I347" i="51"/>
  <c r="H347" i="51"/>
  <c r="G347" i="51"/>
  <c r="N347" i="51" s="1"/>
  <c r="O347" i="51" s="1"/>
  <c r="M346" i="51"/>
  <c r="K346" i="51"/>
  <c r="L346" i="51" s="1"/>
  <c r="I346" i="51"/>
  <c r="H346" i="51"/>
  <c r="G346" i="51"/>
  <c r="N346" i="51" s="1"/>
  <c r="O346" i="51" s="1"/>
  <c r="M345" i="51"/>
  <c r="K345" i="51"/>
  <c r="L345" i="51" s="1"/>
  <c r="I345" i="51"/>
  <c r="H345" i="51"/>
  <c r="G345" i="51"/>
  <c r="N345" i="51" s="1"/>
  <c r="O345" i="51" s="1"/>
  <c r="M344" i="51"/>
  <c r="K344" i="51"/>
  <c r="L344" i="51" s="1"/>
  <c r="I344" i="51"/>
  <c r="H344" i="51"/>
  <c r="G344" i="51"/>
  <c r="N344" i="51" s="1"/>
  <c r="O344" i="51" s="1"/>
  <c r="M343" i="51"/>
  <c r="K343" i="51"/>
  <c r="L343" i="51" s="1"/>
  <c r="I343" i="51"/>
  <c r="H343" i="51"/>
  <c r="G343" i="51"/>
  <c r="N343" i="51" s="1"/>
  <c r="O343" i="51" s="1"/>
  <c r="N342" i="51"/>
  <c r="O342" i="51" s="1"/>
  <c r="M342" i="51"/>
  <c r="K342" i="51"/>
  <c r="L342" i="51" s="1"/>
  <c r="I342" i="51"/>
  <c r="H342" i="51"/>
  <c r="G342" i="51"/>
  <c r="M341" i="51"/>
  <c r="I341" i="51"/>
  <c r="H341" i="51"/>
  <c r="G341" i="51"/>
  <c r="N341" i="51" s="1"/>
  <c r="M340" i="51"/>
  <c r="K340" i="51"/>
  <c r="L340" i="51" s="1"/>
  <c r="I340" i="51"/>
  <c r="H340" i="51"/>
  <c r="G340" i="51"/>
  <c r="N340" i="51" s="1"/>
  <c r="O340" i="51" s="1"/>
  <c r="R339" i="51"/>
  <c r="M339" i="51"/>
  <c r="K339" i="51"/>
  <c r="L339" i="51" s="1"/>
  <c r="I339" i="51"/>
  <c r="H339" i="51"/>
  <c r="G339" i="51"/>
  <c r="N339" i="51" s="1"/>
  <c r="O339" i="51" s="1"/>
  <c r="M338" i="51"/>
  <c r="K338" i="51"/>
  <c r="L338" i="51" s="1"/>
  <c r="I338" i="51"/>
  <c r="H338" i="51"/>
  <c r="G338" i="51"/>
  <c r="N338" i="51" s="1"/>
  <c r="O338" i="51" s="1"/>
  <c r="M336" i="51"/>
  <c r="K336" i="51"/>
  <c r="L336" i="51" s="1"/>
  <c r="I336" i="51"/>
  <c r="H336" i="51"/>
  <c r="G336" i="51"/>
  <c r="N336" i="51" s="1"/>
  <c r="O336" i="51" s="1"/>
  <c r="N335" i="51"/>
  <c r="O335" i="51" s="1"/>
  <c r="M335" i="51"/>
  <c r="K335" i="51"/>
  <c r="L335" i="51" s="1"/>
  <c r="I335" i="51"/>
  <c r="H335" i="51"/>
  <c r="G335" i="51"/>
  <c r="M334" i="51"/>
  <c r="I334" i="51"/>
  <c r="H334" i="51"/>
  <c r="G334" i="51"/>
  <c r="N334" i="51" s="1"/>
  <c r="M333" i="51"/>
  <c r="I333" i="51"/>
  <c r="H333" i="51"/>
  <c r="G333" i="51"/>
  <c r="N333" i="51" s="1"/>
  <c r="M332" i="51"/>
  <c r="K332" i="51"/>
  <c r="L332" i="51" s="1"/>
  <c r="I332" i="51"/>
  <c r="H332" i="51"/>
  <c r="G332" i="51"/>
  <c r="N332" i="51" s="1"/>
  <c r="O332" i="51" s="1"/>
  <c r="M331" i="51"/>
  <c r="K331" i="51"/>
  <c r="L331" i="51" s="1"/>
  <c r="I331" i="51"/>
  <c r="H331" i="51"/>
  <c r="G331" i="51"/>
  <c r="N331" i="51" s="1"/>
  <c r="O331" i="51" s="1"/>
  <c r="M330" i="51"/>
  <c r="K330" i="51"/>
  <c r="L330" i="51" s="1"/>
  <c r="I330" i="51"/>
  <c r="H330" i="51"/>
  <c r="G330" i="51"/>
  <c r="N330" i="51" s="1"/>
  <c r="O330" i="51" s="1"/>
  <c r="M329" i="51"/>
  <c r="K329" i="51"/>
  <c r="L329" i="51" s="1"/>
  <c r="I329" i="51"/>
  <c r="H329" i="51"/>
  <c r="G329" i="51"/>
  <c r="N329" i="51" s="1"/>
  <c r="O329" i="51" s="1"/>
  <c r="N328" i="51"/>
  <c r="O328" i="51" s="1"/>
  <c r="M328" i="51"/>
  <c r="K328" i="51"/>
  <c r="L328" i="51" s="1"/>
  <c r="I328" i="51"/>
  <c r="H328" i="51"/>
  <c r="G328" i="51"/>
  <c r="M327" i="51"/>
  <c r="I327" i="51"/>
  <c r="H327" i="51"/>
  <c r="G327" i="51"/>
  <c r="N327" i="51" s="1"/>
  <c r="M326" i="51"/>
  <c r="K326" i="51"/>
  <c r="L326" i="51" s="1"/>
  <c r="I326" i="51"/>
  <c r="H326" i="51"/>
  <c r="G326" i="51"/>
  <c r="N326" i="51" s="1"/>
  <c r="O326" i="51" s="1"/>
  <c r="M325" i="51"/>
  <c r="K325" i="51"/>
  <c r="L325" i="51" s="1"/>
  <c r="I325" i="51"/>
  <c r="H325" i="51"/>
  <c r="G325" i="51"/>
  <c r="N325" i="51" s="1"/>
  <c r="O325" i="51" s="1"/>
  <c r="M324" i="51"/>
  <c r="K324" i="51"/>
  <c r="L324" i="51" s="1"/>
  <c r="I324" i="51"/>
  <c r="H324" i="51"/>
  <c r="G324" i="51"/>
  <c r="N324" i="51" s="1"/>
  <c r="O324" i="51" s="1"/>
  <c r="M323" i="51"/>
  <c r="K323" i="51"/>
  <c r="L323" i="51" s="1"/>
  <c r="I323" i="51"/>
  <c r="H323" i="51"/>
  <c r="G323" i="51"/>
  <c r="N323" i="51" s="1"/>
  <c r="O323" i="51" s="1"/>
  <c r="N322" i="51"/>
  <c r="M322" i="51"/>
  <c r="K322" i="51"/>
  <c r="L322" i="51" s="1"/>
  <c r="I322" i="51"/>
  <c r="H322" i="51"/>
  <c r="G322" i="51"/>
  <c r="N321" i="51"/>
  <c r="O321" i="51" s="1"/>
  <c r="M321" i="51"/>
  <c r="K321" i="51"/>
  <c r="L321" i="51" s="1"/>
  <c r="I321" i="51"/>
  <c r="H321" i="51"/>
  <c r="G321" i="51"/>
  <c r="M320" i="51"/>
  <c r="I320" i="51"/>
  <c r="H320" i="51"/>
  <c r="G320" i="51"/>
  <c r="M319" i="51"/>
  <c r="K319" i="51"/>
  <c r="L319" i="51" s="1"/>
  <c r="I319" i="51"/>
  <c r="H319" i="51"/>
  <c r="G319" i="51"/>
  <c r="N319" i="51" s="1"/>
  <c r="O319" i="51" s="1"/>
  <c r="M318" i="51"/>
  <c r="K318" i="51"/>
  <c r="L318" i="51" s="1"/>
  <c r="I318" i="51"/>
  <c r="H318" i="51"/>
  <c r="G318" i="51"/>
  <c r="N318" i="51" s="1"/>
  <c r="O318" i="51" s="1"/>
  <c r="M317" i="51"/>
  <c r="K317" i="51"/>
  <c r="L317" i="51" s="1"/>
  <c r="I317" i="51"/>
  <c r="H317" i="51"/>
  <c r="G317" i="51"/>
  <c r="N317" i="51" s="1"/>
  <c r="O317" i="51" s="1"/>
  <c r="M316" i="51"/>
  <c r="K316" i="51"/>
  <c r="L316" i="51" s="1"/>
  <c r="I316" i="51"/>
  <c r="H316" i="51"/>
  <c r="G316" i="51"/>
  <c r="N316" i="51" s="1"/>
  <c r="O316" i="51" s="1"/>
  <c r="M315" i="51"/>
  <c r="K315" i="51"/>
  <c r="L315" i="51" s="1"/>
  <c r="I315" i="51"/>
  <c r="H315" i="51"/>
  <c r="G315" i="51"/>
  <c r="N315" i="51" s="1"/>
  <c r="O315" i="51" s="1"/>
  <c r="N314" i="51"/>
  <c r="O314" i="51" s="1"/>
  <c r="M314" i="51"/>
  <c r="K314" i="51"/>
  <c r="L314" i="51" s="1"/>
  <c r="I314" i="51"/>
  <c r="H314" i="51"/>
  <c r="G314" i="51"/>
  <c r="M313" i="51"/>
  <c r="I313" i="51"/>
  <c r="H313" i="51"/>
  <c r="G313" i="51"/>
  <c r="N313" i="51" s="1"/>
  <c r="M312" i="51"/>
  <c r="K312" i="51"/>
  <c r="L312" i="51" s="1"/>
  <c r="I312" i="51"/>
  <c r="H312" i="51"/>
  <c r="G312" i="51"/>
  <c r="N312" i="51" s="1"/>
  <c r="O312" i="51" s="1"/>
  <c r="N311" i="51"/>
  <c r="O311" i="51" s="1"/>
  <c r="M311" i="51"/>
  <c r="K311" i="51"/>
  <c r="L311" i="51" s="1"/>
  <c r="I311" i="51"/>
  <c r="H311" i="51"/>
  <c r="G311" i="51"/>
  <c r="R310" i="51"/>
  <c r="M310" i="51"/>
  <c r="K310" i="51"/>
  <c r="L310" i="51" s="1"/>
  <c r="I310" i="51"/>
  <c r="H310" i="51"/>
  <c r="G310" i="51"/>
  <c r="N310" i="51" s="1"/>
  <c r="O310" i="51" s="1"/>
  <c r="N309" i="51"/>
  <c r="O309" i="51" s="1"/>
  <c r="M309" i="51"/>
  <c r="K309" i="51"/>
  <c r="L309" i="51" s="1"/>
  <c r="I309" i="51"/>
  <c r="H309" i="51"/>
  <c r="G309" i="51"/>
  <c r="N308" i="51"/>
  <c r="O308" i="51" s="1"/>
  <c r="M308" i="51"/>
  <c r="K308" i="51"/>
  <c r="L308" i="51" s="1"/>
  <c r="I308" i="51"/>
  <c r="H308" i="51"/>
  <c r="G308" i="51"/>
  <c r="N307" i="51"/>
  <c r="O307" i="51" s="1"/>
  <c r="M307" i="51"/>
  <c r="K307" i="51"/>
  <c r="L307" i="51" s="1"/>
  <c r="I307" i="51"/>
  <c r="H307" i="51"/>
  <c r="G307" i="51"/>
  <c r="M306" i="51"/>
  <c r="I306" i="51"/>
  <c r="H306" i="51"/>
  <c r="G306" i="51"/>
  <c r="N306" i="51" s="1"/>
  <c r="M305" i="51"/>
  <c r="K305" i="51"/>
  <c r="L305" i="51" s="1"/>
  <c r="I305" i="51"/>
  <c r="H305" i="51"/>
  <c r="G305" i="51"/>
  <c r="N305" i="51" s="1"/>
  <c r="O305" i="51" s="1"/>
  <c r="M304" i="51"/>
  <c r="K304" i="51"/>
  <c r="L304" i="51" s="1"/>
  <c r="I304" i="51"/>
  <c r="H304" i="51"/>
  <c r="G304" i="51"/>
  <c r="N304" i="51" s="1"/>
  <c r="O304" i="51" s="1"/>
  <c r="M303" i="51"/>
  <c r="K303" i="51"/>
  <c r="L303" i="51" s="1"/>
  <c r="I303" i="51"/>
  <c r="H303" i="51"/>
  <c r="G303" i="51"/>
  <c r="N303" i="51" s="1"/>
  <c r="O303" i="51" s="1"/>
  <c r="M302" i="51"/>
  <c r="K302" i="51"/>
  <c r="L302" i="51" s="1"/>
  <c r="I302" i="51"/>
  <c r="H302" i="51"/>
  <c r="G302" i="51"/>
  <c r="N302" i="51" s="1"/>
  <c r="O302" i="51" s="1"/>
  <c r="N301" i="51"/>
  <c r="O301" i="51" s="1"/>
  <c r="M301" i="51"/>
  <c r="K301" i="51"/>
  <c r="L301" i="51" s="1"/>
  <c r="I301" i="51"/>
  <c r="H301" i="51"/>
  <c r="G301" i="51"/>
  <c r="N300" i="51"/>
  <c r="O300" i="51" s="1"/>
  <c r="M300" i="51"/>
  <c r="K300" i="51"/>
  <c r="L300" i="51" s="1"/>
  <c r="I300" i="51"/>
  <c r="H300" i="51"/>
  <c r="G300" i="51"/>
  <c r="M299" i="51"/>
  <c r="I299" i="51"/>
  <c r="H299" i="51"/>
  <c r="G299" i="51"/>
  <c r="N299" i="51" s="1"/>
  <c r="N298" i="51"/>
  <c r="O298" i="51" s="1"/>
  <c r="M298" i="51"/>
  <c r="K298" i="51"/>
  <c r="L298" i="51" s="1"/>
  <c r="I298" i="51"/>
  <c r="H298" i="51"/>
  <c r="G298" i="51"/>
  <c r="M297" i="51"/>
  <c r="K297" i="51"/>
  <c r="L297" i="51" s="1"/>
  <c r="I297" i="51"/>
  <c r="H297" i="51"/>
  <c r="G297" i="51"/>
  <c r="N297" i="51" s="1"/>
  <c r="O297" i="51" s="1"/>
  <c r="M296" i="51"/>
  <c r="K296" i="51"/>
  <c r="L296" i="51" s="1"/>
  <c r="I296" i="51"/>
  <c r="H296" i="51"/>
  <c r="G296" i="51"/>
  <c r="N296" i="51" s="1"/>
  <c r="O296" i="51" s="1"/>
  <c r="M295" i="51"/>
  <c r="K295" i="51"/>
  <c r="L295" i="51" s="1"/>
  <c r="I295" i="51"/>
  <c r="H295" i="51"/>
  <c r="G295" i="51"/>
  <c r="N295" i="51" s="1"/>
  <c r="O295" i="51" s="1"/>
  <c r="M294" i="51"/>
  <c r="K294" i="51"/>
  <c r="L294" i="51" s="1"/>
  <c r="I294" i="51"/>
  <c r="H294" i="51"/>
  <c r="G294" i="51"/>
  <c r="N294" i="51" s="1"/>
  <c r="O294" i="51" s="1"/>
  <c r="N293" i="51"/>
  <c r="O293" i="51" s="1"/>
  <c r="M293" i="51"/>
  <c r="K293" i="51"/>
  <c r="L293" i="51" s="1"/>
  <c r="I293" i="51"/>
  <c r="H293" i="51"/>
  <c r="G293" i="51"/>
  <c r="M292" i="51"/>
  <c r="I292" i="51"/>
  <c r="H292" i="51"/>
  <c r="G292" i="51"/>
  <c r="N292" i="51" s="1"/>
  <c r="M291" i="51"/>
  <c r="K291" i="51"/>
  <c r="L291" i="51" s="1"/>
  <c r="I291" i="51"/>
  <c r="H291" i="51"/>
  <c r="G291" i="51"/>
  <c r="N291" i="51" s="1"/>
  <c r="O291" i="51" s="1"/>
  <c r="M290" i="51"/>
  <c r="K290" i="51"/>
  <c r="L290" i="51" s="1"/>
  <c r="I290" i="51"/>
  <c r="H290" i="51"/>
  <c r="G290" i="51"/>
  <c r="N290" i="51" s="1"/>
  <c r="O290" i="51" s="1"/>
  <c r="M289" i="51"/>
  <c r="K289" i="51"/>
  <c r="L289" i="51" s="1"/>
  <c r="I289" i="51"/>
  <c r="H289" i="51"/>
  <c r="G289" i="51"/>
  <c r="N289" i="51" s="1"/>
  <c r="O289" i="51" s="1"/>
  <c r="M288" i="51"/>
  <c r="K288" i="51"/>
  <c r="L288" i="51" s="1"/>
  <c r="I288" i="51"/>
  <c r="H288" i="51"/>
  <c r="G288" i="51"/>
  <c r="N288" i="51" s="1"/>
  <c r="O288" i="51" s="1"/>
  <c r="M287" i="51"/>
  <c r="I287" i="51"/>
  <c r="H287" i="51"/>
  <c r="G287" i="51"/>
  <c r="N287" i="51" s="1"/>
  <c r="N286" i="51"/>
  <c r="O286" i="51" s="1"/>
  <c r="M286" i="51"/>
  <c r="K286" i="51"/>
  <c r="L286" i="51" s="1"/>
  <c r="I286" i="51"/>
  <c r="H286" i="51"/>
  <c r="G286" i="51"/>
  <c r="M285" i="51"/>
  <c r="I285" i="51"/>
  <c r="H285" i="51"/>
  <c r="G285" i="51"/>
  <c r="N285" i="51" s="1"/>
  <c r="M284" i="51"/>
  <c r="I284" i="51"/>
  <c r="H284" i="51"/>
  <c r="G284" i="51"/>
  <c r="N284" i="51" s="1"/>
  <c r="M283" i="51"/>
  <c r="I283" i="51"/>
  <c r="H283" i="51"/>
  <c r="G283" i="51"/>
  <c r="N283" i="51" s="1"/>
  <c r="N282" i="51"/>
  <c r="O282" i="51" s="1"/>
  <c r="M282" i="51"/>
  <c r="K282" i="51"/>
  <c r="L282" i="51" s="1"/>
  <c r="I282" i="51"/>
  <c r="H282" i="51"/>
  <c r="G282" i="51"/>
  <c r="N281" i="51"/>
  <c r="O281" i="51" s="1"/>
  <c r="M281" i="51"/>
  <c r="K281" i="51"/>
  <c r="L281" i="51" s="1"/>
  <c r="I281" i="51"/>
  <c r="H281" i="51"/>
  <c r="G281" i="51"/>
  <c r="M280" i="51"/>
  <c r="I280" i="51"/>
  <c r="H280" i="51"/>
  <c r="G280" i="51"/>
  <c r="N280" i="51" s="1"/>
  <c r="R279" i="51"/>
  <c r="M279" i="51"/>
  <c r="K279" i="51"/>
  <c r="L279" i="51" s="1"/>
  <c r="I279" i="51"/>
  <c r="H279" i="51"/>
  <c r="G279" i="51"/>
  <c r="N279" i="51" s="1"/>
  <c r="O279" i="51" s="1"/>
  <c r="N278" i="51"/>
  <c r="M278" i="51"/>
  <c r="K278" i="51"/>
  <c r="L278" i="51" s="1"/>
  <c r="I278" i="51"/>
  <c r="H278" i="51"/>
  <c r="G278" i="51"/>
  <c r="M277" i="51"/>
  <c r="K277" i="51"/>
  <c r="L277" i="51" s="1"/>
  <c r="I277" i="51"/>
  <c r="H277" i="51"/>
  <c r="G277" i="51"/>
  <c r="N277" i="51" s="1"/>
  <c r="O277" i="51" s="1"/>
  <c r="M276" i="51"/>
  <c r="I276" i="51"/>
  <c r="H276" i="51"/>
  <c r="G276" i="51"/>
  <c r="N276" i="51" s="1"/>
  <c r="M275" i="51"/>
  <c r="I275" i="51"/>
  <c r="H275" i="51"/>
  <c r="G275" i="51"/>
  <c r="N275" i="51" s="1"/>
  <c r="M274" i="51"/>
  <c r="I274" i="51"/>
  <c r="H274" i="51"/>
  <c r="G274" i="51"/>
  <c r="N274" i="51" s="1"/>
  <c r="M273" i="51"/>
  <c r="I273" i="51"/>
  <c r="H273" i="51"/>
  <c r="G273" i="51"/>
  <c r="N273" i="51" s="1"/>
  <c r="N272" i="51"/>
  <c r="O272" i="51" s="1"/>
  <c r="M272" i="51"/>
  <c r="K272" i="51"/>
  <c r="L272" i="51" s="1"/>
  <c r="I272" i="51"/>
  <c r="H272" i="51"/>
  <c r="G272" i="51"/>
  <c r="M271" i="51"/>
  <c r="I271" i="51"/>
  <c r="H271" i="51"/>
  <c r="G271" i="51"/>
  <c r="N271" i="51" s="1"/>
  <c r="M270" i="51"/>
  <c r="K270" i="51"/>
  <c r="L270" i="51" s="1"/>
  <c r="I270" i="51"/>
  <c r="H270" i="51"/>
  <c r="G270" i="51"/>
  <c r="N270" i="51" s="1"/>
  <c r="O270" i="51" s="1"/>
  <c r="M269" i="51"/>
  <c r="K269" i="51"/>
  <c r="L269" i="51" s="1"/>
  <c r="I269" i="51"/>
  <c r="H269" i="51"/>
  <c r="G269" i="51"/>
  <c r="N269" i="51" s="1"/>
  <c r="O269" i="51" s="1"/>
  <c r="M268" i="51"/>
  <c r="K268" i="51"/>
  <c r="L268" i="51" s="1"/>
  <c r="I268" i="51"/>
  <c r="H268" i="51"/>
  <c r="G268" i="51"/>
  <c r="N268" i="51" s="1"/>
  <c r="O268" i="51" s="1"/>
  <c r="M267" i="51"/>
  <c r="K267" i="51"/>
  <c r="L267" i="51" s="1"/>
  <c r="I267" i="51"/>
  <c r="H267" i="51"/>
  <c r="G267" i="51"/>
  <c r="N267" i="51" s="1"/>
  <c r="O267" i="51" s="1"/>
  <c r="M266" i="51"/>
  <c r="K266" i="51"/>
  <c r="L266" i="51" s="1"/>
  <c r="I266" i="51"/>
  <c r="H266" i="51"/>
  <c r="G266" i="51"/>
  <c r="N266" i="51" s="1"/>
  <c r="O266" i="51" s="1"/>
  <c r="N265" i="51"/>
  <c r="O265" i="51" s="1"/>
  <c r="M265" i="51"/>
  <c r="K265" i="51"/>
  <c r="L265" i="51" s="1"/>
  <c r="I265" i="51"/>
  <c r="H265" i="51"/>
  <c r="G265" i="51"/>
  <c r="M264" i="51"/>
  <c r="I264" i="51"/>
  <c r="H264" i="51"/>
  <c r="G264" i="51"/>
  <c r="N264" i="51" s="1"/>
  <c r="M263" i="51"/>
  <c r="K263" i="51"/>
  <c r="L263" i="51" s="1"/>
  <c r="I263" i="51"/>
  <c r="H263" i="51"/>
  <c r="G263" i="51"/>
  <c r="N263" i="51" s="1"/>
  <c r="O263" i="51" s="1"/>
  <c r="M262" i="51"/>
  <c r="K262" i="51"/>
  <c r="L262" i="51" s="1"/>
  <c r="I262" i="51"/>
  <c r="H262" i="51"/>
  <c r="G262" i="51"/>
  <c r="N262" i="51" s="1"/>
  <c r="O262" i="51" s="1"/>
  <c r="M261" i="51"/>
  <c r="K261" i="51"/>
  <c r="L261" i="51" s="1"/>
  <c r="I261" i="51"/>
  <c r="H261" i="51"/>
  <c r="G261" i="51"/>
  <c r="N261" i="51" s="1"/>
  <c r="O261" i="51" s="1"/>
  <c r="M260" i="51"/>
  <c r="K260" i="51"/>
  <c r="L260" i="51" s="1"/>
  <c r="I260" i="51"/>
  <c r="H260" i="51"/>
  <c r="G260" i="51"/>
  <c r="N260" i="51" s="1"/>
  <c r="O260" i="51" s="1"/>
  <c r="M259" i="51"/>
  <c r="K259" i="51"/>
  <c r="L259" i="51" s="1"/>
  <c r="I259" i="51"/>
  <c r="H259" i="51"/>
  <c r="G259" i="51"/>
  <c r="N259" i="51" s="1"/>
  <c r="O259" i="51" s="1"/>
  <c r="N258" i="51"/>
  <c r="O258" i="51" s="1"/>
  <c r="M258" i="51"/>
  <c r="K258" i="51"/>
  <c r="L258" i="51" s="1"/>
  <c r="I258" i="51"/>
  <c r="H258" i="51"/>
  <c r="G258" i="51"/>
  <c r="M257" i="51"/>
  <c r="I257" i="51"/>
  <c r="H257" i="51"/>
  <c r="G257" i="51"/>
  <c r="N257" i="51" s="1"/>
  <c r="M256" i="51"/>
  <c r="K256" i="51"/>
  <c r="L256" i="51" s="1"/>
  <c r="I256" i="51"/>
  <c r="H256" i="51"/>
  <c r="G256" i="51"/>
  <c r="N256" i="51" s="1"/>
  <c r="O256" i="51" s="1"/>
  <c r="M255" i="51"/>
  <c r="K255" i="51"/>
  <c r="L255" i="51" s="1"/>
  <c r="I255" i="51"/>
  <c r="H255" i="51"/>
  <c r="G255" i="51"/>
  <c r="N255" i="51" s="1"/>
  <c r="O255" i="51" s="1"/>
  <c r="M254" i="51"/>
  <c r="K254" i="51"/>
  <c r="L254" i="51" s="1"/>
  <c r="I254" i="51"/>
  <c r="H254" i="51"/>
  <c r="G254" i="51"/>
  <c r="N254" i="51" s="1"/>
  <c r="O254" i="51" s="1"/>
  <c r="M253" i="51"/>
  <c r="K253" i="51"/>
  <c r="L253" i="51" s="1"/>
  <c r="I253" i="51"/>
  <c r="H253" i="51"/>
  <c r="G253" i="51"/>
  <c r="N253" i="51" s="1"/>
  <c r="O253" i="51" s="1"/>
  <c r="M252" i="51"/>
  <c r="K252" i="51"/>
  <c r="L252" i="51" s="1"/>
  <c r="I252" i="51"/>
  <c r="H252" i="51"/>
  <c r="G252" i="51"/>
  <c r="N252" i="51" s="1"/>
  <c r="O252" i="51" s="1"/>
  <c r="N251" i="51"/>
  <c r="O251" i="51" s="1"/>
  <c r="M251" i="51"/>
  <c r="K251" i="51"/>
  <c r="L251" i="51" s="1"/>
  <c r="I251" i="51"/>
  <c r="H251" i="51"/>
  <c r="G251" i="51"/>
  <c r="M250" i="51"/>
  <c r="I250" i="51"/>
  <c r="H250" i="51"/>
  <c r="G250" i="51"/>
  <c r="N250" i="51" s="1"/>
  <c r="M249" i="51"/>
  <c r="K249" i="51"/>
  <c r="L249" i="51" s="1"/>
  <c r="I249" i="51"/>
  <c r="H249" i="51"/>
  <c r="G249" i="51"/>
  <c r="N249" i="51" s="1"/>
  <c r="O249" i="51" s="1"/>
  <c r="R248" i="51"/>
  <c r="M248" i="51"/>
  <c r="K248" i="51"/>
  <c r="L248" i="51" s="1"/>
  <c r="I248" i="51"/>
  <c r="H248" i="51"/>
  <c r="G248" i="51"/>
  <c r="N248" i="51" s="1"/>
  <c r="O248" i="51" s="1"/>
  <c r="M247" i="51"/>
  <c r="K247" i="51"/>
  <c r="L247" i="51" s="1"/>
  <c r="I247" i="51"/>
  <c r="H247" i="51"/>
  <c r="G247" i="51"/>
  <c r="N247" i="51" s="1"/>
  <c r="O247" i="51" s="1"/>
  <c r="M246" i="51"/>
  <c r="K246" i="51"/>
  <c r="L246" i="51" s="1"/>
  <c r="I246" i="51"/>
  <c r="H246" i="51"/>
  <c r="G246" i="51"/>
  <c r="N246" i="51" s="1"/>
  <c r="O246" i="51" s="1"/>
  <c r="M245" i="51"/>
  <c r="K245" i="51"/>
  <c r="L245" i="51" s="1"/>
  <c r="I245" i="51"/>
  <c r="H245" i="51"/>
  <c r="G245" i="51"/>
  <c r="N245" i="51" s="1"/>
  <c r="O245" i="51" s="1"/>
  <c r="N244" i="51"/>
  <c r="O244" i="51" s="1"/>
  <c r="M244" i="51"/>
  <c r="K244" i="51"/>
  <c r="L244" i="51" s="1"/>
  <c r="I244" i="51"/>
  <c r="H244" i="51"/>
  <c r="G244" i="51"/>
  <c r="M243" i="51"/>
  <c r="I243" i="51"/>
  <c r="H243" i="51"/>
  <c r="G243" i="51"/>
  <c r="K243" i="51" s="1"/>
  <c r="L243" i="51" s="1"/>
  <c r="M242" i="51"/>
  <c r="K242" i="51"/>
  <c r="L242" i="51" s="1"/>
  <c r="I242" i="51"/>
  <c r="H242" i="51"/>
  <c r="G242" i="51"/>
  <c r="N242" i="51" s="1"/>
  <c r="O242" i="51" s="1"/>
  <c r="M241" i="51"/>
  <c r="K241" i="51"/>
  <c r="L241" i="51" s="1"/>
  <c r="I241" i="51"/>
  <c r="H241" i="51"/>
  <c r="G241" i="51"/>
  <c r="N241" i="51" s="1"/>
  <c r="M240" i="51"/>
  <c r="K240" i="51"/>
  <c r="L240" i="51" s="1"/>
  <c r="I240" i="51"/>
  <c r="H240" i="51"/>
  <c r="G240" i="51"/>
  <c r="N240" i="51" s="1"/>
  <c r="O240" i="51" s="1"/>
  <c r="M239" i="51"/>
  <c r="K239" i="51"/>
  <c r="L239" i="51" s="1"/>
  <c r="I239" i="51"/>
  <c r="H239" i="51"/>
  <c r="G239" i="51"/>
  <c r="N239" i="51" s="1"/>
  <c r="O239" i="51" s="1"/>
  <c r="M238" i="51"/>
  <c r="K238" i="51"/>
  <c r="L238" i="51" s="1"/>
  <c r="I238" i="51"/>
  <c r="H238" i="51"/>
  <c r="G238" i="51"/>
  <c r="N238" i="51" s="1"/>
  <c r="O238" i="51" s="1"/>
  <c r="N237" i="51"/>
  <c r="O237" i="51" s="1"/>
  <c r="M237" i="51"/>
  <c r="K237" i="51"/>
  <c r="L237" i="51" s="1"/>
  <c r="I237" i="51"/>
  <c r="H237" i="51"/>
  <c r="G237" i="51"/>
  <c r="M236" i="51"/>
  <c r="I236" i="51"/>
  <c r="H236" i="51"/>
  <c r="G236" i="51"/>
  <c r="N236" i="51" s="1"/>
  <c r="M235" i="51"/>
  <c r="K235" i="51"/>
  <c r="L235" i="51" s="1"/>
  <c r="I235" i="51"/>
  <c r="H235" i="51"/>
  <c r="G235" i="51"/>
  <c r="N235" i="51" s="1"/>
  <c r="O235" i="51" s="1"/>
  <c r="M234" i="51"/>
  <c r="K234" i="51"/>
  <c r="L234" i="51" s="1"/>
  <c r="I234" i="51"/>
  <c r="H234" i="51"/>
  <c r="G234" i="51"/>
  <c r="N234" i="51" s="1"/>
  <c r="O234" i="51" s="1"/>
  <c r="M233" i="51"/>
  <c r="K233" i="51"/>
  <c r="L233" i="51" s="1"/>
  <c r="I233" i="51"/>
  <c r="H233" i="51"/>
  <c r="G233" i="51"/>
  <c r="N233" i="51" s="1"/>
  <c r="O233" i="51" s="1"/>
  <c r="M232" i="51"/>
  <c r="K232" i="51"/>
  <c r="L232" i="51" s="1"/>
  <c r="I232" i="51"/>
  <c r="H232" i="51"/>
  <c r="G232" i="51"/>
  <c r="N232" i="51" s="1"/>
  <c r="O232" i="51" s="1"/>
  <c r="M231" i="51"/>
  <c r="K231" i="51"/>
  <c r="L231" i="51" s="1"/>
  <c r="I231" i="51"/>
  <c r="H231" i="51"/>
  <c r="G231" i="51"/>
  <c r="N231" i="51" s="1"/>
  <c r="O231" i="51" s="1"/>
  <c r="N230" i="51"/>
  <c r="O230" i="51" s="1"/>
  <c r="M230" i="51"/>
  <c r="K230" i="51"/>
  <c r="L230" i="51" s="1"/>
  <c r="I230" i="51"/>
  <c r="H230" i="51"/>
  <c r="G230" i="51"/>
  <c r="M229" i="51"/>
  <c r="I229" i="51"/>
  <c r="H229" i="51"/>
  <c r="G229" i="51"/>
  <c r="N229" i="51" s="1"/>
  <c r="M228" i="51"/>
  <c r="K228" i="51"/>
  <c r="L228" i="51" s="1"/>
  <c r="I228" i="51"/>
  <c r="H228" i="51"/>
  <c r="G228" i="51"/>
  <c r="N228" i="51" s="1"/>
  <c r="O228" i="51" s="1"/>
  <c r="M227" i="51"/>
  <c r="K227" i="51"/>
  <c r="L227" i="51" s="1"/>
  <c r="I227" i="51"/>
  <c r="H227" i="51"/>
  <c r="G227" i="51"/>
  <c r="N227" i="51" s="1"/>
  <c r="O227" i="51" s="1"/>
  <c r="M226" i="51"/>
  <c r="K226" i="51"/>
  <c r="L226" i="51" s="1"/>
  <c r="I226" i="51"/>
  <c r="H226" i="51"/>
  <c r="G226" i="51"/>
  <c r="N226" i="51" s="1"/>
  <c r="O226" i="51" s="1"/>
  <c r="M225" i="51"/>
  <c r="K225" i="51"/>
  <c r="L225" i="51" s="1"/>
  <c r="I225" i="51"/>
  <c r="H225" i="51"/>
  <c r="G225" i="51"/>
  <c r="N225" i="51" s="1"/>
  <c r="O225" i="51" s="1"/>
  <c r="M224" i="51"/>
  <c r="K224" i="51"/>
  <c r="L224" i="51" s="1"/>
  <c r="I224" i="51"/>
  <c r="H224" i="51"/>
  <c r="G224" i="51"/>
  <c r="N224" i="51" s="1"/>
  <c r="O224" i="51" s="1"/>
  <c r="N223" i="51"/>
  <c r="O223" i="51" s="1"/>
  <c r="M223" i="51"/>
  <c r="K223" i="51"/>
  <c r="L223" i="51" s="1"/>
  <c r="I223" i="51"/>
  <c r="H223" i="51"/>
  <c r="G223" i="51"/>
  <c r="M222" i="51"/>
  <c r="K222" i="51"/>
  <c r="L222" i="51" s="1"/>
  <c r="I222" i="51"/>
  <c r="H222" i="51"/>
  <c r="G222" i="51"/>
  <c r="N222" i="51" s="1"/>
  <c r="M221" i="51"/>
  <c r="I221" i="51"/>
  <c r="H221" i="51"/>
  <c r="G221" i="51"/>
  <c r="N221" i="51" s="1"/>
  <c r="M220" i="51"/>
  <c r="K220" i="51"/>
  <c r="L220" i="51" s="1"/>
  <c r="I220" i="51"/>
  <c r="H220" i="51"/>
  <c r="G220" i="51"/>
  <c r="N220" i="51" s="1"/>
  <c r="O220" i="51" s="1"/>
  <c r="M219" i="51"/>
  <c r="K219" i="51"/>
  <c r="L219" i="51" s="1"/>
  <c r="I219" i="51"/>
  <c r="H219" i="51"/>
  <c r="G219" i="51"/>
  <c r="N219" i="51" s="1"/>
  <c r="O219" i="51" s="1"/>
  <c r="R218" i="51"/>
  <c r="M218" i="51"/>
  <c r="K218" i="51"/>
  <c r="L218" i="51" s="1"/>
  <c r="I218" i="51"/>
  <c r="H218" i="51"/>
  <c r="G218" i="51"/>
  <c r="N218" i="51" s="1"/>
  <c r="O218" i="51" s="1"/>
  <c r="M217" i="51"/>
  <c r="K217" i="51"/>
  <c r="L217" i="51" s="1"/>
  <c r="I217" i="51"/>
  <c r="H217" i="51"/>
  <c r="G217" i="51"/>
  <c r="N217" i="51" s="1"/>
  <c r="O217" i="51" s="1"/>
  <c r="N216" i="51"/>
  <c r="O216" i="51" s="1"/>
  <c r="M216" i="51"/>
  <c r="K216" i="51"/>
  <c r="L216" i="51" s="1"/>
  <c r="I216" i="51"/>
  <c r="H216" i="51"/>
  <c r="G216" i="51"/>
  <c r="M215" i="51"/>
  <c r="I215" i="51"/>
  <c r="H215" i="51"/>
  <c r="G215" i="51"/>
  <c r="N215" i="51" s="1"/>
  <c r="M214" i="51"/>
  <c r="K214" i="51"/>
  <c r="L214" i="51" s="1"/>
  <c r="I214" i="51"/>
  <c r="H214" i="51"/>
  <c r="G214" i="51"/>
  <c r="N214" i="51" s="1"/>
  <c r="O214" i="51" s="1"/>
  <c r="M213" i="51"/>
  <c r="K213" i="51"/>
  <c r="L213" i="51" s="1"/>
  <c r="I213" i="51"/>
  <c r="H213" i="51"/>
  <c r="G213" i="51"/>
  <c r="N213" i="51" s="1"/>
  <c r="O213" i="51" s="1"/>
  <c r="M212" i="51"/>
  <c r="K212" i="51"/>
  <c r="L212" i="51" s="1"/>
  <c r="I212" i="51"/>
  <c r="H212" i="51"/>
  <c r="G212" i="51"/>
  <c r="N212" i="51" s="1"/>
  <c r="O212" i="51" s="1"/>
  <c r="M211" i="51"/>
  <c r="K211" i="51"/>
  <c r="L211" i="51" s="1"/>
  <c r="I211" i="51"/>
  <c r="H211" i="51"/>
  <c r="G211" i="51"/>
  <c r="N211" i="51" s="1"/>
  <c r="O211" i="51" s="1"/>
  <c r="M210" i="51"/>
  <c r="K210" i="51"/>
  <c r="L210" i="51" s="1"/>
  <c r="I210" i="51"/>
  <c r="H210" i="51"/>
  <c r="G210" i="51"/>
  <c r="N210" i="51" s="1"/>
  <c r="O210" i="51" s="1"/>
  <c r="N209" i="51"/>
  <c r="O209" i="51" s="1"/>
  <c r="M209" i="51"/>
  <c r="K209" i="51"/>
  <c r="L209" i="51" s="1"/>
  <c r="I209" i="51"/>
  <c r="H209" i="51"/>
  <c r="G209" i="51"/>
  <c r="M208" i="51"/>
  <c r="I208" i="51"/>
  <c r="H208" i="51"/>
  <c r="G208" i="51"/>
  <c r="N208" i="51" s="1"/>
  <c r="M207" i="51"/>
  <c r="K207" i="51"/>
  <c r="L207" i="51" s="1"/>
  <c r="I207" i="51"/>
  <c r="H207" i="51"/>
  <c r="G207" i="51"/>
  <c r="N207" i="51" s="1"/>
  <c r="O207" i="51" s="1"/>
  <c r="M206" i="51"/>
  <c r="K206" i="51"/>
  <c r="L206" i="51" s="1"/>
  <c r="I206" i="51"/>
  <c r="H206" i="51"/>
  <c r="G206" i="51"/>
  <c r="N206" i="51" s="1"/>
  <c r="O206" i="51" s="1"/>
  <c r="M205" i="51"/>
  <c r="K205" i="51"/>
  <c r="L205" i="51" s="1"/>
  <c r="I205" i="51"/>
  <c r="H205" i="51"/>
  <c r="G205" i="51"/>
  <c r="N205" i="51" s="1"/>
  <c r="O205" i="51" s="1"/>
  <c r="M204" i="51"/>
  <c r="K204" i="51"/>
  <c r="L204" i="51" s="1"/>
  <c r="I204" i="51"/>
  <c r="H204" i="51"/>
  <c r="G204" i="51"/>
  <c r="N204" i="51" s="1"/>
  <c r="O204" i="51" s="1"/>
  <c r="M203" i="51"/>
  <c r="K203" i="51"/>
  <c r="L203" i="51" s="1"/>
  <c r="I203" i="51"/>
  <c r="H203" i="51"/>
  <c r="G203" i="51"/>
  <c r="N203" i="51" s="1"/>
  <c r="O203" i="51" s="1"/>
  <c r="N202" i="51"/>
  <c r="O202" i="51" s="1"/>
  <c r="M202" i="51"/>
  <c r="K202" i="51"/>
  <c r="L202" i="51" s="1"/>
  <c r="I202" i="51"/>
  <c r="H202" i="51"/>
  <c r="G202" i="51"/>
  <c r="M201" i="51"/>
  <c r="I201" i="51"/>
  <c r="H201" i="51"/>
  <c r="G201" i="51"/>
  <c r="N201" i="51" s="1"/>
  <c r="M200" i="51"/>
  <c r="K200" i="51"/>
  <c r="L200" i="51" s="1"/>
  <c r="I200" i="51"/>
  <c r="H200" i="51"/>
  <c r="G200" i="51"/>
  <c r="N200" i="51" s="1"/>
  <c r="O200" i="51" s="1"/>
  <c r="M199" i="51"/>
  <c r="K199" i="51"/>
  <c r="L199" i="51" s="1"/>
  <c r="I199" i="51"/>
  <c r="H199" i="51"/>
  <c r="G199" i="51"/>
  <c r="N199" i="51" s="1"/>
  <c r="O199" i="51" s="1"/>
  <c r="M198" i="51"/>
  <c r="K198" i="51"/>
  <c r="L198" i="51" s="1"/>
  <c r="I198" i="51"/>
  <c r="H198" i="51"/>
  <c r="G198" i="51"/>
  <c r="N198" i="51" s="1"/>
  <c r="O198" i="51" s="1"/>
  <c r="M197" i="51"/>
  <c r="K197" i="51"/>
  <c r="L197" i="51" s="1"/>
  <c r="I197" i="51"/>
  <c r="H197" i="51"/>
  <c r="G197" i="51"/>
  <c r="N197" i="51" s="1"/>
  <c r="O197" i="51" s="1"/>
  <c r="M196" i="51"/>
  <c r="I196" i="51"/>
  <c r="H196" i="51"/>
  <c r="G196" i="51"/>
  <c r="N196" i="51" s="1"/>
  <c r="N195" i="51"/>
  <c r="O195" i="51" s="1"/>
  <c r="M195" i="51"/>
  <c r="K195" i="51"/>
  <c r="L195" i="51" s="1"/>
  <c r="I195" i="51"/>
  <c r="H195" i="51"/>
  <c r="G195" i="51"/>
  <c r="M194" i="51"/>
  <c r="I194" i="51"/>
  <c r="H194" i="51"/>
  <c r="G194" i="51"/>
  <c r="N194" i="51" s="1"/>
  <c r="M193" i="51"/>
  <c r="K193" i="51"/>
  <c r="L193" i="51" s="1"/>
  <c r="I193" i="51"/>
  <c r="H193" i="51"/>
  <c r="G193" i="51"/>
  <c r="N193" i="51" s="1"/>
  <c r="O193" i="51" s="1"/>
  <c r="M192" i="51"/>
  <c r="K192" i="51"/>
  <c r="L192" i="51" s="1"/>
  <c r="I192" i="51"/>
  <c r="H192" i="51"/>
  <c r="G192" i="51"/>
  <c r="N192" i="51" s="1"/>
  <c r="O192" i="51" s="1"/>
  <c r="M191" i="51"/>
  <c r="K191" i="51"/>
  <c r="L191" i="51" s="1"/>
  <c r="I191" i="51"/>
  <c r="H191" i="51"/>
  <c r="G191" i="51"/>
  <c r="N191" i="51" s="1"/>
  <c r="O191" i="51" s="1"/>
  <c r="M190" i="51"/>
  <c r="K190" i="51"/>
  <c r="L190" i="51" s="1"/>
  <c r="I190" i="51"/>
  <c r="H190" i="51"/>
  <c r="G190" i="51"/>
  <c r="N190" i="51" s="1"/>
  <c r="O190" i="51" s="1"/>
  <c r="M189" i="51"/>
  <c r="K189" i="51"/>
  <c r="L189" i="51" s="1"/>
  <c r="I189" i="51"/>
  <c r="H189" i="51"/>
  <c r="G189" i="51"/>
  <c r="N189" i="51" s="1"/>
  <c r="O189" i="51" s="1"/>
  <c r="N188" i="51"/>
  <c r="O188" i="51" s="1"/>
  <c r="M188" i="51"/>
  <c r="K188" i="51"/>
  <c r="L188" i="51" s="1"/>
  <c r="I188" i="51"/>
  <c r="H188" i="51"/>
  <c r="G188" i="51"/>
  <c r="R187" i="51"/>
  <c r="M187" i="51"/>
  <c r="I187" i="51"/>
  <c r="H187" i="51"/>
  <c r="G187" i="51"/>
  <c r="N187" i="51" s="1"/>
  <c r="M186" i="51"/>
  <c r="K186" i="51"/>
  <c r="L186" i="51" s="1"/>
  <c r="I186" i="51"/>
  <c r="H186" i="51"/>
  <c r="G186" i="51"/>
  <c r="N186" i="51" s="1"/>
  <c r="O186" i="51" s="1"/>
  <c r="M185" i="51"/>
  <c r="K185" i="51"/>
  <c r="L185" i="51" s="1"/>
  <c r="I185" i="51"/>
  <c r="H185" i="51"/>
  <c r="G185" i="51"/>
  <c r="N185" i="51" s="1"/>
  <c r="O185" i="51" s="1"/>
  <c r="M184" i="51"/>
  <c r="K184" i="51"/>
  <c r="L184" i="51" s="1"/>
  <c r="I184" i="51"/>
  <c r="H184" i="51"/>
  <c r="G184" i="51"/>
  <c r="N184" i="51" s="1"/>
  <c r="O184" i="51" s="1"/>
  <c r="M183" i="51"/>
  <c r="K183" i="51"/>
  <c r="L183" i="51" s="1"/>
  <c r="I183" i="51"/>
  <c r="H183" i="51"/>
  <c r="G183" i="51"/>
  <c r="N183" i="51" s="1"/>
  <c r="O183" i="51" s="1"/>
  <c r="M182" i="51"/>
  <c r="K182" i="51"/>
  <c r="L182" i="51" s="1"/>
  <c r="I182" i="51"/>
  <c r="H182" i="51"/>
  <c r="G182" i="51"/>
  <c r="N182" i="51" s="1"/>
  <c r="O182" i="51" s="1"/>
  <c r="N181" i="51"/>
  <c r="O181" i="51" s="1"/>
  <c r="M181" i="51"/>
  <c r="K181" i="51"/>
  <c r="L181" i="51" s="1"/>
  <c r="I181" i="51"/>
  <c r="H181" i="51"/>
  <c r="G181" i="51"/>
  <c r="M180" i="51"/>
  <c r="I180" i="51"/>
  <c r="H180" i="51"/>
  <c r="G180" i="51"/>
  <c r="N180" i="51" s="1"/>
  <c r="M179" i="51"/>
  <c r="K179" i="51"/>
  <c r="L179" i="51" s="1"/>
  <c r="I179" i="51"/>
  <c r="H179" i="51"/>
  <c r="G179" i="51"/>
  <c r="N179" i="51" s="1"/>
  <c r="O179" i="51" s="1"/>
  <c r="M178" i="51"/>
  <c r="K178" i="51"/>
  <c r="L178" i="51" s="1"/>
  <c r="I178" i="51"/>
  <c r="H178" i="51"/>
  <c r="G178" i="51"/>
  <c r="N178" i="51" s="1"/>
  <c r="O178" i="51" s="1"/>
  <c r="M177" i="51"/>
  <c r="K177" i="51"/>
  <c r="L177" i="51" s="1"/>
  <c r="I177" i="51"/>
  <c r="H177" i="51"/>
  <c r="G177" i="51"/>
  <c r="N177" i="51" s="1"/>
  <c r="O177" i="51" s="1"/>
  <c r="M176" i="51"/>
  <c r="K176" i="51"/>
  <c r="L176" i="51" s="1"/>
  <c r="I176" i="51"/>
  <c r="H176" i="51"/>
  <c r="G176" i="51"/>
  <c r="N176" i="51" s="1"/>
  <c r="O176" i="51" s="1"/>
  <c r="N175" i="51"/>
  <c r="M175" i="51"/>
  <c r="K175" i="51"/>
  <c r="L175" i="51" s="1"/>
  <c r="I175" i="51"/>
  <c r="H175" i="51"/>
  <c r="G175" i="51"/>
  <c r="N174" i="51"/>
  <c r="O174" i="51" s="1"/>
  <c r="M174" i="51"/>
  <c r="K174" i="51"/>
  <c r="L174" i="51" s="1"/>
  <c r="I174" i="51"/>
  <c r="H174" i="51"/>
  <c r="G174" i="51"/>
  <c r="M173" i="51"/>
  <c r="I173" i="51"/>
  <c r="H173" i="51"/>
  <c r="G173" i="51"/>
  <c r="N173" i="51" s="1"/>
  <c r="M172" i="51"/>
  <c r="K172" i="51"/>
  <c r="L172" i="51" s="1"/>
  <c r="I172" i="51"/>
  <c r="H172" i="51"/>
  <c r="G172" i="51"/>
  <c r="N172" i="51" s="1"/>
  <c r="O172" i="51" s="1"/>
  <c r="M171" i="51"/>
  <c r="K171" i="51"/>
  <c r="L171" i="51" s="1"/>
  <c r="I171" i="51"/>
  <c r="H171" i="51"/>
  <c r="G171" i="51"/>
  <c r="N171" i="51" s="1"/>
  <c r="O171" i="51" s="1"/>
  <c r="M170" i="51"/>
  <c r="K170" i="51"/>
  <c r="L170" i="51" s="1"/>
  <c r="I170" i="51"/>
  <c r="H170" i="51"/>
  <c r="G170" i="51"/>
  <c r="N170" i="51" s="1"/>
  <c r="O170" i="51" s="1"/>
  <c r="M169" i="51"/>
  <c r="K169" i="51"/>
  <c r="L169" i="51" s="1"/>
  <c r="I169" i="51"/>
  <c r="H169" i="51"/>
  <c r="G169" i="51"/>
  <c r="N169" i="51" s="1"/>
  <c r="O169" i="51" s="1"/>
  <c r="M168" i="51"/>
  <c r="K168" i="51"/>
  <c r="L168" i="51" s="1"/>
  <c r="I168" i="51"/>
  <c r="H168" i="51"/>
  <c r="G168" i="51"/>
  <c r="N168" i="51" s="1"/>
  <c r="O168" i="51" s="1"/>
  <c r="N167" i="51"/>
  <c r="O167" i="51" s="1"/>
  <c r="M167" i="51"/>
  <c r="K167" i="51"/>
  <c r="L167" i="51" s="1"/>
  <c r="I167" i="51"/>
  <c r="H167" i="51"/>
  <c r="G167" i="51"/>
  <c r="M166" i="51"/>
  <c r="I166" i="51"/>
  <c r="H166" i="51"/>
  <c r="G166" i="51"/>
  <c r="N166" i="51" s="1"/>
  <c r="M165" i="51"/>
  <c r="K165" i="51"/>
  <c r="L165" i="51" s="1"/>
  <c r="I165" i="51"/>
  <c r="H165" i="51"/>
  <c r="G165" i="51"/>
  <c r="N165" i="51" s="1"/>
  <c r="O165" i="51" s="1"/>
  <c r="M164" i="51"/>
  <c r="K164" i="51"/>
  <c r="L164" i="51" s="1"/>
  <c r="I164" i="51"/>
  <c r="H164" i="51"/>
  <c r="G164" i="51"/>
  <c r="N164" i="51" s="1"/>
  <c r="O164" i="51" s="1"/>
  <c r="M163" i="51"/>
  <c r="K163" i="51"/>
  <c r="L163" i="51" s="1"/>
  <c r="I163" i="51"/>
  <c r="H163" i="51"/>
  <c r="G163" i="51"/>
  <c r="N163" i="51" s="1"/>
  <c r="O163" i="51" s="1"/>
  <c r="M162" i="51"/>
  <c r="K162" i="51"/>
  <c r="L162" i="51" s="1"/>
  <c r="I162" i="51"/>
  <c r="H162" i="51"/>
  <c r="G162" i="51"/>
  <c r="N162" i="51" s="1"/>
  <c r="O162" i="51" s="1"/>
  <c r="M161" i="51"/>
  <c r="K161" i="51"/>
  <c r="L161" i="51" s="1"/>
  <c r="I161" i="51"/>
  <c r="H161" i="51"/>
  <c r="G161" i="51"/>
  <c r="N161" i="51" s="1"/>
  <c r="O161" i="51" s="1"/>
  <c r="N160" i="51"/>
  <c r="O160" i="51" s="1"/>
  <c r="M160" i="51"/>
  <c r="K160" i="51"/>
  <c r="L160" i="51" s="1"/>
  <c r="I160" i="51"/>
  <c r="H160" i="51"/>
  <c r="G160" i="51"/>
  <c r="M159" i="51"/>
  <c r="I159" i="51"/>
  <c r="H159" i="51"/>
  <c r="G159" i="51"/>
  <c r="N159" i="51" s="1"/>
  <c r="M158" i="51"/>
  <c r="K158" i="51"/>
  <c r="L158" i="51" s="1"/>
  <c r="I158" i="51"/>
  <c r="H158" i="51"/>
  <c r="G158" i="51"/>
  <c r="N158" i="51" s="1"/>
  <c r="O158" i="51" s="1"/>
  <c r="R157" i="51"/>
  <c r="M157" i="51"/>
  <c r="K157" i="51"/>
  <c r="L157" i="51" s="1"/>
  <c r="I157" i="51"/>
  <c r="H157" i="51"/>
  <c r="G157" i="51"/>
  <c r="N157" i="51" s="1"/>
  <c r="O157" i="51" s="1"/>
  <c r="M156" i="51"/>
  <c r="K156" i="51"/>
  <c r="L156" i="51" s="1"/>
  <c r="I156" i="51"/>
  <c r="H156" i="51"/>
  <c r="G156" i="51"/>
  <c r="N156" i="51" s="1"/>
  <c r="O156" i="51" s="1"/>
  <c r="M155" i="51"/>
  <c r="K155" i="51"/>
  <c r="L155" i="51" s="1"/>
  <c r="I155" i="51"/>
  <c r="H155" i="51"/>
  <c r="G155" i="51"/>
  <c r="N155" i="51" s="1"/>
  <c r="O155" i="51" s="1"/>
  <c r="M154" i="51"/>
  <c r="K154" i="51"/>
  <c r="L154" i="51" s="1"/>
  <c r="I154" i="51"/>
  <c r="H154" i="51"/>
  <c r="G154" i="51"/>
  <c r="N154" i="51" s="1"/>
  <c r="O154" i="51" s="1"/>
  <c r="N153" i="51"/>
  <c r="O153" i="51" s="1"/>
  <c r="M153" i="51"/>
  <c r="K153" i="51"/>
  <c r="L153" i="51" s="1"/>
  <c r="I153" i="51"/>
  <c r="H153" i="51"/>
  <c r="G153" i="51"/>
  <c r="M152" i="51"/>
  <c r="I152" i="51"/>
  <c r="H152" i="51"/>
  <c r="G152" i="51"/>
  <c r="N152" i="51" s="1"/>
  <c r="M151" i="51"/>
  <c r="I151" i="51"/>
  <c r="H151" i="51"/>
  <c r="G151" i="51"/>
  <c r="N151" i="51" s="1"/>
  <c r="M150" i="51"/>
  <c r="I150" i="51"/>
  <c r="H150" i="51"/>
  <c r="G150" i="51"/>
  <c r="K150" i="51" s="1"/>
  <c r="L150" i="51" s="1"/>
  <c r="M149" i="51"/>
  <c r="I149" i="51"/>
  <c r="H149" i="51"/>
  <c r="G149" i="51"/>
  <c r="N149" i="51" s="1"/>
  <c r="M148" i="51"/>
  <c r="I148" i="51"/>
  <c r="H148" i="51"/>
  <c r="G148" i="51"/>
  <c r="N148" i="51" s="1"/>
  <c r="M147" i="51"/>
  <c r="I147" i="51"/>
  <c r="H147" i="51"/>
  <c r="G147" i="51"/>
  <c r="N147" i="51" s="1"/>
  <c r="N146" i="51"/>
  <c r="O146" i="51" s="1"/>
  <c r="M146" i="51"/>
  <c r="K146" i="51"/>
  <c r="L146" i="51" s="1"/>
  <c r="I146" i="51"/>
  <c r="H146" i="51"/>
  <c r="G146" i="51"/>
  <c r="M145" i="51"/>
  <c r="I145" i="51"/>
  <c r="H145" i="51"/>
  <c r="G145" i="51"/>
  <c r="N145" i="51" s="1"/>
  <c r="M144" i="51"/>
  <c r="I144" i="51"/>
  <c r="H144" i="51"/>
  <c r="G144" i="51"/>
  <c r="N144" i="51" s="1"/>
  <c r="M143" i="51"/>
  <c r="I143" i="51"/>
  <c r="H143" i="51"/>
  <c r="G143" i="51"/>
  <c r="N143" i="51" s="1"/>
  <c r="M142" i="51"/>
  <c r="I142" i="51"/>
  <c r="H142" i="51"/>
  <c r="G142" i="51"/>
  <c r="K142" i="51" s="1"/>
  <c r="L142" i="51" s="1"/>
  <c r="M141" i="51"/>
  <c r="I141" i="51"/>
  <c r="H141" i="51"/>
  <c r="G141" i="51"/>
  <c r="N141" i="51" s="1"/>
  <c r="M140" i="51"/>
  <c r="I140" i="51"/>
  <c r="H140" i="51"/>
  <c r="G140" i="51"/>
  <c r="N140" i="51" s="1"/>
  <c r="N139" i="51"/>
  <c r="O139" i="51" s="1"/>
  <c r="M139" i="51"/>
  <c r="K139" i="51"/>
  <c r="L139" i="51" s="1"/>
  <c r="I139" i="51"/>
  <c r="H139" i="51"/>
  <c r="G139" i="51"/>
  <c r="M138" i="51"/>
  <c r="I138" i="51"/>
  <c r="H138" i="51"/>
  <c r="G138" i="51"/>
  <c r="N138" i="51" s="1"/>
  <c r="M137" i="51"/>
  <c r="I137" i="51"/>
  <c r="H137" i="51"/>
  <c r="G137" i="51"/>
  <c r="N137" i="51" s="1"/>
  <c r="M136" i="51"/>
  <c r="I136" i="51"/>
  <c r="H136" i="51"/>
  <c r="G136" i="51"/>
  <c r="N136" i="51" s="1"/>
  <c r="M135" i="51"/>
  <c r="I135" i="51"/>
  <c r="H135" i="51"/>
  <c r="G135" i="51"/>
  <c r="N135" i="51" s="1"/>
  <c r="M134" i="51"/>
  <c r="I134" i="51"/>
  <c r="H134" i="51"/>
  <c r="G134" i="51"/>
  <c r="K134" i="51" s="1"/>
  <c r="L134" i="51" s="1"/>
  <c r="M133" i="51"/>
  <c r="I133" i="51"/>
  <c r="H133" i="51"/>
  <c r="G133" i="51"/>
  <c r="N133" i="51" s="1"/>
  <c r="N132" i="51"/>
  <c r="O132" i="51" s="1"/>
  <c r="M132" i="51"/>
  <c r="K132" i="51"/>
  <c r="L132" i="51" s="1"/>
  <c r="I132" i="51"/>
  <c r="H132" i="51"/>
  <c r="G132" i="51"/>
  <c r="M131" i="51"/>
  <c r="I131" i="51"/>
  <c r="H131" i="51"/>
  <c r="G131" i="51"/>
  <c r="N131" i="51" s="1"/>
  <c r="M130" i="51"/>
  <c r="I130" i="51"/>
  <c r="H130" i="51"/>
  <c r="G130" i="51"/>
  <c r="N130" i="51" s="1"/>
  <c r="M129" i="51"/>
  <c r="I129" i="51"/>
  <c r="H129" i="51"/>
  <c r="G129" i="51"/>
  <c r="N129" i="51" s="1"/>
  <c r="M128" i="51"/>
  <c r="I128" i="51"/>
  <c r="H128" i="51"/>
  <c r="G128" i="51"/>
  <c r="N128" i="51" s="1"/>
  <c r="M127" i="51"/>
  <c r="I127" i="51"/>
  <c r="H127" i="51"/>
  <c r="G127" i="51"/>
  <c r="N127" i="51" s="1"/>
  <c r="R126" i="51"/>
  <c r="M126" i="51"/>
  <c r="I126" i="51"/>
  <c r="H126" i="51"/>
  <c r="G126" i="51"/>
  <c r="N126" i="51" s="1"/>
  <c r="N125" i="51"/>
  <c r="O125" i="51" s="1"/>
  <c r="M125" i="51"/>
  <c r="K125" i="51"/>
  <c r="L125" i="51" s="1"/>
  <c r="I125" i="51"/>
  <c r="H125" i="51"/>
  <c r="G125" i="51"/>
  <c r="N124" i="51"/>
  <c r="M124" i="51"/>
  <c r="K124" i="51"/>
  <c r="L124" i="51" s="1"/>
  <c r="I124" i="51"/>
  <c r="H124" i="51"/>
  <c r="G124" i="51"/>
  <c r="M123" i="51"/>
  <c r="I123" i="51"/>
  <c r="H123" i="51"/>
  <c r="G123" i="51"/>
  <c r="N123" i="51" s="1"/>
  <c r="M122" i="51"/>
  <c r="I122" i="51"/>
  <c r="H122" i="51"/>
  <c r="G122" i="51"/>
  <c r="N122" i="51" s="1"/>
  <c r="M121" i="51"/>
  <c r="I121" i="51"/>
  <c r="H121" i="51"/>
  <c r="G121" i="51"/>
  <c r="N121" i="51" s="1"/>
  <c r="M120" i="51"/>
  <c r="I120" i="51"/>
  <c r="H120" i="51"/>
  <c r="G120" i="51"/>
  <c r="N120" i="51" s="1"/>
  <c r="M119" i="51"/>
  <c r="I119" i="51"/>
  <c r="H119" i="51"/>
  <c r="G119" i="51"/>
  <c r="N119" i="51" s="1"/>
  <c r="M118" i="51"/>
  <c r="K118" i="51"/>
  <c r="L118" i="51" s="1"/>
  <c r="I118" i="51"/>
  <c r="H118" i="51"/>
  <c r="G118" i="51"/>
  <c r="N118" i="51" s="1"/>
  <c r="O118" i="51" s="1"/>
  <c r="M117" i="51"/>
  <c r="I117" i="51"/>
  <c r="H117" i="51"/>
  <c r="G117" i="51"/>
  <c r="N117" i="51" s="1"/>
  <c r="M116" i="51"/>
  <c r="I116" i="51"/>
  <c r="H116" i="51"/>
  <c r="G116" i="51"/>
  <c r="N116" i="51" s="1"/>
  <c r="M115" i="51"/>
  <c r="K115" i="51"/>
  <c r="L115" i="51" s="1"/>
  <c r="I115" i="51"/>
  <c r="H115" i="51"/>
  <c r="G115" i="51"/>
  <c r="N115" i="51" s="1"/>
  <c r="O115" i="51" s="1"/>
  <c r="N114" i="51"/>
  <c r="O114" i="51" s="1"/>
  <c r="M114" i="51"/>
  <c r="K114" i="51"/>
  <c r="L114" i="51" s="1"/>
  <c r="I114" i="51"/>
  <c r="H114" i="51"/>
  <c r="G114" i="51"/>
  <c r="N113" i="51"/>
  <c r="O113" i="51" s="1"/>
  <c r="M113" i="51"/>
  <c r="K113" i="51"/>
  <c r="L113" i="51" s="1"/>
  <c r="I113" i="51"/>
  <c r="H113" i="51"/>
  <c r="G113" i="51"/>
  <c r="M112" i="51"/>
  <c r="K112" i="51"/>
  <c r="L112" i="51" s="1"/>
  <c r="I112" i="51"/>
  <c r="H112" i="51"/>
  <c r="G112" i="51"/>
  <c r="N112" i="51" s="1"/>
  <c r="N111" i="51"/>
  <c r="O111" i="51" s="1"/>
  <c r="M111" i="51"/>
  <c r="K111" i="51"/>
  <c r="L111" i="51" s="1"/>
  <c r="I111" i="51"/>
  <c r="H111" i="51"/>
  <c r="G111" i="51"/>
  <c r="M110" i="51"/>
  <c r="I110" i="51"/>
  <c r="H110" i="51"/>
  <c r="G110" i="51"/>
  <c r="N110" i="51" s="1"/>
  <c r="M109" i="51"/>
  <c r="K109" i="51"/>
  <c r="L109" i="51" s="1"/>
  <c r="I109" i="51"/>
  <c r="H109" i="51"/>
  <c r="G109" i="51"/>
  <c r="N109" i="51" s="1"/>
  <c r="O109" i="51" s="1"/>
  <c r="M108" i="51"/>
  <c r="K108" i="51"/>
  <c r="L108" i="51" s="1"/>
  <c r="I108" i="51"/>
  <c r="H108" i="51"/>
  <c r="G108" i="51"/>
  <c r="N108" i="51" s="1"/>
  <c r="O108" i="51" s="1"/>
  <c r="M107" i="51"/>
  <c r="K107" i="51"/>
  <c r="L107" i="51" s="1"/>
  <c r="I107" i="51"/>
  <c r="H107" i="51"/>
  <c r="G107" i="51"/>
  <c r="N107" i="51" s="1"/>
  <c r="O107" i="51" s="1"/>
  <c r="M106" i="51"/>
  <c r="K106" i="51"/>
  <c r="L106" i="51" s="1"/>
  <c r="I106" i="51"/>
  <c r="H106" i="51"/>
  <c r="G106" i="51"/>
  <c r="N106" i="51" s="1"/>
  <c r="O106" i="51" s="1"/>
  <c r="M105" i="51"/>
  <c r="K105" i="51"/>
  <c r="L105" i="51" s="1"/>
  <c r="I105" i="51"/>
  <c r="H105" i="51"/>
  <c r="G105" i="51"/>
  <c r="N105" i="51" s="1"/>
  <c r="O105" i="51" s="1"/>
  <c r="N104" i="51"/>
  <c r="O104" i="51" s="1"/>
  <c r="M104" i="51"/>
  <c r="K104" i="51"/>
  <c r="L104" i="51" s="1"/>
  <c r="I104" i="51"/>
  <c r="H104" i="51"/>
  <c r="G104" i="51"/>
  <c r="M103" i="51"/>
  <c r="I103" i="51"/>
  <c r="H103" i="51"/>
  <c r="G103" i="51"/>
  <c r="N103" i="51" s="1"/>
  <c r="M102" i="51"/>
  <c r="K102" i="51"/>
  <c r="L102" i="51" s="1"/>
  <c r="I102" i="51"/>
  <c r="H102" i="51"/>
  <c r="G102" i="51"/>
  <c r="N102" i="51" s="1"/>
  <c r="O102" i="51" s="1"/>
  <c r="M101" i="51"/>
  <c r="K101" i="51"/>
  <c r="L101" i="51" s="1"/>
  <c r="I101" i="51"/>
  <c r="H101" i="51"/>
  <c r="G101" i="51"/>
  <c r="N101" i="51" s="1"/>
  <c r="O101" i="51" s="1"/>
  <c r="M100" i="51"/>
  <c r="K100" i="51"/>
  <c r="L100" i="51" s="1"/>
  <c r="I100" i="51"/>
  <c r="H100" i="51"/>
  <c r="G100" i="51"/>
  <c r="N100" i="51" s="1"/>
  <c r="O100" i="51" s="1"/>
  <c r="M99" i="51"/>
  <c r="K99" i="51"/>
  <c r="L99" i="51" s="1"/>
  <c r="I99" i="51"/>
  <c r="H99" i="51"/>
  <c r="G99" i="51"/>
  <c r="N99" i="51" s="1"/>
  <c r="O99" i="51" s="1"/>
  <c r="M98" i="51"/>
  <c r="K98" i="51"/>
  <c r="L98" i="51" s="1"/>
  <c r="I98" i="51"/>
  <c r="H98" i="51"/>
  <c r="G98" i="51"/>
  <c r="N98" i="51" s="1"/>
  <c r="O98" i="51" s="1"/>
  <c r="N97" i="51"/>
  <c r="O97" i="51" s="1"/>
  <c r="M97" i="51"/>
  <c r="K97" i="51"/>
  <c r="L97" i="51" s="1"/>
  <c r="I97" i="51"/>
  <c r="H97" i="51"/>
  <c r="G97" i="51"/>
  <c r="M96" i="51"/>
  <c r="I96" i="51"/>
  <c r="H96" i="51"/>
  <c r="G96" i="51"/>
  <c r="N96" i="51" s="1"/>
  <c r="R95" i="51"/>
  <c r="M95" i="51"/>
  <c r="K95" i="51"/>
  <c r="L95" i="51" s="1"/>
  <c r="I95" i="51"/>
  <c r="H95" i="51"/>
  <c r="G95" i="51"/>
  <c r="N95" i="51" s="1"/>
  <c r="O95" i="51" s="1"/>
  <c r="M94" i="51"/>
  <c r="K94" i="51"/>
  <c r="L94" i="51" s="1"/>
  <c r="I94" i="51"/>
  <c r="H94" i="51"/>
  <c r="G94" i="51"/>
  <c r="N94" i="51" s="1"/>
  <c r="O94" i="51" s="1"/>
  <c r="M93" i="51"/>
  <c r="K93" i="51"/>
  <c r="L93" i="51" s="1"/>
  <c r="I93" i="51"/>
  <c r="H93" i="51"/>
  <c r="G93" i="51"/>
  <c r="N93" i="51" s="1"/>
  <c r="O93" i="51" s="1"/>
  <c r="M92" i="51"/>
  <c r="K92" i="51"/>
  <c r="L92" i="51" s="1"/>
  <c r="I92" i="51"/>
  <c r="H92" i="51"/>
  <c r="G92" i="51"/>
  <c r="N92" i="51" s="1"/>
  <c r="O92" i="51" s="1"/>
  <c r="M91" i="51"/>
  <c r="K91" i="51"/>
  <c r="L91" i="51" s="1"/>
  <c r="I91" i="51"/>
  <c r="H91" i="51"/>
  <c r="G91" i="51"/>
  <c r="N91" i="51" s="1"/>
  <c r="O91" i="51" s="1"/>
  <c r="N90" i="51"/>
  <c r="O90" i="51" s="1"/>
  <c r="M90" i="51"/>
  <c r="K90" i="51"/>
  <c r="L90" i="51" s="1"/>
  <c r="I90" i="51"/>
  <c r="H90" i="51"/>
  <c r="G90" i="51"/>
  <c r="M89" i="51"/>
  <c r="I89" i="51"/>
  <c r="H89" i="51"/>
  <c r="G89" i="51"/>
  <c r="N89" i="51" s="1"/>
  <c r="M88" i="51"/>
  <c r="K88" i="51"/>
  <c r="L88" i="51" s="1"/>
  <c r="I88" i="51"/>
  <c r="H88" i="51"/>
  <c r="G88" i="51"/>
  <c r="N88" i="51" s="1"/>
  <c r="O88" i="51" s="1"/>
  <c r="M87" i="51"/>
  <c r="K87" i="51"/>
  <c r="L87" i="51" s="1"/>
  <c r="I87" i="51"/>
  <c r="H87" i="51"/>
  <c r="G87" i="51"/>
  <c r="N87" i="51" s="1"/>
  <c r="O87" i="51" s="1"/>
  <c r="M86" i="51"/>
  <c r="K86" i="51"/>
  <c r="L86" i="51" s="1"/>
  <c r="I86" i="51"/>
  <c r="H86" i="51"/>
  <c r="G86" i="51"/>
  <c r="N86" i="51" s="1"/>
  <c r="O86" i="51" s="1"/>
  <c r="M85" i="51"/>
  <c r="K85" i="51"/>
  <c r="L85" i="51" s="1"/>
  <c r="I85" i="51"/>
  <c r="H85" i="51"/>
  <c r="G85" i="51"/>
  <c r="N85" i="51" s="1"/>
  <c r="O85" i="51" s="1"/>
  <c r="M84" i="51"/>
  <c r="K84" i="51"/>
  <c r="L84" i="51" s="1"/>
  <c r="I84" i="51"/>
  <c r="H84" i="51"/>
  <c r="G84" i="51"/>
  <c r="N84" i="51" s="1"/>
  <c r="O84" i="51" s="1"/>
  <c r="N83" i="51"/>
  <c r="O83" i="51" s="1"/>
  <c r="M83" i="51"/>
  <c r="K83" i="51"/>
  <c r="L83" i="51" s="1"/>
  <c r="I83" i="51"/>
  <c r="H83" i="51"/>
  <c r="G83" i="51"/>
  <c r="M82" i="51"/>
  <c r="I82" i="51"/>
  <c r="H82" i="51"/>
  <c r="G82" i="51"/>
  <c r="N82" i="51" s="1"/>
  <c r="M81" i="51"/>
  <c r="K81" i="51"/>
  <c r="L81" i="51" s="1"/>
  <c r="I81" i="51"/>
  <c r="H81" i="51"/>
  <c r="G81" i="51"/>
  <c r="N81" i="51" s="1"/>
  <c r="O81" i="51" s="1"/>
  <c r="M80" i="51"/>
  <c r="K80" i="51"/>
  <c r="L80" i="51" s="1"/>
  <c r="I80" i="51"/>
  <c r="H80" i="51"/>
  <c r="G80" i="51"/>
  <c r="N80" i="51" s="1"/>
  <c r="O80" i="51" s="1"/>
  <c r="M79" i="51"/>
  <c r="K79" i="51"/>
  <c r="L79" i="51" s="1"/>
  <c r="I79" i="51"/>
  <c r="H79" i="51"/>
  <c r="G79" i="51"/>
  <c r="N79" i="51" s="1"/>
  <c r="O79" i="51" s="1"/>
  <c r="M78" i="51"/>
  <c r="K78" i="51"/>
  <c r="L78" i="51" s="1"/>
  <c r="I78" i="51"/>
  <c r="H78" i="51"/>
  <c r="G78" i="51"/>
  <c r="N78" i="51" s="1"/>
  <c r="O78" i="51" s="1"/>
  <c r="M77" i="51"/>
  <c r="K77" i="51"/>
  <c r="L77" i="51" s="1"/>
  <c r="I77" i="51"/>
  <c r="H77" i="51"/>
  <c r="G77" i="51"/>
  <c r="N77" i="51" s="1"/>
  <c r="O77" i="51" s="1"/>
  <c r="N76" i="51"/>
  <c r="O76" i="51" s="1"/>
  <c r="M76" i="51"/>
  <c r="K76" i="51"/>
  <c r="L76" i="51" s="1"/>
  <c r="I76" i="51"/>
  <c r="H76" i="51"/>
  <c r="G76" i="51"/>
  <c r="M75" i="51"/>
  <c r="I75" i="51"/>
  <c r="H75" i="51"/>
  <c r="G75" i="51"/>
  <c r="N75" i="51" s="1"/>
  <c r="M74" i="51"/>
  <c r="K74" i="51"/>
  <c r="L74" i="51" s="1"/>
  <c r="I74" i="51"/>
  <c r="H74" i="51"/>
  <c r="G74" i="51"/>
  <c r="N74" i="51" s="1"/>
  <c r="O74" i="51" s="1"/>
  <c r="M73" i="51"/>
  <c r="K73" i="51"/>
  <c r="L73" i="51" s="1"/>
  <c r="I73" i="51"/>
  <c r="H73" i="51"/>
  <c r="G73" i="51"/>
  <c r="N73" i="51" s="1"/>
  <c r="O73" i="51" s="1"/>
  <c r="M72" i="51"/>
  <c r="K72" i="51"/>
  <c r="L72" i="51" s="1"/>
  <c r="I72" i="51"/>
  <c r="H72" i="51"/>
  <c r="G72" i="51"/>
  <c r="N72" i="51" s="1"/>
  <c r="O72" i="51" s="1"/>
  <c r="M71" i="51"/>
  <c r="K71" i="51"/>
  <c r="L71" i="51" s="1"/>
  <c r="I71" i="51"/>
  <c r="H71" i="51"/>
  <c r="G71" i="51"/>
  <c r="N71" i="51" s="1"/>
  <c r="O71" i="51" s="1"/>
  <c r="M70" i="51"/>
  <c r="K70" i="51"/>
  <c r="L70" i="51" s="1"/>
  <c r="I70" i="51"/>
  <c r="H70" i="51"/>
  <c r="G70" i="51"/>
  <c r="N70" i="51" s="1"/>
  <c r="O70" i="51" s="1"/>
  <c r="N69" i="51"/>
  <c r="O69" i="51" s="1"/>
  <c r="M69" i="51"/>
  <c r="K69" i="51"/>
  <c r="L69" i="51" s="1"/>
  <c r="I69" i="51"/>
  <c r="H69" i="51"/>
  <c r="G69" i="51"/>
  <c r="M68" i="51"/>
  <c r="I68" i="51"/>
  <c r="H68" i="51"/>
  <c r="G68" i="51"/>
  <c r="N68" i="51" s="1"/>
  <c r="M67" i="51"/>
  <c r="K67" i="51"/>
  <c r="L67" i="51" s="1"/>
  <c r="I67" i="51"/>
  <c r="H67" i="51"/>
  <c r="G67" i="51"/>
  <c r="N67" i="51" s="1"/>
  <c r="O67" i="51" s="1"/>
  <c r="M66" i="51"/>
  <c r="K66" i="51"/>
  <c r="L66" i="51" s="1"/>
  <c r="I66" i="51"/>
  <c r="H66" i="51"/>
  <c r="G66" i="51"/>
  <c r="N66" i="51" s="1"/>
  <c r="O66" i="51" s="1"/>
  <c r="R65" i="51"/>
  <c r="M65" i="51"/>
  <c r="K65" i="51"/>
  <c r="L65" i="51" s="1"/>
  <c r="I65" i="51"/>
  <c r="H65" i="51"/>
  <c r="G65" i="51"/>
  <c r="N65" i="51" s="1"/>
  <c r="O65" i="51" s="1"/>
  <c r="M64" i="51"/>
  <c r="K64" i="51"/>
  <c r="L64" i="51" s="1"/>
  <c r="I64" i="51"/>
  <c r="H64" i="51"/>
  <c r="G64" i="51"/>
  <c r="N64" i="51" s="1"/>
  <c r="O64" i="51" s="1"/>
  <c r="M63" i="51"/>
  <c r="K63" i="51"/>
  <c r="L63" i="51" s="1"/>
  <c r="I63" i="51"/>
  <c r="H63" i="51"/>
  <c r="G63" i="51"/>
  <c r="N63" i="51" s="1"/>
  <c r="O63" i="51" s="1"/>
  <c r="N62" i="51"/>
  <c r="O62" i="51" s="1"/>
  <c r="M62" i="51"/>
  <c r="K62" i="51"/>
  <c r="L62" i="51" s="1"/>
  <c r="I62" i="51"/>
  <c r="H62" i="51"/>
  <c r="G62" i="51"/>
  <c r="M61" i="51"/>
  <c r="I61" i="51"/>
  <c r="H61" i="51"/>
  <c r="G61" i="51"/>
  <c r="N61" i="51" s="1"/>
  <c r="M60" i="51"/>
  <c r="K60" i="51"/>
  <c r="L60" i="51" s="1"/>
  <c r="I60" i="51"/>
  <c r="H60" i="51"/>
  <c r="G60" i="51"/>
  <c r="N60" i="51" s="1"/>
  <c r="O60" i="51" s="1"/>
  <c r="M59" i="51"/>
  <c r="K59" i="51"/>
  <c r="L59" i="51" s="1"/>
  <c r="I59" i="51"/>
  <c r="H59" i="51"/>
  <c r="G59" i="51"/>
  <c r="N59" i="51" s="1"/>
  <c r="O59" i="51" s="1"/>
  <c r="M58" i="51"/>
  <c r="K58" i="51"/>
  <c r="L58" i="51" s="1"/>
  <c r="I58" i="51"/>
  <c r="H58" i="51"/>
  <c r="G58" i="51"/>
  <c r="N58" i="51" s="1"/>
  <c r="O58" i="51" s="1"/>
  <c r="M57" i="51"/>
  <c r="K57" i="51"/>
  <c r="L57" i="51" s="1"/>
  <c r="I57" i="51"/>
  <c r="H57" i="51"/>
  <c r="G57" i="51"/>
  <c r="N57" i="51" s="1"/>
  <c r="O57" i="51" s="1"/>
  <c r="M56" i="51"/>
  <c r="K56" i="51"/>
  <c r="L56" i="51" s="1"/>
  <c r="I56" i="51"/>
  <c r="H56" i="51"/>
  <c r="G56" i="51"/>
  <c r="N56" i="51" s="1"/>
  <c r="O56" i="51" s="1"/>
  <c r="N55" i="51"/>
  <c r="O55" i="51" s="1"/>
  <c r="M55" i="51"/>
  <c r="K55" i="51"/>
  <c r="L55" i="51" s="1"/>
  <c r="I55" i="51"/>
  <c r="H55" i="51"/>
  <c r="G55" i="51"/>
  <c r="M54" i="51"/>
  <c r="I54" i="51"/>
  <c r="H54" i="51"/>
  <c r="G54" i="51"/>
  <c r="N54" i="51" s="1"/>
  <c r="M53" i="51"/>
  <c r="K53" i="51"/>
  <c r="L53" i="51" s="1"/>
  <c r="I53" i="51"/>
  <c r="H53" i="51"/>
  <c r="G53" i="51"/>
  <c r="N53" i="51" s="1"/>
  <c r="O53" i="51" s="1"/>
  <c r="M52" i="51"/>
  <c r="K52" i="51"/>
  <c r="L52" i="51" s="1"/>
  <c r="I52" i="51"/>
  <c r="H52" i="51"/>
  <c r="G52" i="51"/>
  <c r="N52" i="51" s="1"/>
  <c r="O52" i="51" s="1"/>
  <c r="M51" i="51"/>
  <c r="K51" i="51"/>
  <c r="L51" i="51" s="1"/>
  <c r="I51" i="51"/>
  <c r="H51" i="51"/>
  <c r="G51" i="51"/>
  <c r="N51" i="51" s="1"/>
  <c r="O51" i="51" s="1"/>
  <c r="M50" i="51"/>
  <c r="K50" i="51"/>
  <c r="L50" i="51" s="1"/>
  <c r="I50" i="51"/>
  <c r="H50" i="51"/>
  <c r="G50" i="51"/>
  <c r="N50" i="51" s="1"/>
  <c r="O50" i="51" s="1"/>
  <c r="M49" i="51"/>
  <c r="K49" i="51"/>
  <c r="L49" i="51" s="1"/>
  <c r="I49" i="51"/>
  <c r="H49" i="51"/>
  <c r="G49" i="51"/>
  <c r="N49" i="51" s="1"/>
  <c r="O49" i="51" s="1"/>
  <c r="N48" i="51"/>
  <c r="O48" i="51" s="1"/>
  <c r="M48" i="51"/>
  <c r="K48" i="51"/>
  <c r="L48" i="51" s="1"/>
  <c r="I48" i="51"/>
  <c r="H48" i="51"/>
  <c r="G48" i="51"/>
  <c r="M47" i="51"/>
  <c r="I47" i="51"/>
  <c r="H47" i="51"/>
  <c r="G47" i="51"/>
  <c r="N47" i="51" s="1"/>
  <c r="M46" i="51"/>
  <c r="K46" i="51"/>
  <c r="L46" i="51" s="1"/>
  <c r="I46" i="51"/>
  <c r="H46" i="51"/>
  <c r="G46" i="51"/>
  <c r="N46" i="51" s="1"/>
  <c r="O46" i="51" s="1"/>
  <c r="M45" i="51"/>
  <c r="K45" i="51"/>
  <c r="L45" i="51" s="1"/>
  <c r="I45" i="51"/>
  <c r="H45" i="51"/>
  <c r="G45" i="51"/>
  <c r="N45" i="51" s="1"/>
  <c r="O45" i="51" s="1"/>
  <c r="M44" i="51"/>
  <c r="K44" i="51"/>
  <c r="L44" i="51" s="1"/>
  <c r="I44" i="51"/>
  <c r="H44" i="51"/>
  <c r="G44" i="51"/>
  <c r="N44" i="51" s="1"/>
  <c r="O44" i="51" s="1"/>
  <c r="M43" i="51"/>
  <c r="K43" i="51"/>
  <c r="L43" i="51" s="1"/>
  <c r="I43" i="51"/>
  <c r="H43" i="51"/>
  <c r="G43" i="51"/>
  <c r="N43" i="51" s="1"/>
  <c r="O43" i="51" s="1"/>
  <c r="M42" i="51"/>
  <c r="K42" i="51"/>
  <c r="L42" i="51" s="1"/>
  <c r="I42" i="51"/>
  <c r="H42" i="51"/>
  <c r="G42" i="51"/>
  <c r="N42" i="51" s="1"/>
  <c r="O42" i="51" s="1"/>
  <c r="N41" i="51"/>
  <c r="O41" i="51" s="1"/>
  <c r="M41" i="51"/>
  <c r="K41" i="51"/>
  <c r="L41" i="51" s="1"/>
  <c r="I41" i="51"/>
  <c r="H41" i="51"/>
  <c r="G41" i="51"/>
  <c r="M40" i="51"/>
  <c r="I40" i="51"/>
  <c r="H40" i="51"/>
  <c r="G40" i="51"/>
  <c r="N40" i="51" s="1"/>
  <c r="M39" i="51"/>
  <c r="I39" i="51"/>
  <c r="H39" i="51"/>
  <c r="G39" i="51"/>
  <c r="N39" i="51" s="1"/>
  <c r="M38" i="51"/>
  <c r="I38" i="51"/>
  <c r="H38" i="51"/>
  <c r="G38" i="51"/>
  <c r="N38" i="51" s="1"/>
  <c r="M37" i="51"/>
  <c r="I37" i="51"/>
  <c r="H37" i="51"/>
  <c r="G37" i="51"/>
  <c r="N37" i="51" s="1"/>
  <c r="M36" i="51"/>
  <c r="K36" i="51"/>
  <c r="L36" i="51" s="1"/>
  <c r="I36" i="51"/>
  <c r="H36" i="51"/>
  <c r="G36" i="51"/>
  <c r="N36" i="51" s="1"/>
  <c r="O36" i="51" s="1"/>
  <c r="M35" i="51"/>
  <c r="K35" i="51"/>
  <c r="L35" i="51" s="1"/>
  <c r="I35" i="51"/>
  <c r="H35" i="51"/>
  <c r="G35" i="51"/>
  <c r="N35" i="51" s="1"/>
  <c r="O35" i="51" s="1"/>
  <c r="R34" i="51"/>
  <c r="N34" i="51"/>
  <c r="O34" i="51" s="1"/>
  <c r="M34" i="51"/>
  <c r="K34" i="51"/>
  <c r="L34" i="51" s="1"/>
  <c r="I34" i="51"/>
  <c r="H34" i="51"/>
  <c r="G34" i="51"/>
  <c r="M33" i="51"/>
  <c r="I33" i="51"/>
  <c r="H33" i="51"/>
  <c r="G33" i="51"/>
  <c r="N33" i="51" s="1"/>
  <c r="M32" i="51"/>
  <c r="K32" i="51"/>
  <c r="L32" i="51" s="1"/>
  <c r="I32" i="51"/>
  <c r="H32" i="51"/>
  <c r="G32" i="51"/>
  <c r="N32" i="51" s="1"/>
  <c r="O32" i="51" s="1"/>
  <c r="M31" i="51"/>
  <c r="K31" i="51"/>
  <c r="L31" i="51" s="1"/>
  <c r="I31" i="51"/>
  <c r="H31" i="51"/>
  <c r="G31" i="51"/>
  <c r="N31" i="51" s="1"/>
  <c r="O31" i="51" s="1"/>
  <c r="M30" i="51"/>
  <c r="K30" i="51"/>
  <c r="L30" i="51" s="1"/>
  <c r="I30" i="51"/>
  <c r="H30" i="51"/>
  <c r="G30" i="51"/>
  <c r="N30" i="51" s="1"/>
  <c r="O30" i="51" s="1"/>
  <c r="M29" i="51"/>
  <c r="K29" i="51"/>
  <c r="L29" i="51" s="1"/>
  <c r="I29" i="51"/>
  <c r="H29" i="51"/>
  <c r="G29" i="51"/>
  <c r="N29" i="51" s="1"/>
  <c r="O29" i="51" s="1"/>
  <c r="M28" i="51"/>
  <c r="K28" i="51"/>
  <c r="L28" i="51" s="1"/>
  <c r="I28" i="51"/>
  <c r="H28" i="51"/>
  <c r="G28" i="51"/>
  <c r="N28" i="51" s="1"/>
  <c r="O28" i="51" s="1"/>
  <c r="M27" i="51"/>
  <c r="K27" i="51"/>
  <c r="L27" i="51" s="1"/>
  <c r="I27" i="51"/>
  <c r="H27" i="51"/>
  <c r="G27" i="51"/>
  <c r="N27" i="51" s="1"/>
  <c r="O27" i="51" s="1"/>
  <c r="M26" i="51"/>
  <c r="I26" i="51"/>
  <c r="H26" i="51"/>
  <c r="G26" i="51"/>
  <c r="N26" i="51" s="1"/>
  <c r="M25" i="51"/>
  <c r="K25" i="51"/>
  <c r="L25" i="51" s="1"/>
  <c r="I25" i="51"/>
  <c r="H25" i="51"/>
  <c r="G25" i="51"/>
  <c r="N25" i="51" s="1"/>
  <c r="O25" i="51" s="1"/>
  <c r="M24" i="51"/>
  <c r="K24" i="51"/>
  <c r="L24" i="51" s="1"/>
  <c r="I24" i="51"/>
  <c r="H24" i="51"/>
  <c r="G24" i="51"/>
  <c r="N24" i="51" s="1"/>
  <c r="O24" i="51" s="1"/>
  <c r="M23" i="51"/>
  <c r="K23" i="51"/>
  <c r="L23" i="51" s="1"/>
  <c r="I23" i="51"/>
  <c r="H23" i="51"/>
  <c r="G23" i="51"/>
  <c r="N23" i="51" s="1"/>
  <c r="O23" i="51" s="1"/>
  <c r="M22" i="51"/>
  <c r="K22" i="51"/>
  <c r="L22" i="51" s="1"/>
  <c r="I22" i="51"/>
  <c r="H22" i="51"/>
  <c r="G22" i="51"/>
  <c r="N22" i="51" s="1"/>
  <c r="O22" i="51" s="1"/>
  <c r="M21" i="51"/>
  <c r="K21" i="51"/>
  <c r="L21" i="51" s="1"/>
  <c r="I21" i="51"/>
  <c r="H21" i="51"/>
  <c r="G21" i="51"/>
  <c r="N21" i="51" s="1"/>
  <c r="O21" i="51" s="1"/>
  <c r="N20" i="51"/>
  <c r="O20" i="51" s="1"/>
  <c r="M20" i="51"/>
  <c r="K20" i="51"/>
  <c r="L20" i="51" s="1"/>
  <c r="I20" i="51"/>
  <c r="H20" i="51"/>
  <c r="G20" i="51"/>
  <c r="M19" i="51"/>
  <c r="I19" i="51"/>
  <c r="H19" i="51"/>
  <c r="G19" i="51"/>
  <c r="N19" i="51" s="1"/>
  <c r="M18" i="51"/>
  <c r="K18" i="51"/>
  <c r="L18" i="51" s="1"/>
  <c r="I18" i="51"/>
  <c r="H18" i="51"/>
  <c r="G18" i="51"/>
  <c r="N18" i="51" s="1"/>
  <c r="O18" i="51" s="1"/>
  <c r="M17" i="51"/>
  <c r="K17" i="51"/>
  <c r="L17" i="51" s="1"/>
  <c r="I17" i="51"/>
  <c r="H17" i="51"/>
  <c r="G17" i="51"/>
  <c r="N17" i="51" s="1"/>
  <c r="O17" i="51" s="1"/>
  <c r="M16" i="51"/>
  <c r="K16" i="51"/>
  <c r="L16" i="51" s="1"/>
  <c r="I16" i="51"/>
  <c r="H16" i="51"/>
  <c r="G16" i="51"/>
  <c r="N16" i="51" s="1"/>
  <c r="O16" i="51" s="1"/>
  <c r="M15" i="51"/>
  <c r="K15" i="51"/>
  <c r="L15" i="51" s="1"/>
  <c r="I15" i="51"/>
  <c r="H15" i="51"/>
  <c r="G15" i="51"/>
  <c r="N15" i="51" s="1"/>
  <c r="O15" i="51" s="1"/>
  <c r="M14" i="51"/>
  <c r="K14" i="51"/>
  <c r="L14" i="51" s="1"/>
  <c r="I14" i="51"/>
  <c r="H14" i="51"/>
  <c r="G14" i="51"/>
  <c r="N14" i="51" s="1"/>
  <c r="O14" i="51" s="1"/>
  <c r="N13" i="51"/>
  <c r="O13" i="51" s="1"/>
  <c r="M13" i="51"/>
  <c r="K13" i="51"/>
  <c r="L13" i="51" s="1"/>
  <c r="I13" i="51"/>
  <c r="H13" i="51"/>
  <c r="G13" i="51"/>
  <c r="M12" i="51"/>
  <c r="I12" i="51"/>
  <c r="H12" i="51"/>
  <c r="G12" i="51"/>
  <c r="N12" i="51" s="1"/>
  <c r="M11" i="51"/>
  <c r="K11" i="51"/>
  <c r="L11" i="51" s="1"/>
  <c r="I11" i="51"/>
  <c r="H11" i="51"/>
  <c r="G11" i="51"/>
  <c r="N11" i="51" s="1"/>
  <c r="O11" i="51" s="1"/>
  <c r="M10" i="51"/>
  <c r="K10" i="51"/>
  <c r="L10" i="51" s="1"/>
  <c r="I10" i="51"/>
  <c r="H10" i="51"/>
  <c r="G10" i="51"/>
  <c r="N10" i="51" s="1"/>
  <c r="O10" i="51" s="1"/>
  <c r="M9" i="51"/>
  <c r="I9" i="51"/>
  <c r="H9" i="51"/>
  <c r="G9" i="51"/>
  <c r="N9" i="51" s="1"/>
  <c r="M8" i="51"/>
  <c r="I8" i="51"/>
  <c r="H8" i="51"/>
  <c r="G8" i="51"/>
  <c r="N8" i="51" s="1"/>
  <c r="M7" i="51"/>
  <c r="I7" i="51"/>
  <c r="H7" i="51"/>
  <c r="G7" i="51"/>
  <c r="N7" i="51" s="1"/>
  <c r="N6" i="51"/>
  <c r="O6" i="51" s="1"/>
  <c r="M6" i="51"/>
  <c r="K6" i="51"/>
  <c r="L6" i="51" s="1"/>
  <c r="I6" i="51"/>
  <c r="H6" i="51"/>
  <c r="G6" i="51"/>
  <c r="M5" i="51"/>
  <c r="I5" i="51"/>
  <c r="H5" i="51"/>
  <c r="G5" i="51"/>
  <c r="N5" i="51" s="1"/>
  <c r="K320" i="51" l="1"/>
  <c r="L320" i="51" s="1"/>
  <c r="O112" i="51"/>
  <c r="K280" i="51"/>
  <c r="L280" i="51" s="1"/>
  <c r="K137" i="51"/>
  <c r="L137" i="51" s="1"/>
  <c r="K138" i="51"/>
  <c r="L138" i="51" s="1"/>
  <c r="K196" i="51"/>
  <c r="L196" i="51" s="1"/>
  <c r="O124" i="51"/>
  <c r="O37" i="51"/>
  <c r="O38" i="51"/>
  <c r="O40" i="51"/>
  <c r="O116" i="51"/>
  <c r="K359" i="51"/>
  <c r="L359" i="51" s="1"/>
  <c r="K333" i="51"/>
  <c r="L333" i="51" s="1"/>
  <c r="J306" i="51"/>
  <c r="K306" i="51"/>
  <c r="L306" i="51" s="1"/>
  <c r="K299" i="51"/>
  <c r="L299" i="51" s="1"/>
  <c r="K287" i="51"/>
  <c r="L287" i="51" s="1"/>
  <c r="K221" i="51"/>
  <c r="L221" i="51" s="1"/>
  <c r="K173" i="51"/>
  <c r="L173" i="51" s="1"/>
  <c r="K141" i="51"/>
  <c r="L141" i="51" s="1"/>
  <c r="K140" i="51"/>
  <c r="L140" i="51" s="1"/>
  <c r="K127" i="51"/>
  <c r="L127" i="51" s="1"/>
  <c r="K116" i="51"/>
  <c r="L116" i="51" s="1"/>
  <c r="K40" i="51"/>
  <c r="L40" i="51" s="1"/>
  <c r="K37" i="51"/>
  <c r="L37" i="51" s="1"/>
  <c r="K38" i="51"/>
  <c r="L38" i="51" s="1"/>
  <c r="K39" i="51"/>
  <c r="L39" i="51" s="1"/>
  <c r="O39" i="51"/>
  <c r="O19" i="51"/>
  <c r="J191" i="51"/>
  <c r="K194" i="51"/>
  <c r="L194" i="51" s="1"/>
  <c r="J199" i="51"/>
  <c r="K201" i="51"/>
  <c r="L201" i="51" s="1"/>
  <c r="J207" i="51"/>
  <c r="K208" i="51"/>
  <c r="L208" i="51" s="1"/>
  <c r="K327" i="51"/>
  <c r="L327" i="51" s="1"/>
  <c r="K334" i="51"/>
  <c r="L334" i="51" s="1"/>
  <c r="J298" i="51"/>
  <c r="J127" i="51"/>
  <c r="J170" i="51"/>
  <c r="J215" i="51"/>
  <c r="J325" i="51"/>
  <c r="K5" i="51"/>
  <c r="L5" i="51" s="1"/>
  <c r="J7" i="51"/>
  <c r="K7" i="51"/>
  <c r="L7" i="51" s="1"/>
  <c r="K8" i="51"/>
  <c r="L8" i="51" s="1"/>
  <c r="J9" i="51"/>
  <c r="K9" i="51"/>
  <c r="L9" i="51" s="1"/>
  <c r="J10" i="51"/>
  <c r="K12" i="51"/>
  <c r="L12" i="51" s="1"/>
  <c r="J36" i="51"/>
  <c r="J52" i="51"/>
  <c r="K54" i="51"/>
  <c r="L54" i="51" s="1"/>
  <c r="J60" i="51"/>
  <c r="K61" i="51"/>
  <c r="L61" i="51" s="1"/>
  <c r="J73" i="51"/>
  <c r="K75" i="51"/>
  <c r="L75" i="51" s="1"/>
  <c r="J96" i="51"/>
  <c r="K96" i="51"/>
  <c r="L96" i="51" s="1"/>
  <c r="J151" i="51"/>
  <c r="K151" i="51"/>
  <c r="L151" i="51" s="1"/>
  <c r="K152" i="51"/>
  <c r="L152" i="51" s="1"/>
  <c r="J155" i="51"/>
  <c r="J158" i="51"/>
  <c r="J166" i="51"/>
  <c r="K166" i="51"/>
  <c r="L166" i="51" s="1"/>
  <c r="J178" i="51"/>
  <c r="K180" i="51"/>
  <c r="L180" i="51" s="1"/>
  <c r="J317" i="51"/>
  <c r="K215" i="51"/>
  <c r="L215" i="51" s="1"/>
  <c r="J263" i="51"/>
  <c r="K264" i="51"/>
  <c r="L264" i="51" s="1"/>
  <c r="O47" i="51"/>
  <c r="O119" i="51"/>
  <c r="O120" i="51"/>
  <c r="O123" i="51"/>
  <c r="O8" i="51"/>
  <c r="O12" i="51"/>
  <c r="J18" i="51"/>
  <c r="K19" i="51"/>
  <c r="L19" i="51" s="1"/>
  <c r="J26" i="51"/>
  <c r="K26" i="51"/>
  <c r="L26" i="51" s="1"/>
  <c r="J44" i="51"/>
  <c r="K47" i="51"/>
  <c r="L47" i="51" s="1"/>
  <c r="K68" i="51"/>
  <c r="L68" i="51" s="1"/>
  <c r="J81" i="51"/>
  <c r="K82" i="51"/>
  <c r="L82" i="51" s="1"/>
  <c r="J89" i="51"/>
  <c r="K89" i="51"/>
  <c r="L89" i="51" s="1"/>
  <c r="J104" i="51"/>
  <c r="K119" i="51"/>
  <c r="L119" i="51" s="1"/>
  <c r="J120" i="51"/>
  <c r="K120" i="51"/>
  <c r="L120" i="51" s="1"/>
  <c r="K121" i="51"/>
  <c r="L121" i="51" s="1"/>
  <c r="K122" i="51"/>
  <c r="L122" i="51" s="1"/>
  <c r="K123" i="51"/>
  <c r="L123" i="51" s="1"/>
  <c r="J124" i="51"/>
  <c r="J135" i="51"/>
  <c r="K135" i="51"/>
  <c r="L135" i="51" s="1"/>
  <c r="K136" i="51"/>
  <c r="L136" i="51" s="1"/>
  <c r="J143" i="51"/>
  <c r="K143" i="51"/>
  <c r="L143" i="51" s="1"/>
  <c r="K144" i="51"/>
  <c r="L144" i="51" s="1"/>
  <c r="K145" i="51"/>
  <c r="L145" i="51" s="1"/>
  <c r="K159" i="51"/>
  <c r="L159" i="51" s="1"/>
  <c r="J186" i="51"/>
  <c r="K187" i="51"/>
  <c r="L187" i="51" s="1"/>
  <c r="J220" i="51"/>
  <c r="J228" i="51"/>
  <c r="K229" i="51"/>
  <c r="L229" i="51" s="1"/>
  <c r="J236" i="51"/>
  <c r="K236" i="51"/>
  <c r="L236" i="51" s="1"/>
  <c r="J244" i="51"/>
  <c r="O7" i="51"/>
  <c r="O103" i="51"/>
  <c r="O117" i="51"/>
  <c r="O126" i="51"/>
  <c r="O131" i="51"/>
  <c r="O133" i="51"/>
  <c r="K250" i="51"/>
  <c r="L250" i="51" s="1"/>
  <c r="J267" i="51"/>
  <c r="K273" i="51"/>
  <c r="L273" i="51" s="1"/>
  <c r="K274" i="51"/>
  <c r="L274" i="51" s="1"/>
  <c r="J282" i="51"/>
  <c r="J286" i="51"/>
  <c r="J338" i="51"/>
  <c r="J347" i="51"/>
  <c r="K348" i="51"/>
  <c r="L348" i="51" s="1"/>
  <c r="J355" i="51"/>
  <c r="K355" i="51"/>
  <c r="L355" i="51" s="1"/>
  <c r="J363" i="51"/>
  <c r="K365" i="51"/>
  <c r="L365" i="51" s="1"/>
  <c r="U73" i="52"/>
  <c r="K367" i="51"/>
  <c r="L367" i="51" s="1"/>
  <c r="K364" i="51"/>
  <c r="L364" i="51" s="1"/>
  <c r="K366" i="51"/>
  <c r="L366" i="51" s="1"/>
  <c r="K368" i="51"/>
  <c r="L368" i="51" s="1"/>
  <c r="J365" i="51"/>
  <c r="J367" i="51"/>
  <c r="K369" i="51"/>
  <c r="L369" i="51" s="1"/>
  <c r="N362" i="51"/>
  <c r="J359" i="51"/>
  <c r="J351" i="51"/>
  <c r="J343" i="51"/>
  <c r="K341" i="51"/>
  <c r="L341" i="51" s="1"/>
  <c r="J333" i="51"/>
  <c r="J329" i="51"/>
  <c r="O320" i="51"/>
  <c r="J321" i="51"/>
  <c r="J310" i="51"/>
  <c r="J313" i="51"/>
  <c r="K313" i="51"/>
  <c r="L313" i="51" s="1"/>
  <c r="J302" i="51"/>
  <c r="J294" i="51"/>
  <c r="J290" i="51"/>
  <c r="K292" i="51"/>
  <c r="L292" i="51" s="1"/>
  <c r="K283" i="51"/>
  <c r="L283" i="51" s="1"/>
  <c r="K284" i="51"/>
  <c r="L284" i="51" s="1"/>
  <c r="K285" i="51"/>
  <c r="L285" i="51" s="1"/>
  <c r="J279" i="51"/>
  <c r="J275" i="51"/>
  <c r="K275" i="51"/>
  <c r="L275" i="51" s="1"/>
  <c r="K276" i="51"/>
  <c r="L276" i="51" s="1"/>
  <c r="J271" i="51"/>
  <c r="K271" i="51"/>
  <c r="L271" i="51" s="1"/>
  <c r="J259" i="51"/>
  <c r="J255" i="51"/>
  <c r="K257" i="51"/>
  <c r="L257" i="51" s="1"/>
  <c r="J248" i="51"/>
  <c r="J251" i="51"/>
  <c r="N243" i="51"/>
  <c r="J240" i="51"/>
  <c r="J232" i="51"/>
  <c r="J224" i="51"/>
  <c r="J211" i="51"/>
  <c r="J203" i="51"/>
  <c r="J195" i="51"/>
  <c r="J182" i="51"/>
  <c r="J174" i="51"/>
  <c r="J162" i="51"/>
  <c r="N150" i="51"/>
  <c r="J147" i="51"/>
  <c r="K147" i="51"/>
  <c r="L147" i="51" s="1"/>
  <c r="K148" i="51"/>
  <c r="L148" i="51" s="1"/>
  <c r="K149" i="51"/>
  <c r="L149" i="51" s="1"/>
  <c r="N142" i="51"/>
  <c r="J139" i="51"/>
  <c r="N134" i="51"/>
  <c r="O134" i="51" s="1"/>
  <c r="K133" i="51"/>
  <c r="L133" i="51" s="1"/>
  <c r="J131" i="51"/>
  <c r="K131" i="51"/>
  <c r="L131" i="51" s="1"/>
  <c r="O128" i="51"/>
  <c r="O129" i="51"/>
  <c r="O130" i="51"/>
  <c r="O127" i="51"/>
  <c r="K128" i="51"/>
  <c r="L128" i="51" s="1"/>
  <c r="K129" i="51"/>
  <c r="L129" i="51" s="1"/>
  <c r="K130" i="51"/>
  <c r="L130" i="51" s="1"/>
  <c r="K126" i="51"/>
  <c r="L126" i="51" s="1"/>
  <c r="O121" i="51"/>
  <c r="O122" i="51"/>
  <c r="J116" i="51"/>
  <c r="K117" i="51"/>
  <c r="L117" i="51" s="1"/>
  <c r="J112" i="51"/>
  <c r="O110" i="51"/>
  <c r="J108" i="51"/>
  <c r="K110" i="51"/>
  <c r="L110" i="51" s="1"/>
  <c r="J100" i="51"/>
  <c r="K103" i="51"/>
  <c r="L103" i="51" s="1"/>
  <c r="O96" i="51"/>
  <c r="J93" i="51"/>
  <c r="O89" i="51"/>
  <c r="J85" i="51"/>
  <c r="O82" i="51"/>
  <c r="J77" i="51"/>
  <c r="O75" i="51"/>
  <c r="O68" i="51"/>
  <c r="J64" i="51"/>
  <c r="J69" i="51"/>
  <c r="O61" i="51"/>
  <c r="J56" i="51"/>
  <c r="O54" i="51"/>
  <c r="J48" i="51"/>
  <c r="J40" i="51"/>
  <c r="O33" i="51"/>
  <c r="J30" i="51"/>
  <c r="K33" i="51"/>
  <c r="L33" i="51" s="1"/>
  <c r="O26" i="51"/>
  <c r="J22" i="51"/>
  <c r="I380" i="51"/>
  <c r="J14" i="51"/>
  <c r="J12" i="51"/>
  <c r="J16" i="51"/>
  <c r="J20" i="51"/>
  <c r="J24" i="51"/>
  <c r="J28" i="51"/>
  <c r="J32" i="51"/>
  <c r="J33" i="51"/>
  <c r="J38" i="51"/>
  <c r="J42" i="51"/>
  <c r="J46" i="51"/>
  <c r="J50" i="51"/>
  <c r="J54" i="51"/>
  <c r="J58" i="51"/>
  <c r="J62" i="51"/>
  <c r="J67" i="51"/>
  <c r="J71" i="51"/>
  <c r="J75" i="51"/>
  <c r="J79" i="51"/>
  <c r="J83" i="51"/>
  <c r="J87" i="51"/>
  <c r="J91" i="51"/>
  <c r="J95" i="51"/>
  <c r="J98" i="51"/>
  <c r="J102" i="51"/>
  <c r="J106" i="51"/>
  <c r="J110" i="51"/>
  <c r="J114" i="51"/>
  <c r="J118" i="51"/>
  <c r="J122" i="51"/>
  <c r="J126" i="51"/>
  <c r="J129" i="51"/>
  <c r="J133" i="51"/>
  <c r="J137" i="51"/>
  <c r="J141" i="51"/>
  <c r="J145" i="51"/>
  <c r="J149" i="51"/>
  <c r="J153" i="51"/>
  <c r="J160" i="51"/>
  <c r="J164" i="51"/>
  <c r="J168" i="51"/>
  <c r="J172" i="51"/>
  <c r="J176" i="51"/>
  <c r="J180" i="51"/>
  <c r="J184" i="51"/>
  <c r="J189" i="51"/>
  <c r="J193" i="51"/>
  <c r="J197" i="51"/>
  <c r="J201" i="51"/>
  <c r="J205" i="51"/>
  <c r="J209" i="51"/>
  <c r="J213" i="51"/>
  <c r="J217" i="51"/>
  <c r="J222" i="51"/>
  <c r="J226" i="51"/>
  <c r="J230" i="51"/>
  <c r="J234" i="51"/>
  <c r="J238" i="51"/>
  <c r="J242" i="51"/>
  <c r="J246" i="51"/>
  <c r="J249" i="51"/>
  <c r="J253" i="51"/>
  <c r="J257" i="51"/>
  <c r="J261" i="51"/>
  <c r="J265" i="51"/>
  <c r="J269" i="51"/>
  <c r="J273" i="51"/>
  <c r="J277" i="51"/>
  <c r="J280" i="51"/>
  <c r="J284" i="51"/>
  <c r="J288" i="51"/>
  <c r="J292" i="51"/>
  <c r="J296" i="51"/>
  <c r="J300" i="51"/>
  <c r="J304" i="51"/>
  <c r="J308" i="51"/>
  <c r="J311" i="51"/>
  <c r="J315" i="51"/>
  <c r="J319" i="51"/>
  <c r="J323" i="51"/>
  <c r="J331" i="51"/>
  <c r="J335" i="51"/>
  <c r="J341" i="51"/>
  <c r="J345" i="51"/>
  <c r="J349" i="51"/>
  <c r="J353" i="51"/>
  <c r="J357" i="51"/>
  <c r="J361" i="51"/>
  <c r="J11" i="51"/>
  <c r="J13" i="51"/>
  <c r="J15" i="51"/>
  <c r="J17" i="51"/>
  <c r="J19" i="51"/>
  <c r="J21" i="51"/>
  <c r="J23" i="51"/>
  <c r="J25" i="51"/>
  <c r="J27" i="51"/>
  <c r="J29" i="51"/>
  <c r="J31" i="51"/>
  <c r="J34" i="51"/>
  <c r="J35" i="51"/>
  <c r="J37" i="51"/>
  <c r="J39" i="51"/>
  <c r="J41" i="51"/>
  <c r="J43" i="51"/>
  <c r="J45" i="51"/>
  <c r="J47" i="51"/>
  <c r="J49" i="51"/>
  <c r="J51" i="51"/>
  <c r="J53" i="51"/>
  <c r="J55" i="51"/>
  <c r="J57" i="51"/>
  <c r="J59" i="51"/>
  <c r="J61" i="51"/>
  <c r="J63" i="51"/>
  <c r="J65" i="51"/>
  <c r="J66" i="51"/>
  <c r="J68" i="51"/>
  <c r="J70" i="51"/>
  <c r="J72" i="51"/>
  <c r="J74" i="51"/>
  <c r="J76" i="51"/>
  <c r="J78" i="51"/>
  <c r="J80" i="51"/>
  <c r="J82" i="51"/>
  <c r="J84" i="51"/>
  <c r="J86" i="51"/>
  <c r="J88" i="51"/>
  <c r="J90" i="51"/>
  <c r="J92" i="51"/>
  <c r="J94" i="51"/>
  <c r="J97" i="51"/>
  <c r="J99" i="51"/>
  <c r="J101" i="51"/>
  <c r="J103" i="51"/>
  <c r="J105" i="51"/>
  <c r="J107" i="51"/>
  <c r="J109" i="51"/>
  <c r="J111" i="51"/>
  <c r="J113" i="51"/>
  <c r="J115" i="51"/>
  <c r="J117" i="51"/>
  <c r="J119" i="51"/>
  <c r="J121" i="51"/>
  <c r="J123" i="51"/>
  <c r="J125" i="51"/>
  <c r="J128" i="51"/>
  <c r="J130" i="51"/>
  <c r="J132" i="51"/>
  <c r="J134" i="51"/>
  <c r="J136" i="51"/>
  <c r="J138" i="51"/>
  <c r="J140" i="51"/>
  <c r="J142" i="51"/>
  <c r="J144" i="51"/>
  <c r="J146" i="51"/>
  <c r="J148" i="51"/>
  <c r="J150" i="51"/>
  <c r="J152" i="51"/>
  <c r="J154" i="51"/>
  <c r="J156" i="51"/>
  <c r="J159" i="51"/>
  <c r="J161" i="51"/>
  <c r="J163" i="51"/>
  <c r="J165" i="51"/>
  <c r="J167" i="51"/>
  <c r="J169" i="51"/>
  <c r="J171" i="51"/>
  <c r="J173" i="51"/>
  <c r="J175" i="51"/>
  <c r="J177" i="51"/>
  <c r="J179" i="51"/>
  <c r="J181" i="51"/>
  <c r="J183" i="51"/>
  <c r="J185" i="51"/>
  <c r="J187" i="51"/>
  <c r="J188" i="51"/>
  <c r="J190" i="51"/>
  <c r="J192" i="51"/>
  <c r="J194" i="51"/>
  <c r="J196" i="51"/>
  <c r="J198" i="51"/>
  <c r="J200" i="51"/>
  <c r="J202" i="51"/>
  <c r="J204" i="51"/>
  <c r="J206" i="51"/>
  <c r="J208" i="51"/>
  <c r="J210" i="51"/>
  <c r="J212" i="51"/>
  <c r="J214" i="51"/>
  <c r="J216" i="51"/>
  <c r="J218" i="51"/>
  <c r="J219" i="51"/>
  <c r="J221" i="51"/>
  <c r="J223" i="51"/>
  <c r="J225" i="51"/>
  <c r="J227" i="51"/>
  <c r="J229" i="51"/>
  <c r="J231" i="51"/>
  <c r="J233" i="51"/>
  <c r="J235" i="51"/>
  <c r="J237" i="51"/>
  <c r="J239" i="51"/>
  <c r="J241" i="51"/>
  <c r="J243" i="51"/>
  <c r="J245" i="51"/>
  <c r="J247" i="51"/>
  <c r="J250" i="51"/>
  <c r="J252" i="51"/>
  <c r="J254" i="51"/>
  <c r="J256" i="51"/>
  <c r="J258" i="51"/>
  <c r="J260" i="51"/>
  <c r="J262" i="51"/>
  <c r="J264" i="51"/>
  <c r="J266" i="51"/>
  <c r="J268" i="51"/>
  <c r="J270" i="51"/>
  <c r="J272" i="51"/>
  <c r="J274" i="51"/>
  <c r="J276" i="51"/>
  <c r="J278" i="51"/>
  <c r="J281" i="51"/>
  <c r="J283" i="51"/>
  <c r="J285" i="51"/>
  <c r="J291" i="51"/>
  <c r="J293" i="51"/>
  <c r="J295" i="51"/>
  <c r="J297" i="51"/>
  <c r="J299" i="51"/>
  <c r="J301" i="51"/>
  <c r="J303" i="51"/>
  <c r="J305" i="51"/>
  <c r="J307" i="51"/>
  <c r="J309" i="51"/>
  <c r="J312" i="51"/>
  <c r="J314" i="51"/>
  <c r="J316" i="51"/>
  <c r="J318" i="51"/>
  <c r="J320" i="51"/>
  <c r="J322" i="51"/>
  <c r="J324" i="51"/>
  <c r="J326" i="51"/>
  <c r="J328" i="51"/>
  <c r="J330" i="51"/>
  <c r="J332" i="51"/>
  <c r="J334" i="51"/>
  <c r="J336" i="51"/>
  <c r="J339" i="51"/>
  <c r="J340" i="51"/>
  <c r="J342" i="51"/>
  <c r="J344" i="51"/>
  <c r="J346" i="51"/>
  <c r="J348" i="51"/>
  <c r="J350" i="51"/>
  <c r="J352" i="51"/>
  <c r="J354" i="51"/>
  <c r="J356" i="51"/>
  <c r="J358" i="51"/>
  <c r="J360" i="51"/>
  <c r="J362" i="51"/>
  <c r="J368" i="51"/>
  <c r="J364" i="51"/>
  <c r="J370" i="51"/>
  <c r="J366" i="51"/>
  <c r="J369" i="51"/>
  <c r="H373" i="51"/>
  <c r="R26" i="35"/>
  <c r="K30" i="27"/>
  <c r="R27" i="35"/>
  <c r="K31" i="27"/>
  <c r="O9" i="51"/>
  <c r="W35" i="53"/>
  <c r="R24" i="35"/>
  <c r="K28" i="27"/>
  <c r="J8" i="51"/>
  <c r="N373" i="51"/>
  <c r="D380" i="51" s="1"/>
  <c r="F380" i="51" s="1"/>
  <c r="J6" i="51"/>
  <c r="T73" i="52"/>
  <c r="P32" i="27" s="1"/>
  <c r="BD8" i="52"/>
  <c r="J5" i="51"/>
  <c r="I373" i="51"/>
  <c r="O5" i="51"/>
  <c r="J157" i="51"/>
  <c r="J287" i="51"/>
  <c r="J289" i="51"/>
  <c r="J327" i="51"/>
  <c r="O359" i="51" l="1"/>
  <c r="O287" i="51"/>
  <c r="O241" i="51"/>
  <c r="O221" i="51"/>
  <c r="O333" i="51"/>
  <c r="O175" i="51"/>
  <c r="O140" i="51"/>
  <c r="O285" i="51"/>
  <c r="O137" i="51"/>
  <c r="O322" i="51"/>
  <c r="O278" i="51"/>
  <c r="O222" i="51"/>
  <c r="O196" i="51"/>
  <c r="O280" i="51"/>
  <c r="O141" i="51"/>
  <c r="O138" i="51"/>
  <c r="L373" i="51"/>
  <c r="P33" i="27"/>
  <c r="R29" i="35" s="1"/>
  <c r="O144" i="51"/>
  <c r="O142" i="51"/>
  <c r="O149" i="51"/>
  <c r="O166" i="51"/>
  <c r="O173" i="51"/>
  <c r="O187" i="51"/>
  <c r="O201" i="51"/>
  <c r="O229" i="51"/>
  <c r="O236" i="51"/>
  <c r="O243" i="51"/>
  <c r="O257" i="51"/>
  <c r="O264" i="51"/>
  <c r="O276" i="51"/>
  <c r="O284" i="51"/>
  <c r="O364" i="51"/>
  <c r="O341" i="51"/>
  <c r="O283" i="51"/>
  <c r="O271" i="51"/>
  <c r="O148" i="51"/>
  <c r="O274" i="51"/>
  <c r="O136" i="51"/>
  <c r="O143" i="51"/>
  <c r="O150" i="51"/>
  <c r="O180" i="51"/>
  <c r="O194" i="51"/>
  <c r="O208" i="51"/>
  <c r="O215" i="51"/>
  <c r="O250" i="51"/>
  <c r="O292" i="51"/>
  <c r="O299" i="51"/>
  <c r="O306" i="51"/>
  <c r="O327" i="51"/>
  <c r="O334" i="51"/>
  <c r="O348" i="51"/>
  <c r="O355" i="51"/>
  <c r="O362" i="51"/>
  <c r="O369" i="51"/>
  <c r="O367" i="51"/>
  <c r="O365" i="51"/>
  <c r="O368" i="51"/>
  <c r="O366" i="51"/>
  <c r="O159" i="51"/>
  <c r="O313" i="51"/>
  <c r="O275" i="51"/>
  <c r="O147" i="51"/>
  <c r="O273" i="51"/>
  <c r="O151" i="51"/>
  <c r="O152" i="51"/>
  <c r="O145" i="51"/>
  <c r="O135" i="51"/>
  <c r="R28" i="35"/>
  <c r="K32" i="27"/>
  <c r="I376" i="51"/>
  <c r="P21" i="27" s="1"/>
  <c r="G23" i="55"/>
  <c r="J373" i="51"/>
  <c r="F376" i="51" s="1"/>
  <c r="I377" i="51" l="1"/>
  <c r="P22" i="27" s="1"/>
  <c r="G24" i="55"/>
  <c r="G25" i="55"/>
  <c r="K33" i="27"/>
  <c r="O373" i="51"/>
  <c r="R17" i="35"/>
  <c r="K21" i="27"/>
  <c r="E36" i="31"/>
  <c r="K22" i="27" l="1"/>
  <c r="R18" i="35"/>
  <c r="H27" i="46"/>
  <c r="J27" i="46" s="1"/>
  <c r="O19" i="46"/>
  <c r="N19" i="46"/>
  <c r="M19" i="46"/>
  <c r="L19" i="46"/>
  <c r="K19" i="46"/>
  <c r="J19" i="46"/>
  <c r="I19" i="46"/>
  <c r="H19" i="46"/>
  <c r="G19" i="46"/>
  <c r="F19" i="46"/>
  <c r="E19" i="46"/>
  <c r="D19" i="46"/>
  <c r="P20" i="46" l="1"/>
  <c r="P19" i="46"/>
  <c r="K31" i="46" s="1"/>
  <c r="P21" i="46"/>
  <c r="K30" i="46" l="1"/>
  <c r="H36" i="31" l="1"/>
  <c r="E35" i="31"/>
  <c r="Q17" i="46" l="1"/>
  <c r="O27" i="46"/>
  <c r="O26" i="46"/>
  <c r="P17" i="46"/>
  <c r="P16" i="46"/>
  <c r="N12" i="46"/>
  <c r="N13" i="46" s="1"/>
  <c r="M12" i="46"/>
  <c r="M13" i="46" s="1"/>
  <c r="L12" i="46"/>
  <c r="L13" i="46" s="1"/>
  <c r="K12" i="46"/>
  <c r="K13" i="46" s="1"/>
  <c r="J12" i="46"/>
  <c r="J13" i="46" s="1"/>
  <c r="I12" i="46"/>
  <c r="I13" i="46" s="1"/>
  <c r="H12" i="46"/>
  <c r="H13" i="46" s="1"/>
  <c r="G12" i="46"/>
  <c r="G13" i="46" s="1"/>
  <c r="F12" i="46"/>
  <c r="F13" i="46" s="1"/>
  <c r="E12" i="46"/>
  <c r="E13" i="46" s="1"/>
  <c r="N5" i="46"/>
  <c r="M5" i="46"/>
  <c r="L5" i="46"/>
  <c r="K5" i="46"/>
  <c r="J5" i="46"/>
  <c r="I5" i="46"/>
  <c r="H5" i="46"/>
  <c r="G5" i="46"/>
  <c r="F5" i="46"/>
  <c r="E5" i="46"/>
  <c r="D5" i="46"/>
  <c r="P13" i="46" l="1"/>
  <c r="P5" i="46"/>
  <c r="P24" i="27"/>
  <c r="P25" i="27"/>
  <c r="G13" i="55"/>
  <c r="P26" i="27"/>
  <c r="G14" i="55"/>
  <c r="P12" i="46"/>
  <c r="H30" i="46" l="1"/>
  <c r="P19" i="27" s="1"/>
  <c r="K19" i="27" s="1"/>
  <c r="I20" i="27"/>
  <c r="P20" i="27" s="1"/>
  <c r="G22" i="55"/>
  <c r="G20" i="55"/>
  <c r="G21" i="55" s="1"/>
  <c r="H31" i="46"/>
  <c r="Q5" i="46"/>
  <c r="R22" i="35"/>
  <c r="K26" i="27"/>
  <c r="R21" i="35"/>
  <c r="K25" i="27"/>
  <c r="R20" i="35"/>
  <c r="K24" i="27"/>
  <c r="L10" i="24"/>
  <c r="G26" i="55" l="1"/>
  <c r="H32" i="46"/>
  <c r="H33" i="46"/>
  <c r="H34" i="46"/>
  <c r="H7" i="31" l="1"/>
  <c r="J6" i="24" l="1"/>
  <c r="G14" i="23"/>
  <c r="U18" i="27" l="1"/>
  <c r="L12" i="24" l="1"/>
  <c r="L21" i="23" l="1"/>
  <c r="L19" i="23"/>
  <c r="J18" i="21"/>
  <c r="J48" i="21" s="1"/>
  <c r="J16" i="21"/>
  <c r="J46" i="21" s="1"/>
  <c r="AC4" i="35"/>
  <c r="H7" i="32" l="1"/>
  <c r="C4" i="26" l="1"/>
  <c r="J8" i="24"/>
  <c r="J17" i="23"/>
  <c r="H16" i="21"/>
  <c r="H46" i="21" s="1"/>
  <c r="H13" i="21"/>
  <c r="H43" i="21" s="1"/>
  <c r="H10" i="21"/>
  <c r="H40" i="21" s="1"/>
  <c r="K33" i="46" l="1"/>
  <c r="R16" i="35" l="1"/>
  <c r="K20" i="27"/>
  <c r="K34" i="46"/>
  <c r="K32" i="46"/>
  <c r="R15" i="35" l="1"/>
  <c r="U38" i="27" l="1"/>
  <c r="U34" i="51" l="1"/>
  <c r="AP11" i="51"/>
  <c r="AN10" i="51"/>
  <c r="AN9" i="51"/>
  <c r="U41" i="51"/>
  <c r="U20" i="51"/>
  <c r="U55" i="51"/>
  <c r="U48" i="51"/>
  <c r="AP59" i="51"/>
  <c r="AP362" i="51"/>
  <c r="U356" i="51"/>
  <c r="AN348" i="51"/>
  <c r="U363" i="51"/>
  <c r="AP357" i="51"/>
  <c r="U349" i="51"/>
  <c r="U370" i="51"/>
  <c r="AN368" i="51"/>
  <c r="AO350" i="51"/>
  <c r="AN336" i="51"/>
  <c r="U342" i="51"/>
  <c r="U321" i="51"/>
  <c r="U335" i="51"/>
  <c r="AP331" i="51"/>
  <c r="AN344" i="51"/>
  <c r="AO318" i="51"/>
  <c r="U314" i="51"/>
  <c r="AO310" i="51"/>
  <c r="AO305" i="51"/>
  <c r="AO297" i="51"/>
  <c r="U293" i="51"/>
  <c r="AP312" i="51"/>
  <c r="U328" i="51"/>
  <c r="U307" i="51"/>
  <c r="AO291" i="51"/>
  <c r="U286" i="51"/>
  <c r="AO326" i="51"/>
  <c r="AN302" i="51"/>
  <c r="AN294" i="51"/>
  <c r="U300" i="51"/>
  <c r="U244" i="51"/>
  <c r="AN271" i="51"/>
  <c r="AP245" i="51"/>
  <c r="U237" i="51"/>
  <c r="AO289" i="51"/>
  <c r="U272" i="51"/>
  <c r="AP264" i="51"/>
  <c r="U265" i="51"/>
  <c r="AP257" i="51"/>
  <c r="AO215" i="51"/>
  <c r="U279" i="51"/>
  <c r="AN274" i="51"/>
  <c r="AN266" i="51"/>
  <c r="U258" i="51"/>
  <c r="AO261" i="51"/>
  <c r="AO217" i="51"/>
  <c r="U209" i="51"/>
  <c r="AO201" i="51"/>
  <c r="AO193" i="51"/>
  <c r="U230" i="51"/>
  <c r="AO178" i="51"/>
  <c r="U174" i="51"/>
  <c r="U153" i="51"/>
  <c r="AO145" i="51"/>
  <c r="U251" i="51"/>
  <c r="U216" i="51"/>
  <c r="AP208" i="51"/>
  <c r="AP200" i="51"/>
  <c r="AP192" i="51"/>
  <c r="U188" i="51"/>
  <c r="AP229" i="51"/>
  <c r="U181" i="51"/>
  <c r="AN173" i="51"/>
  <c r="AN165" i="51"/>
  <c r="AP144" i="51"/>
  <c r="AO203" i="51"/>
  <c r="U195" i="51"/>
  <c r="AO187" i="51"/>
  <c r="AP220" i="51"/>
  <c r="AN180" i="51"/>
  <c r="AO172" i="51"/>
  <c r="AN164" i="51"/>
  <c r="U160" i="51"/>
  <c r="U139" i="51"/>
  <c r="AP263" i="51"/>
  <c r="AP214" i="51"/>
  <c r="AP206" i="51"/>
  <c r="U202" i="51"/>
  <c r="AP198" i="51"/>
  <c r="AP190" i="51"/>
  <c r="U223" i="51"/>
  <c r="U167" i="51"/>
  <c r="U146" i="51"/>
  <c r="U132" i="51"/>
  <c r="AP115" i="51"/>
  <c r="U111" i="51"/>
  <c r="AP99" i="51"/>
  <c r="AO70" i="51"/>
  <c r="AO129" i="51"/>
  <c r="AP120" i="51"/>
  <c r="U104" i="51"/>
  <c r="AP96" i="51"/>
  <c r="U13" i="51"/>
  <c r="U90" i="51"/>
  <c r="AO82" i="51"/>
  <c r="U125" i="51"/>
  <c r="AP117" i="51"/>
  <c r="AP101" i="51"/>
  <c r="U97" i="51"/>
  <c r="AO72" i="51"/>
  <c r="U76" i="51"/>
  <c r="AO127" i="51"/>
  <c r="U83" i="51"/>
  <c r="U118" i="51"/>
  <c r="AP110" i="51"/>
  <c r="AP102" i="51"/>
  <c r="U27" i="51"/>
  <c r="U69" i="51"/>
  <c r="U62" i="51"/>
  <c r="AP63" i="51"/>
  <c r="AQ8" i="51"/>
  <c r="AQ12" i="51"/>
  <c r="AQ16" i="51"/>
  <c r="AQ20" i="51"/>
  <c r="AQ24" i="51"/>
  <c r="AQ28" i="51"/>
  <c r="AQ32" i="51"/>
  <c r="AQ36" i="51"/>
  <c r="AQ40" i="51"/>
  <c r="AQ44" i="51"/>
  <c r="AQ48" i="51"/>
  <c r="AQ52" i="51"/>
  <c r="AQ56" i="51"/>
  <c r="AQ60" i="51"/>
  <c r="AQ64" i="51"/>
  <c r="AQ68" i="51"/>
  <c r="AQ72" i="51"/>
  <c r="AQ76" i="51"/>
  <c r="AQ80" i="51"/>
  <c r="AQ84" i="51"/>
  <c r="AQ88" i="51"/>
  <c r="AQ92" i="51"/>
  <c r="AQ96" i="51"/>
  <c r="AQ100" i="51"/>
  <c r="AQ104" i="51"/>
  <c r="AQ108" i="51"/>
  <c r="AQ112" i="51"/>
  <c r="AQ116" i="51"/>
  <c r="AQ120" i="51"/>
  <c r="AQ124" i="51"/>
  <c r="AQ128" i="51"/>
  <c r="AQ132" i="51"/>
  <c r="AQ136" i="51"/>
  <c r="AQ140" i="51"/>
  <c r="AQ144" i="51"/>
  <c r="AQ148" i="51"/>
  <c r="AQ152" i="51"/>
  <c r="AQ156" i="51"/>
  <c r="AQ160" i="51"/>
  <c r="AQ164" i="51"/>
  <c r="AQ168" i="51"/>
  <c r="AQ172" i="51"/>
  <c r="AQ176" i="51"/>
  <c r="AQ180" i="51"/>
  <c r="AQ184" i="51"/>
  <c r="AQ188" i="51"/>
  <c r="AQ192" i="51"/>
  <c r="AQ196" i="51"/>
  <c r="AQ200" i="51"/>
  <c r="AQ204" i="51"/>
  <c r="AQ208" i="51"/>
  <c r="AQ212" i="51"/>
  <c r="AQ216" i="51"/>
  <c r="AQ220" i="51"/>
  <c r="AQ224" i="51"/>
  <c r="AQ228" i="51"/>
  <c r="AQ232" i="51"/>
  <c r="AQ236" i="51"/>
  <c r="AQ240" i="51"/>
  <c r="AQ244" i="51"/>
  <c r="AQ248" i="51"/>
  <c r="AQ252" i="51"/>
  <c r="AQ256" i="51"/>
  <c r="AQ260" i="51"/>
  <c r="AQ264" i="51"/>
  <c r="AQ268" i="51"/>
  <c r="AQ272" i="51"/>
  <c r="AQ276" i="51"/>
  <c r="AQ280" i="51"/>
  <c r="AQ284" i="51"/>
  <c r="AQ288" i="51"/>
  <c r="AQ292" i="51"/>
  <c r="AQ296" i="51"/>
  <c r="AQ300" i="51"/>
  <c r="AQ304" i="51"/>
  <c r="AQ308" i="51"/>
  <c r="AQ312" i="51"/>
  <c r="AQ316" i="51"/>
  <c r="AQ320" i="51"/>
  <c r="AQ324" i="51"/>
  <c r="AQ328" i="51"/>
  <c r="AQ332" i="51"/>
  <c r="AQ336" i="51"/>
  <c r="AQ341" i="51"/>
  <c r="AQ345" i="51"/>
  <c r="AQ9" i="51"/>
  <c r="AQ13" i="51"/>
  <c r="AQ17" i="51"/>
  <c r="AQ21" i="51"/>
  <c r="AQ25" i="51"/>
  <c r="AQ29" i="51"/>
  <c r="AQ33" i="51"/>
  <c r="AQ37" i="51"/>
  <c r="AQ41" i="51"/>
  <c r="AQ45" i="51"/>
  <c r="AQ49" i="51"/>
  <c r="AQ53" i="51"/>
  <c r="AQ57" i="51"/>
  <c r="AQ61" i="51"/>
  <c r="AQ65" i="51"/>
  <c r="AQ69" i="51"/>
  <c r="AQ73" i="51"/>
  <c r="AQ77" i="51"/>
  <c r="AQ81" i="51"/>
  <c r="AQ85" i="51"/>
  <c r="AQ89" i="51"/>
  <c r="AQ93" i="51"/>
  <c r="AQ97" i="51"/>
  <c r="AQ101" i="51"/>
  <c r="AQ105" i="51"/>
  <c r="AQ109" i="51"/>
  <c r="AQ113" i="51"/>
  <c r="AQ117" i="51"/>
  <c r="AQ121" i="51"/>
  <c r="AQ125" i="51"/>
  <c r="AQ129" i="51"/>
  <c r="AQ133" i="51"/>
  <c r="AQ137" i="51"/>
  <c r="AQ141" i="51"/>
  <c r="AQ145" i="51"/>
  <c r="AQ6" i="51"/>
  <c r="AQ14" i="51"/>
  <c r="AQ18" i="51"/>
  <c r="AQ22" i="51"/>
  <c r="AQ26" i="51"/>
  <c r="AQ30" i="51"/>
  <c r="AQ34" i="51"/>
  <c r="AQ38" i="51"/>
  <c r="AQ42" i="51"/>
  <c r="AQ46" i="51"/>
  <c r="AQ50" i="51"/>
  <c r="AQ54" i="51"/>
  <c r="AQ58" i="51"/>
  <c r="AQ62" i="51"/>
  <c r="AQ66" i="51"/>
  <c r="AQ70" i="51"/>
  <c r="AQ74" i="51"/>
  <c r="AQ78" i="51"/>
  <c r="AQ82" i="51"/>
  <c r="AQ86" i="51"/>
  <c r="AQ90" i="51"/>
  <c r="AQ94" i="51"/>
  <c r="AQ98" i="51"/>
  <c r="AQ102" i="51"/>
  <c r="AQ106" i="51"/>
  <c r="AQ110" i="51"/>
  <c r="AQ114" i="51"/>
  <c r="AQ118" i="51"/>
  <c r="AQ122" i="51"/>
  <c r="AQ126" i="51"/>
  <c r="AQ130" i="51"/>
  <c r="AQ134" i="51"/>
  <c r="AQ138" i="51"/>
  <c r="AQ142" i="51"/>
  <c r="AQ146" i="51"/>
  <c r="AQ150" i="51"/>
  <c r="AQ154" i="51"/>
  <c r="AQ158" i="51"/>
  <c r="AQ162" i="51"/>
  <c r="AQ166" i="51"/>
  <c r="AQ170" i="51"/>
  <c r="AQ174" i="51"/>
  <c r="AQ178" i="51"/>
  <c r="AQ182" i="51"/>
  <c r="AQ186" i="51"/>
  <c r="AQ190" i="51"/>
  <c r="AQ194" i="51"/>
  <c r="AQ198" i="51"/>
  <c r="AQ202" i="51"/>
  <c r="AQ206" i="51"/>
  <c r="AQ210" i="51"/>
  <c r="AQ214" i="51"/>
  <c r="AQ218" i="51"/>
  <c r="AQ222" i="51"/>
  <c r="AQ226" i="51"/>
  <c r="AQ230" i="51"/>
  <c r="AQ234" i="51"/>
  <c r="AQ238" i="51"/>
  <c r="AQ242" i="51"/>
  <c r="AQ246" i="51"/>
  <c r="AQ250" i="51"/>
  <c r="AQ254" i="51"/>
  <c r="AQ258" i="51"/>
  <c r="AQ262" i="51"/>
  <c r="AQ266" i="51"/>
  <c r="AQ270" i="51"/>
  <c r="AQ274" i="51"/>
  <c r="AQ278" i="51"/>
  <c r="AQ282" i="51"/>
  <c r="AQ286" i="51"/>
  <c r="AQ290" i="51"/>
  <c r="AQ294" i="51"/>
  <c r="AQ298" i="51"/>
  <c r="AQ302" i="51"/>
  <c r="AQ306" i="51"/>
  <c r="AQ310" i="51"/>
  <c r="AQ314" i="51"/>
  <c r="AQ318" i="51"/>
  <c r="AQ322" i="51"/>
  <c r="AQ326" i="51"/>
  <c r="AQ330" i="51"/>
  <c r="AQ334" i="51"/>
  <c r="AQ339" i="51"/>
  <c r="AQ343" i="51"/>
  <c r="AQ7" i="51"/>
  <c r="AQ11" i="51"/>
  <c r="AQ15" i="51"/>
  <c r="AQ19" i="51"/>
  <c r="AQ23" i="51"/>
  <c r="AQ27" i="51"/>
  <c r="AQ31" i="51"/>
  <c r="AQ35" i="51"/>
  <c r="AQ39" i="51"/>
  <c r="AQ43" i="51"/>
  <c r="AQ47" i="51"/>
  <c r="AQ51" i="51"/>
  <c r="AQ55" i="51"/>
  <c r="AQ59" i="51"/>
  <c r="AQ63" i="51"/>
  <c r="AQ67" i="51"/>
  <c r="AQ71" i="51"/>
  <c r="AQ75" i="51"/>
  <c r="AQ79" i="51"/>
  <c r="AQ83" i="51"/>
  <c r="AQ87" i="51"/>
  <c r="AQ91" i="51"/>
  <c r="AQ95" i="51"/>
  <c r="AQ99" i="51"/>
  <c r="AQ103" i="51"/>
  <c r="AQ107" i="51"/>
  <c r="AQ111" i="51"/>
  <c r="AQ115" i="51"/>
  <c r="AQ119" i="51"/>
  <c r="AQ123" i="51"/>
  <c r="AQ127" i="51"/>
  <c r="AQ131" i="51"/>
  <c r="AQ135" i="51"/>
  <c r="AQ139" i="51"/>
  <c r="AQ143" i="51"/>
  <c r="AQ147" i="51"/>
  <c r="AQ149" i="51"/>
  <c r="AQ153" i="51"/>
  <c r="AQ157" i="51"/>
  <c r="AQ161" i="51"/>
  <c r="AQ165" i="51"/>
  <c r="AQ169" i="51"/>
  <c r="AQ173" i="51"/>
  <c r="AQ177" i="51"/>
  <c r="AQ181" i="51"/>
  <c r="AQ185" i="51"/>
  <c r="AQ189" i="51"/>
  <c r="AQ193" i="51"/>
  <c r="AQ197" i="51"/>
  <c r="AQ201" i="51"/>
  <c r="AQ205" i="51"/>
  <c r="AQ209" i="51"/>
  <c r="AQ213" i="51"/>
  <c r="AQ217" i="51"/>
  <c r="AQ221" i="51"/>
  <c r="AQ225" i="51"/>
  <c r="AQ229" i="51"/>
  <c r="AQ233" i="51"/>
  <c r="AQ237" i="51"/>
  <c r="AQ241" i="51"/>
  <c r="AQ245" i="51"/>
  <c r="AQ249" i="51"/>
  <c r="AQ253" i="51"/>
  <c r="AQ257" i="51"/>
  <c r="AQ261" i="51"/>
  <c r="AQ265" i="51"/>
  <c r="AQ269" i="51"/>
  <c r="AQ273" i="51"/>
  <c r="AQ277" i="51"/>
  <c r="AQ281" i="51"/>
  <c r="AQ285" i="51"/>
  <c r="AQ289" i="51"/>
  <c r="AQ293" i="51"/>
  <c r="AQ297" i="51"/>
  <c r="AQ301" i="51"/>
  <c r="AQ305" i="51"/>
  <c r="AQ309" i="51"/>
  <c r="AQ313" i="51"/>
  <c r="AQ317" i="51"/>
  <c r="AQ321" i="51"/>
  <c r="AQ325" i="51"/>
  <c r="AQ329" i="51"/>
  <c r="AQ333" i="51"/>
  <c r="AQ338" i="51"/>
  <c r="AQ342" i="51"/>
  <c r="AQ346" i="51"/>
  <c r="AQ349" i="51"/>
  <c r="AQ353" i="51"/>
  <c r="AQ357" i="51"/>
  <c r="AQ361" i="51"/>
  <c r="AQ365" i="51"/>
  <c r="AQ369" i="51"/>
  <c r="AQ348" i="51"/>
  <c r="AQ352" i="51"/>
  <c r="AQ356" i="51"/>
  <c r="AQ360" i="51"/>
  <c r="AQ364" i="51"/>
  <c r="AQ368" i="51"/>
  <c r="AO370" i="51"/>
  <c r="AO368" i="51"/>
  <c r="AO366" i="51"/>
  <c r="AN365" i="51"/>
  <c r="AP363" i="51"/>
  <c r="AO362" i="51"/>
  <c r="AO360" i="51"/>
  <c r="AO356" i="51"/>
  <c r="AO354" i="51"/>
  <c r="AO352" i="51"/>
  <c r="AO346" i="51"/>
  <c r="AO342" i="51"/>
  <c r="AO340" i="51"/>
  <c r="AP338" i="51"/>
  <c r="AP335" i="51"/>
  <c r="AP333" i="51"/>
  <c r="AP332" i="51"/>
  <c r="AP330" i="51"/>
  <c r="AP329" i="51"/>
  <c r="AP328" i="51"/>
  <c r="AP327" i="51"/>
  <c r="AP326" i="51"/>
  <c r="AP325" i="51"/>
  <c r="AP324" i="51"/>
  <c r="AP322" i="51"/>
  <c r="AP321" i="51"/>
  <c r="AP320" i="51"/>
  <c r="AP319" i="51"/>
  <c r="AP317" i="51"/>
  <c r="AP316" i="51"/>
  <c r="AP314" i="51"/>
  <c r="AP311" i="51"/>
  <c r="AO309" i="51"/>
  <c r="AO307" i="51"/>
  <c r="AO303" i="51"/>
  <c r="AO301" i="51"/>
  <c r="AO299" i="51"/>
  <c r="AO295" i="51"/>
  <c r="AO293" i="51"/>
  <c r="AO287" i="51"/>
  <c r="AO285" i="51"/>
  <c r="AO283" i="51"/>
  <c r="AO281" i="51"/>
  <c r="AO279" i="51"/>
  <c r="AN278" i="51"/>
  <c r="AN277" i="51"/>
  <c r="AN276" i="51"/>
  <c r="AN275" i="51"/>
  <c r="AN273" i="51"/>
  <c r="AN272" i="51"/>
  <c r="AN269" i="51"/>
  <c r="AN268" i="51"/>
  <c r="AN267" i="51"/>
  <c r="AN265" i="51"/>
  <c r="AN370" i="51"/>
  <c r="AN369" i="51"/>
  <c r="AN367" i="51"/>
  <c r="AN366" i="51"/>
  <c r="AQ151" i="51"/>
  <c r="AQ155" i="51"/>
  <c r="AQ159" i="51"/>
  <c r="AQ163" i="51"/>
  <c r="AQ167" i="51"/>
  <c r="AQ171" i="51"/>
  <c r="AQ175" i="51"/>
  <c r="AQ179" i="51"/>
  <c r="AQ183" i="51"/>
  <c r="AQ187" i="51"/>
  <c r="AQ191" i="51"/>
  <c r="AQ195" i="51"/>
  <c r="AQ199" i="51"/>
  <c r="AQ203" i="51"/>
  <c r="AQ207" i="51"/>
  <c r="AQ211" i="51"/>
  <c r="AQ215" i="51"/>
  <c r="AQ219" i="51"/>
  <c r="AQ223" i="51"/>
  <c r="AQ227" i="51"/>
  <c r="AQ231" i="51"/>
  <c r="AQ235" i="51"/>
  <c r="AQ239" i="51"/>
  <c r="AQ243" i="51"/>
  <c r="AQ247" i="51"/>
  <c r="AQ251" i="51"/>
  <c r="AQ255" i="51"/>
  <c r="AQ259" i="51"/>
  <c r="AQ263" i="51"/>
  <c r="AQ267" i="51"/>
  <c r="AQ271" i="51"/>
  <c r="AQ275" i="51"/>
  <c r="AQ279" i="51"/>
  <c r="AQ283" i="51"/>
  <c r="AQ287" i="51"/>
  <c r="AQ291" i="51"/>
  <c r="AQ295" i="51"/>
  <c r="AQ299" i="51"/>
  <c r="AQ303" i="51"/>
  <c r="AQ307" i="51"/>
  <c r="AQ311" i="51"/>
  <c r="AQ315" i="51"/>
  <c r="AQ319" i="51"/>
  <c r="AQ323" i="51"/>
  <c r="AQ327" i="51"/>
  <c r="AQ331" i="51"/>
  <c r="AQ335" i="51"/>
  <c r="AQ340" i="51"/>
  <c r="AQ344" i="51"/>
  <c r="AQ347" i="51"/>
  <c r="AQ351" i="51"/>
  <c r="AQ355" i="51"/>
  <c r="AQ359" i="51"/>
  <c r="AQ363" i="51"/>
  <c r="AQ367" i="51"/>
  <c r="AQ5" i="51"/>
  <c r="AQ350" i="51"/>
  <c r="AQ354" i="51"/>
  <c r="AQ362" i="51"/>
  <c r="AQ366" i="51"/>
  <c r="AQ370" i="51"/>
  <c r="AO369" i="51"/>
  <c r="AO367" i="51"/>
  <c r="AP365" i="51"/>
  <c r="AO364" i="51"/>
  <c r="AN363" i="51"/>
  <c r="AO361" i="51"/>
  <c r="AO359" i="51"/>
  <c r="AO357" i="51"/>
  <c r="AO355" i="51"/>
  <c r="AO353" i="51"/>
  <c r="AO349" i="51"/>
  <c r="AO347" i="51"/>
  <c r="AO345" i="51"/>
  <c r="AO341" i="51"/>
  <c r="AO339" i="51"/>
  <c r="AN338" i="51"/>
  <c r="AN335" i="51"/>
  <c r="AN333" i="51"/>
  <c r="AN332" i="51"/>
  <c r="AN331" i="51"/>
  <c r="AN330" i="51"/>
  <c r="AN329" i="51"/>
  <c r="AN328" i="51"/>
  <c r="AN327" i="51"/>
  <c r="AN325" i="51"/>
  <c r="AN324" i="51"/>
  <c r="AN322" i="51"/>
  <c r="AN321" i="51"/>
  <c r="AN320" i="51"/>
  <c r="AN319" i="51"/>
  <c r="AN317" i="51"/>
  <c r="AN316" i="51"/>
  <c r="AN314" i="51"/>
  <c r="AN311" i="51"/>
  <c r="AO308" i="51"/>
  <c r="AO306" i="51"/>
  <c r="AO302" i="51"/>
  <c r="AO300" i="51"/>
  <c r="AO298" i="51"/>
  <c r="AO290" i="51"/>
  <c r="AO286" i="51"/>
  <c r="AO284" i="51"/>
  <c r="AO282" i="51"/>
  <c r="AO280" i="51"/>
  <c r="AP278" i="51"/>
  <c r="AP277" i="51"/>
  <c r="AP276" i="51"/>
  <c r="AP275" i="51"/>
  <c r="AP273" i="51"/>
  <c r="AP272" i="51"/>
  <c r="AP271" i="51"/>
  <c r="AP270" i="51"/>
  <c r="AP269" i="51"/>
  <c r="AP268" i="51"/>
  <c r="AP267" i="51"/>
  <c r="AP265" i="51"/>
  <c r="AP370" i="51"/>
  <c r="AP369" i="51"/>
  <c r="AP368" i="51"/>
  <c r="AP367" i="51"/>
  <c r="AP366" i="51"/>
  <c r="AO365" i="51"/>
  <c r="AN364" i="51"/>
  <c r="AP361" i="51"/>
  <c r="AP360" i="51"/>
  <c r="AP359" i="51"/>
  <c r="AP356" i="51"/>
  <c r="AP355" i="51"/>
  <c r="AP354" i="51"/>
  <c r="AP353" i="51"/>
  <c r="AP352" i="51"/>
  <c r="AP350" i="51"/>
  <c r="AP349" i="51"/>
  <c r="AP348" i="51"/>
  <c r="AP347" i="51"/>
  <c r="AP346" i="51"/>
  <c r="AP345" i="51"/>
  <c r="AP342" i="51"/>
  <c r="AP341" i="51"/>
  <c r="AP340" i="51"/>
  <c r="AP339" i="51"/>
  <c r="AO338" i="51"/>
  <c r="AP364" i="51"/>
  <c r="AN362" i="51"/>
  <c r="AN360" i="51"/>
  <c r="AN358" i="51"/>
  <c r="AN356" i="51"/>
  <c r="AN354" i="51"/>
  <c r="AN352" i="51"/>
  <c r="AN350" i="51"/>
  <c r="AN346" i="51"/>
  <c r="AN342" i="51"/>
  <c r="AN340" i="51"/>
  <c r="AO336" i="51"/>
  <c r="AO332" i="51"/>
  <c r="AO330" i="51"/>
  <c r="AO328" i="51"/>
  <c r="AO324" i="51"/>
  <c r="AO322" i="51"/>
  <c r="AO320" i="51"/>
  <c r="AO316" i="51"/>
  <c r="AO314" i="51"/>
  <c r="AN309" i="51"/>
  <c r="AN308" i="51"/>
  <c r="AN307" i="51"/>
  <c r="AN306" i="51"/>
  <c r="AN305" i="51"/>
  <c r="AN303" i="51"/>
  <c r="AN301" i="51"/>
  <c r="AN300" i="51"/>
  <c r="AN299" i="51"/>
  <c r="AN298" i="51"/>
  <c r="AN297" i="51"/>
  <c r="AN295" i="51"/>
  <c r="AN293" i="51"/>
  <c r="AN290" i="51"/>
  <c r="AN287" i="51"/>
  <c r="AN286" i="51"/>
  <c r="AN285" i="51"/>
  <c r="AN284" i="51"/>
  <c r="AN283" i="51"/>
  <c r="AN282" i="51"/>
  <c r="AN281" i="51"/>
  <c r="AN280" i="51"/>
  <c r="AN279" i="51"/>
  <c r="AO277" i="51"/>
  <c r="AO275" i="51"/>
  <c r="AO273" i="51"/>
  <c r="AO271" i="51"/>
  <c r="AO269" i="51"/>
  <c r="AO267" i="51"/>
  <c r="AO265" i="51"/>
  <c r="AO263" i="51"/>
  <c r="AO257" i="51"/>
  <c r="AO255" i="51"/>
  <c r="AO253" i="51"/>
  <c r="AO251" i="51"/>
  <c r="AO249" i="51"/>
  <c r="AP247" i="51"/>
  <c r="AP246" i="51"/>
  <c r="AP244" i="51"/>
  <c r="AP242" i="51"/>
  <c r="AP241" i="51"/>
  <c r="AP240" i="51"/>
  <c r="AP239" i="51"/>
  <c r="AP238" i="51"/>
  <c r="AP237" i="51"/>
  <c r="AP236" i="51"/>
  <c r="AP234" i="51"/>
  <c r="AP233" i="51"/>
  <c r="AP232" i="51"/>
  <c r="AP231" i="51"/>
  <c r="AP230" i="51"/>
  <c r="AP228" i="51"/>
  <c r="AP226" i="51"/>
  <c r="AP225" i="51"/>
  <c r="AP224" i="51"/>
  <c r="AP223" i="51"/>
  <c r="AP222" i="51"/>
  <c r="AP221" i="51"/>
  <c r="AP218" i="51"/>
  <c r="AO213" i="51"/>
  <c r="AO211" i="51"/>
  <c r="AO209" i="51"/>
  <c r="AO207" i="51"/>
  <c r="AO205" i="51"/>
  <c r="AO199" i="51"/>
  <c r="AO197" i="51"/>
  <c r="AO195" i="51"/>
  <c r="AO191" i="51"/>
  <c r="AO189" i="51"/>
  <c r="AN185" i="51"/>
  <c r="AN184" i="51"/>
  <c r="AN183" i="51"/>
  <c r="AN182" i="51"/>
  <c r="AN181" i="51"/>
  <c r="AN177" i="51"/>
  <c r="AN176" i="51"/>
  <c r="AN175" i="51"/>
  <c r="AN174" i="51"/>
  <c r="AN172" i="51"/>
  <c r="AN169" i="51"/>
  <c r="AN168" i="51"/>
  <c r="AN167" i="51"/>
  <c r="AN166" i="51"/>
  <c r="AN163" i="51"/>
  <c r="AN161" i="51"/>
  <c r="AN160" i="51"/>
  <c r="AN158" i="51"/>
  <c r="AO153" i="51"/>
  <c r="AO151" i="51"/>
  <c r="AO149" i="51"/>
  <c r="AO143" i="51"/>
  <c r="AO141" i="51"/>
  <c r="AO139" i="51"/>
  <c r="AO137" i="51"/>
  <c r="AO135" i="51"/>
  <c r="AO133" i="51"/>
  <c r="AO131" i="51"/>
  <c r="AP125" i="51"/>
  <c r="AP124" i="51"/>
  <c r="AP123" i="51"/>
  <c r="AP122" i="51"/>
  <c r="AP121" i="51"/>
  <c r="AP119" i="51"/>
  <c r="AP118" i="51"/>
  <c r="AP116" i="51"/>
  <c r="AP114" i="51"/>
  <c r="AP113" i="51"/>
  <c r="AP112" i="51"/>
  <c r="AP111" i="51"/>
  <c r="AP109" i="51"/>
  <c r="AP108" i="51"/>
  <c r="AP107" i="51"/>
  <c r="AP106" i="51"/>
  <c r="AP105" i="51"/>
  <c r="AP104" i="51"/>
  <c r="AP103" i="51"/>
  <c r="AP100" i="51"/>
  <c r="AP98" i="51"/>
  <c r="AP97" i="51"/>
  <c r="AP95" i="51"/>
  <c r="AO94" i="51"/>
  <c r="AO92" i="51"/>
  <c r="AO90" i="51"/>
  <c r="AO88" i="51"/>
  <c r="AO86" i="51"/>
  <c r="AO84" i="51"/>
  <c r="AO80" i="51"/>
  <c r="AO78" i="51"/>
  <c r="AO76" i="51"/>
  <c r="AO74" i="51"/>
  <c r="AO68" i="51"/>
  <c r="AO66" i="51"/>
  <c r="AP64" i="51"/>
  <c r="AP62" i="51"/>
  <c r="AP61" i="51"/>
  <c r="AP60" i="51"/>
  <c r="AP58" i="51"/>
  <c r="AP57" i="51"/>
  <c r="AP56" i="51"/>
  <c r="AP55" i="51"/>
  <c r="AP54" i="51"/>
  <c r="AP262" i="51"/>
  <c r="AP260" i="51"/>
  <c r="AP258" i="51"/>
  <c r="AP256" i="51"/>
  <c r="AP255" i="51"/>
  <c r="AP254" i="51"/>
  <c r="AP253" i="51"/>
  <c r="AP252" i="51"/>
  <c r="AP251" i="51"/>
  <c r="AP250" i="51"/>
  <c r="AP249" i="51"/>
  <c r="AP248" i="51"/>
  <c r="AO247" i="51"/>
  <c r="AO245" i="51"/>
  <c r="AO241" i="51"/>
  <c r="AO239" i="51"/>
  <c r="AO237" i="51"/>
  <c r="AO233" i="51"/>
  <c r="AO231" i="51"/>
  <c r="AO229" i="51"/>
  <c r="AO225" i="51"/>
  <c r="AO223" i="51"/>
  <c r="AO221" i="51"/>
  <c r="AP217" i="51"/>
  <c r="AP216" i="51"/>
  <c r="AP215" i="51"/>
  <c r="AP213" i="51"/>
  <c r="AP212" i="51"/>
  <c r="AP211" i="51"/>
  <c r="AP210" i="51"/>
  <c r="AP209" i="51"/>
  <c r="AP207" i="51"/>
  <c r="AP205" i="51"/>
  <c r="AP204" i="51"/>
  <c r="AP202" i="51"/>
  <c r="AP201" i="51"/>
  <c r="AP199" i="51"/>
  <c r="AP197" i="51"/>
  <c r="AP196" i="51"/>
  <c r="AP195" i="51"/>
  <c r="AP194" i="51"/>
  <c r="AP193" i="51"/>
  <c r="AP191" i="51"/>
  <c r="AP189" i="51"/>
  <c r="AP188" i="51"/>
  <c r="AO184" i="51"/>
  <c r="AO182" i="51"/>
  <c r="AO180" i="51"/>
  <c r="AO176" i="51"/>
  <c r="AO174" i="51"/>
  <c r="AO168" i="51"/>
  <c r="AO166" i="51"/>
  <c r="AO164" i="51"/>
  <c r="AO160" i="51"/>
  <c r="AO158" i="51"/>
  <c r="AP156" i="51"/>
  <c r="AP154" i="51"/>
  <c r="AP153" i="51"/>
  <c r="AP152" i="51"/>
  <c r="AP151" i="51"/>
  <c r="AP150" i="51"/>
  <c r="AP149" i="51"/>
  <c r="AP148" i="51"/>
  <c r="AP146" i="51"/>
  <c r="AP145" i="51"/>
  <c r="AP143" i="51"/>
  <c r="AP142" i="51"/>
  <c r="AP141" i="51"/>
  <c r="AO363" i="51"/>
  <c r="AN361" i="51"/>
  <c r="AN359" i="51"/>
  <c r="AN357" i="51"/>
  <c r="AN355" i="51"/>
  <c r="AN353" i="51"/>
  <c r="AN351" i="51"/>
  <c r="AN349" i="51"/>
  <c r="AN347" i="51"/>
  <c r="AN345" i="51"/>
  <c r="AN343" i="51"/>
  <c r="AN341" i="51"/>
  <c r="AN339" i="51"/>
  <c r="AO335" i="51"/>
  <c r="AO333" i="51"/>
  <c r="AO331" i="51"/>
  <c r="AO329" i="51"/>
  <c r="AO327" i="51"/>
  <c r="AO325" i="51"/>
  <c r="AO323" i="51"/>
  <c r="AO321" i="51"/>
  <c r="AO319" i="51"/>
  <c r="AO317" i="51"/>
  <c r="AO315" i="51"/>
  <c r="AO313" i="51"/>
  <c r="AO311" i="51"/>
  <c r="AP309" i="51"/>
  <c r="AP308" i="51"/>
  <c r="AP307" i="51"/>
  <c r="AP306" i="51"/>
  <c r="AP305" i="51"/>
  <c r="AP304" i="51"/>
  <c r="AP303" i="51"/>
  <c r="AP302" i="51"/>
  <c r="AP301" i="51"/>
  <c r="AP300" i="51"/>
  <c r="AP299" i="51"/>
  <c r="AP298" i="51"/>
  <c r="AP297" i="51"/>
  <c r="AP296" i="51"/>
  <c r="AP295" i="51"/>
  <c r="AP294" i="51"/>
  <c r="AP293" i="51"/>
  <c r="AP292" i="51"/>
  <c r="AP291" i="51"/>
  <c r="AP290" i="51"/>
  <c r="AP289" i="51"/>
  <c r="AP288" i="51"/>
  <c r="AP287" i="51"/>
  <c r="AP286" i="51"/>
  <c r="AP285" i="51"/>
  <c r="AP284" i="51"/>
  <c r="AP283" i="51"/>
  <c r="AP282" i="51"/>
  <c r="AP281" i="51"/>
  <c r="AP280" i="51"/>
  <c r="AP279" i="51"/>
  <c r="AO278" i="51"/>
  <c r="AO276" i="51"/>
  <c r="AO274" i="51"/>
  <c r="AO272" i="51"/>
  <c r="AO270" i="51"/>
  <c r="AO268" i="51"/>
  <c r="AO266" i="51"/>
  <c r="AO264" i="51"/>
  <c r="AO262" i="51"/>
  <c r="AN262" i="51"/>
  <c r="AO260" i="51"/>
  <c r="AO258" i="51"/>
  <c r="AO256" i="51"/>
  <c r="AO254" i="51"/>
  <c r="AO252" i="51"/>
  <c r="AO250" i="51"/>
  <c r="AO248" i="51"/>
  <c r="AN247" i="51"/>
  <c r="AN246" i="51"/>
  <c r="AN245" i="51"/>
  <c r="AN244" i="51"/>
  <c r="AN243" i="51"/>
  <c r="AN242" i="51"/>
  <c r="AN241" i="51"/>
  <c r="AN240" i="51"/>
  <c r="AN239" i="51"/>
  <c r="AN238" i="51"/>
  <c r="AN237" i="51"/>
  <c r="AN236" i="51"/>
  <c r="AN235" i="51"/>
  <c r="AN234" i="51"/>
  <c r="AN233" i="51"/>
  <c r="AN232" i="51"/>
  <c r="AN231" i="51"/>
  <c r="AN230" i="51"/>
  <c r="AN229" i="51"/>
  <c r="AN228" i="51"/>
  <c r="AN227" i="51"/>
  <c r="AN226" i="51"/>
  <c r="AN225" i="51"/>
  <c r="AN224" i="51"/>
  <c r="AN223" i="51"/>
  <c r="AN222" i="51"/>
  <c r="AN221" i="51"/>
  <c r="AN220" i="51"/>
  <c r="AN219" i="51"/>
  <c r="AN218" i="51"/>
  <c r="AO216" i="51"/>
  <c r="AO214" i="51"/>
  <c r="AO212" i="51"/>
  <c r="AO210" i="51"/>
  <c r="AO208" i="51"/>
  <c r="AO206" i="51"/>
  <c r="AO204" i="51"/>
  <c r="AO202" i="51"/>
  <c r="AO200" i="51"/>
  <c r="AO198" i="51"/>
  <c r="AO196" i="51"/>
  <c r="AO194" i="51"/>
  <c r="AO192" i="51"/>
  <c r="AO190" i="51"/>
  <c r="AO188" i="51"/>
  <c r="AP186" i="51"/>
  <c r="AP185" i="51"/>
  <c r="AP184" i="51"/>
  <c r="AP183" i="51"/>
  <c r="AP182" i="51"/>
  <c r="AP181" i="51"/>
  <c r="AP180" i="51"/>
  <c r="AP179" i="51"/>
  <c r="AP178" i="51"/>
  <c r="AP177" i="51"/>
  <c r="AP176" i="51"/>
  <c r="AP175" i="51"/>
  <c r="AP174" i="51"/>
  <c r="AP173" i="51"/>
  <c r="AP172" i="51"/>
  <c r="AP171" i="51"/>
  <c r="AP170" i="51"/>
  <c r="AP169" i="51"/>
  <c r="AP168" i="51"/>
  <c r="AP167" i="51"/>
  <c r="AP166" i="51"/>
  <c r="AP165" i="51"/>
  <c r="AP164" i="51"/>
  <c r="AP163" i="51"/>
  <c r="AP162" i="51"/>
  <c r="AP161" i="51"/>
  <c r="AP160" i="51"/>
  <c r="AP159" i="51"/>
  <c r="AP158" i="51"/>
  <c r="AP157" i="51"/>
  <c r="AO156" i="51"/>
  <c r="AO154" i="51"/>
  <c r="AO152" i="51"/>
  <c r="AO150" i="51"/>
  <c r="AO148" i="51"/>
  <c r="AO146" i="51"/>
  <c r="AO144" i="51"/>
  <c r="AO142" i="51"/>
  <c r="AO140" i="51"/>
  <c r="AO138" i="51"/>
  <c r="AO136" i="51"/>
  <c r="AO134" i="51"/>
  <c r="AO132" i="51"/>
  <c r="AO130" i="51"/>
  <c r="AO128" i="51"/>
  <c r="AO126" i="51"/>
  <c r="AN125" i="51"/>
  <c r="AN124" i="51"/>
  <c r="AN123" i="51"/>
  <c r="AN122" i="51"/>
  <c r="AN121" i="51"/>
  <c r="AN120" i="51"/>
  <c r="AN119" i="51"/>
  <c r="AN118" i="51"/>
  <c r="AN117" i="51"/>
  <c r="AN115" i="51"/>
  <c r="AN113" i="51"/>
  <c r="AN112" i="51"/>
  <c r="AN111" i="51"/>
  <c r="AN109" i="51"/>
  <c r="AN107" i="51"/>
  <c r="AN105" i="51"/>
  <c r="AN104" i="51"/>
  <c r="AN103" i="51"/>
  <c r="AN101" i="51"/>
  <c r="AN99" i="51"/>
  <c r="AN97" i="51"/>
  <c r="AN95" i="51"/>
  <c r="AO93" i="51"/>
  <c r="AO91" i="51"/>
  <c r="AO89" i="51"/>
  <c r="AO87" i="51"/>
  <c r="AO85" i="51"/>
  <c r="AO83" i="51"/>
  <c r="AO81" i="51"/>
  <c r="AO79" i="51"/>
  <c r="AO77" i="51"/>
  <c r="AO75" i="51"/>
  <c r="AO73" i="51"/>
  <c r="AO71" i="51"/>
  <c r="AO69" i="51"/>
  <c r="AO67" i="51"/>
  <c r="AO65" i="51"/>
  <c r="AN64" i="51"/>
  <c r="AN62" i="51"/>
  <c r="AN60" i="51"/>
  <c r="AN59" i="51"/>
  <c r="AN58" i="51"/>
  <c r="AN57" i="51"/>
  <c r="AN56" i="51"/>
  <c r="AN55" i="51"/>
  <c r="AN54" i="51"/>
  <c r="AN261" i="51"/>
  <c r="AN260" i="51"/>
  <c r="AN259" i="51"/>
  <c r="AN258" i="51"/>
  <c r="AN257" i="51"/>
  <c r="AN256" i="51"/>
  <c r="AN255" i="51"/>
  <c r="AN254" i="51"/>
  <c r="AN253" i="51"/>
  <c r="AN252" i="51"/>
  <c r="AN251" i="51"/>
  <c r="AN250" i="51"/>
  <c r="AN249" i="51"/>
  <c r="AN248" i="51"/>
  <c r="AO246" i="51"/>
  <c r="AO244" i="51"/>
  <c r="AO242" i="51"/>
  <c r="AO240" i="51"/>
  <c r="AO238" i="51"/>
  <c r="AO236" i="51"/>
  <c r="AO234" i="51"/>
  <c r="AO232" i="51"/>
  <c r="AO230" i="51"/>
  <c r="AO228" i="51"/>
  <c r="AO226" i="51"/>
  <c r="AO224" i="51"/>
  <c r="AO222" i="51"/>
  <c r="AO220" i="51"/>
  <c r="AO218" i="51"/>
  <c r="AN217" i="51"/>
  <c r="AN216" i="51"/>
  <c r="AN215" i="51"/>
  <c r="AN214" i="51"/>
  <c r="AN213" i="51"/>
  <c r="AN212" i="51"/>
  <c r="AN211" i="51"/>
  <c r="AN210" i="51"/>
  <c r="AN209" i="51"/>
  <c r="AN208" i="51"/>
  <c r="AN207" i="51"/>
  <c r="AN206" i="51"/>
  <c r="AN205" i="51"/>
  <c r="AN204" i="51"/>
  <c r="AN203" i="51"/>
  <c r="AN202" i="51"/>
  <c r="AN201" i="51"/>
  <c r="AN200" i="51"/>
  <c r="AN199" i="51"/>
  <c r="AN198" i="51"/>
  <c r="AN197" i="51"/>
  <c r="AN196" i="51"/>
  <c r="AN195" i="51"/>
  <c r="AN194" i="51"/>
  <c r="AN193" i="51"/>
  <c r="AN192" i="51"/>
  <c r="AN191" i="51"/>
  <c r="AN190" i="51"/>
  <c r="AN189" i="51"/>
  <c r="AN188" i="51"/>
  <c r="AN187" i="51"/>
  <c r="AO185" i="51"/>
  <c r="AO183" i="51"/>
  <c r="AO181" i="51"/>
  <c r="AO179" i="51"/>
  <c r="AO177" i="51"/>
  <c r="AO175" i="51"/>
  <c r="AO173" i="51"/>
  <c r="AO171" i="51"/>
  <c r="AO169" i="51"/>
  <c r="AO167" i="51"/>
  <c r="AO165" i="51"/>
  <c r="AO163" i="51"/>
  <c r="AO161" i="51"/>
  <c r="AO159" i="51"/>
  <c r="AO157" i="51"/>
  <c r="AN156" i="51"/>
  <c r="AN155" i="51"/>
  <c r="AN154" i="51"/>
  <c r="AN153" i="51"/>
  <c r="AN152" i="51"/>
  <c r="AN151" i="51"/>
  <c r="AN150" i="51"/>
  <c r="AN149" i="51"/>
  <c r="AN148" i="51"/>
  <c r="AN147" i="51"/>
  <c r="AN146" i="51"/>
  <c r="AN145" i="51"/>
  <c r="AN144" i="51"/>
  <c r="AN143" i="51"/>
  <c r="AN142" i="51"/>
  <c r="AN141" i="51"/>
  <c r="AN140" i="51"/>
  <c r="AN139" i="51"/>
  <c r="AN138" i="51"/>
  <c r="AN137" i="51"/>
  <c r="AN136" i="51"/>
  <c r="AN135" i="51"/>
  <c r="AN134" i="51"/>
  <c r="AN133" i="51"/>
  <c r="AN132" i="51"/>
  <c r="AN131" i="51"/>
  <c r="AN130" i="51"/>
  <c r="AN129" i="51"/>
  <c r="AN128" i="51"/>
  <c r="AN127" i="51"/>
  <c r="AN126" i="51"/>
  <c r="AO124" i="51"/>
  <c r="AO122" i="51"/>
  <c r="AO120" i="51"/>
  <c r="AO118" i="51"/>
  <c r="AO116" i="51"/>
  <c r="AO114" i="51"/>
  <c r="AO112" i="51"/>
  <c r="AO110" i="51"/>
  <c r="AO108" i="51"/>
  <c r="AO106" i="51"/>
  <c r="AO104" i="51"/>
  <c r="AO102" i="51"/>
  <c r="AO100" i="51"/>
  <c r="AP140" i="51"/>
  <c r="AP138" i="51"/>
  <c r="AP136" i="51"/>
  <c r="AP134" i="51"/>
  <c r="AP132" i="51"/>
  <c r="AP130" i="51"/>
  <c r="AP128" i="51"/>
  <c r="AP126" i="51"/>
  <c r="AO123" i="51"/>
  <c r="AO119" i="51"/>
  <c r="AO115" i="51"/>
  <c r="AO111" i="51"/>
  <c r="AO107" i="51"/>
  <c r="AO103" i="51"/>
  <c r="AO99" i="51"/>
  <c r="AO97" i="51"/>
  <c r="AO95" i="51"/>
  <c r="AN93" i="51"/>
  <c r="AN91" i="51"/>
  <c r="AN90" i="51"/>
  <c r="AN89" i="51"/>
  <c r="AN87" i="51"/>
  <c r="AN85" i="51"/>
  <c r="AN83" i="51"/>
  <c r="AN81" i="51"/>
  <c r="AN79" i="51"/>
  <c r="AN77" i="51"/>
  <c r="AN76" i="51"/>
  <c r="AN75" i="51"/>
  <c r="AN73" i="51"/>
  <c r="AN71" i="51"/>
  <c r="AN69" i="51"/>
  <c r="AN67" i="51"/>
  <c r="AN65" i="51"/>
  <c r="AO63" i="51"/>
  <c r="AO61" i="51"/>
  <c r="AO59" i="51"/>
  <c r="AO57" i="51"/>
  <c r="AO55" i="51"/>
  <c r="AO53" i="51"/>
  <c r="AO51" i="51"/>
  <c r="AO49" i="51"/>
  <c r="AO47" i="51"/>
  <c r="AO45" i="51"/>
  <c r="AO43" i="51"/>
  <c r="AO41" i="51"/>
  <c r="AO39" i="51"/>
  <c r="AO37" i="51"/>
  <c r="AO35" i="51"/>
  <c r="AP33" i="51"/>
  <c r="AO32" i="51"/>
  <c r="AO30" i="51"/>
  <c r="AO28" i="51"/>
  <c r="AP52" i="51"/>
  <c r="AP50" i="51"/>
  <c r="AP48" i="51"/>
  <c r="AP46" i="51"/>
  <c r="AP44" i="51"/>
  <c r="AP42" i="51"/>
  <c r="AP40" i="51"/>
  <c r="AP38" i="51"/>
  <c r="AP36" i="51"/>
  <c r="AP34" i="51"/>
  <c r="AN32" i="51"/>
  <c r="AN30" i="51"/>
  <c r="AN28" i="51"/>
  <c r="AN27" i="51"/>
  <c r="AN25" i="51"/>
  <c r="AN22" i="51"/>
  <c r="AP18" i="51"/>
  <c r="AP14" i="51"/>
  <c r="AN11" i="51"/>
  <c r="AN52" i="51"/>
  <c r="AN50" i="51"/>
  <c r="AN48" i="51"/>
  <c r="AN46" i="51"/>
  <c r="AN44" i="51"/>
  <c r="AN42" i="51"/>
  <c r="AN40" i="51"/>
  <c r="AN38" i="51"/>
  <c r="AN36" i="51"/>
  <c r="AN34" i="51"/>
  <c r="AN31" i="51"/>
  <c r="AO27" i="51"/>
  <c r="AO25" i="51"/>
  <c r="AO23" i="51"/>
  <c r="AO21" i="51"/>
  <c r="AO19" i="51"/>
  <c r="AO17" i="51"/>
  <c r="AO15" i="51"/>
  <c r="AO13" i="51"/>
  <c r="AO11" i="51"/>
  <c r="AN8" i="51"/>
  <c r="AO6" i="51"/>
  <c r="AN26" i="51"/>
  <c r="AP24" i="51"/>
  <c r="AP23" i="51"/>
  <c r="AP21" i="51"/>
  <c r="AP20" i="51"/>
  <c r="AP17" i="51"/>
  <c r="AP16" i="51"/>
  <c r="AN15" i="51"/>
  <c r="AP13" i="51"/>
  <c r="AN12" i="51"/>
  <c r="AP10" i="51"/>
  <c r="AP7" i="51"/>
  <c r="AN23" i="51"/>
  <c r="AP53" i="51"/>
  <c r="AP49" i="51"/>
  <c r="AP45" i="51"/>
  <c r="AP41" i="51"/>
  <c r="AP35" i="51"/>
  <c r="AP30" i="51"/>
  <c r="AO26" i="51"/>
  <c r="AO24" i="51"/>
  <c r="AO20" i="51"/>
  <c r="AO16" i="51"/>
  <c r="AO12" i="51"/>
  <c r="AO10" i="51"/>
  <c r="AO7" i="51"/>
  <c r="AP25" i="51"/>
  <c r="AP22" i="51"/>
  <c r="AP19" i="51"/>
  <c r="AP15" i="51"/>
  <c r="AN14" i="51"/>
  <c r="AO8" i="51"/>
  <c r="AN7" i="51"/>
  <c r="AP139" i="51"/>
  <c r="AP137" i="51"/>
  <c r="AP135" i="51"/>
  <c r="AP133" i="51"/>
  <c r="AP131" i="51"/>
  <c r="AP129" i="51"/>
  <c r="AP127" i="51"/>
  <c r="AO125" i="51"/>
  <c r="AO121" i="51"/>
  <c r="AO117" i="51"/>
  <c r="AO113" i="51"/>
  <c r="AO109" i="51"/>
  <c r="AO105" i="51"/>
  <c r="AO101" i="51"/>
  <c r="AO98" i="51"/>
  <c r="AO96" i="51"/>
  <c r="AP94" i="51"/>
  <c r="AP93" i="51"/>
  <c r="AP92" i="51"/>
  <c r="AP91" i="51"/>
  <c r="AP90" i="51"/>
  <c r="AP89" i="51"/>
  <c r="AP88" i="51"/>
  <c r="AP87" i="51"/>
  <c r="AP86" i="51"/>
  <c r="AP85" i="51"/>
  <c r="AP84" i="51"/>
  <c r="AP83" i="51"/>
  <c r="AP82" i="51"/>
  <c r="AP81" i="51"/>
  <c r="AP80" i="51"/>
  <c r="AP79" i="51"/>
  <c r="AP78" i="51"/>
  <c r="AP77" i="51"/>
  <c r="AP76" i="51"/>
  <c r="AP75" i="51"/>
  <c r="AP74" i="51"/>
  <c r="AP73" i="51"/>
  <c r="AP72" i="51"/>
  <c r="AP71" i="51"/>
  <c r="AP70" i="51"/>
  <c r="AP69" i="51"/>
  <c r="AP68" i="51"/>
  <c r="AP67" i="51"/>
  <c r="AP66" i="51"/>
  <c r="AP65" i="51"/>
  <c r="AO64" i="51"/>
  <c r="AO62" i="51"/>
  <c r="AO60" i="51"/>
  <c r="AO58" i="51"/>
  <c r="AO56" i="51"/>
  <c r="AO54" i="51"/>
  <c r="AO52" i="51"/>
  <c r="AO50" i="51"/>
  <c r="AO48" i="51"/>
  <c r="AO46" i="51"/>
  <c r="AO44" i="51"/>
  <c r="AO42" i="51"/>
  <c r="AO40" i="51"/>
  <c r="AO38" i="51"/>
  <c r="AO36" i="51"/>
  <c r="AO34" i="51"/>
  <c r="AN33" i="51"/>
  <c r="AO31" i="51"/>
  <c r="AO29" i="51"/>
  <c r="AN53" i="51"/>
  <c r="AN51" i="51"/>
  <c r="AN49" i="51"/>
  <c r="AN47" i="51"/>
  <c r="AN45" i="51"/>
  <c r="AN43" i="51"/>
  <c r="AN41" i="51"/>
  <c r="AN39" i="51"/>
  <c r="AN37" i="51"/>
  <c r="AN35" i="51"/>
  <c r="AO33" i="51"/>
  <c r="AP31" i="51"/>
  <c r="AP29" i="51"/>
  <c r="AP27" i="51"/>
  <c r="AP26" i="51"/>
  <c r="AN20" i="51"/>
  <c r="AN16" i="51"/>
  <c r="AN13" i="51"/>
  <c r="AP51" i="51"/>
  <c r="AP47" i="51"/>
  <c r="AP43" i="51"/>
  <c r="AP39" i="51"/>
  <c r="AP37" i="51"/>
  <c r="AP32" i="51"/>
  <c r="AP28" i="51"/>
  <c r="AO22" i="51"/>
  <c r="AO18" i="51"/>
  <c r="AO14" i="51"/>
  <c r="AP8" i="51"/>
  <c r="AN24" i="51"/>
  <c r="AN18" i="51"/>
  <c r="AP12" i="51"/>
  <c r="AP6" i="51"/>
  <c r="AN6" i="51"/>
  <c r="AP219" i="51" l="1"/>
  <c r="AO219" i="51"/>
  <c r="AP227" i="51"/>
  <c r="AO227" i="51"/>
  <c r="AO147" i="51"/>
  <c r="AP147" i="51"/>
  <c r="AO155" i="51"/>
  <c r="AP155" i="51"/>
  <c r="AO259" i="51"/>
  <c r="AP259" i="51"/>
  <c r="AN162" i="51"/>
  <c r="AO162" i="51"/>
  <c r="AN170" i="51"/>
  <c r="AO170" i="51"/>
  <c r="AN186" i="51"/>
  <c r="AO186" i="51"/>
  <c r="AP235" i="51"/>
  <c r="AO235" i="51"/>
  <c r="AP243" i="51"/>
  <c r="AO243" i="51"/>
  <c r="AO296" i="51"/>
  <c r="AN296" i="51"/>
  <c r="AO292" i="51"/>
  <c r="AN292" i="51"/>
  <c r="AP315" i="51"/>
  <c r="AN315" i="51"/>
  <c r="AO304" i="51"/>
  <c r="AN304" i="51"/>
  <c r="AP313" i="51"/>
  <c r="AN313" i="51"/>
  <c r="AO288" i="51"/>
  <c r="AN288" i="51"/>
  <c r="AO343" i="51"/>
  <c r="AP343" i="51"/>
  <c r="AP323" i="51"/>
  <c r="AN323" i="51"/>
  <c r="AN334" i="51"/>
  <c r="AO334" i="51"/>
  <c r="AO351" i="51"/>
  <c r="AP351" i="51"/>
  <c r="AP187" i="51"/>
  <c r="AP203" i="51"/>
  <c r="AN178" i="51"/>
  <c r="AP261" i="51"/>
  <c r="AN289" i="51"/>
  <c r="AN291" i="51"/>
  <c r="AO312" i="51"/>
  <c r="AP344" i="51"/>
  <c r="AP266" i="51"/>
  <c r="AP274" i="51"/>
  <c r="AO294" i="51"/>
  <c r="AN310" i="51"/>
  <c r="AN312" i="51"/>
  <c r="AN318" i="51"/>
  <c r="AN263" i="51"/>
  <c r="AP310" i="51"/>
  <c r="AP318" i="51"/>
  <c r="AP334" i="51"/>
  <c r="AP336" i="51"/>
  <c r="AO344" i="51"/>
  <c r="AO348" i="51"/>
  <c r="AO9" i="51"/>
  <c r="AP9" i="51"/>
  <c r="AN5" i="51"/>
  <c r="AN157" i="51"/>
  <c r="AN159" i="51"/>
  <c r="AN171" i="51"/>
  <c r="AN179" i="51"/>
  <c r="AN326" i="51"/>
  <c r="AN270" i="51"/>
  <c r="AN264" i="51"/>
  <c r="AQ10" i="51"/>
  <c r="AO358" i="51"/>
  <c r="AP358" i="51"/>
  <c r="AO5" i="51"/>
  <c r="AP5" i="51"/>
  <c r="AN63" i="51"/>
  <c r="AN61" i="51"/>
  <c r="AN72" i="51"/>
  <c r="AN17" i="51"/>
  <c r="AN102" i="51"/>
  <c r="AN110" i="51"/>
  <c r="AN92" i="51"/>
  <c r="AN94" i="51"/>
  <c r="AN68" i="51"/>
  <c r="AN29" i="51"/>
  <c r="AN21" i="51"/>
  <c r="AN98" i="51"/>
  <c r="AN106" i="51"/>
  <c r="AN114" i="51"/>
  <c r="AN78" i="51"/>
  <c r="AN80" i="51"/>
  <c r="AN86" i="51"/>
  <c r="AN88" i="51"/>
  <c r="AN74" i="51"/>
  <c r="AN19" i="51"/>
  <c r="AN100" i="51"/>
  <c r="AN108" i="51"/>
  <c r="AN116" i="51"/>
  <c r="AN82" i="51"/>
  <c r="AN70" i="51"/>
  <c r="AN66" i="51"/>
  <c r="AN96" i="51"/>
  <c r="AN84" i="51"/>
  <c r="K371" i="51" l="1"/>
  <c r="K373" i="51" s="1"/>
  <c r="F377" i="51" s="1"/>
  <c r="G27" i="55"/>
  <c r="W34" i="53" l="1"/>
  <c r="W32" i="53" s="1"/>
  <c r="P27" i="27" s="1"/>
  <c r="I378" i="51"/>
  <c r="P23" i="27" s="1"/>
  <c r="W33" i="53" l="1"/>
  <c r="K23" i="27"/>
  <c r="R19" i="35"/>
  <c r="P18" i="27"/>
  <c r="P38" i="27" s="1"/>
  <c r="J27" i="23" l="1"/>
  <c r="J30" i="23" s="1"/>
  <c r="R23" i="35"/>
  <c r="K27" i="27"/>
  <c r="R14" i="35" l="1"/>
  <c r="R38" i="35" s="1"/>
  <c r="R71" i="35" s="1"/>
  <c r="K18" i="27"/>
  <c r="K38" i="27" s="1"/>
  <c r="E2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40B7DDE9-7B32-4C1A-9278-151A02591BDB}">
      <text>
        <r>
          <rPr>
            <b/>
            <sz val="9"/>
            <color indexed="81"/>
            <rFont val="ＭＳ Ｐゴシック"/>
            <family val="3"/>
            <charset val="128"/>
          </rPr>
          <t>数字を入力</t>
        </r>
      </text>
    </comment>
    <comment ref="K7" authorId="0" shapeId="0" xr:uid="{6CE2CD8E-C54D-4762-9139-0FDD01F183A2}">
      <text>
        <r>
          <rPr>
            <b/>
            <sz val="9"/>
            <color indexed="81"/>
            <rFont val="ＭＳ Ｐゴシック"/>
            <family val="3"/>
            <charset val="128"/>
          </rPr>
          <t>リストから選択</t>
        </r>
      </text>
    </comment>
    <comment ref="L7" authorId="0" shapeId="0" xr:uid="{26F03183-B095-4E14-B049-526D44DE4553}">
      <text>
        <r>
          <rPr>
            <b/>
            <sz val="9"/>
            <color indexed="81"/>
            <rFont val="ＭＳ Ｐゴシック"/>
            <family val="3"/>
            <charset val="128"/>
          </rPr>
          <t>リストから選択</t>
        </r>
      </text>
    </comment>
    <comment ref="M7" authorId="0" shapeId="0" xr:uid="{44F73D16-9531-4B41-A30A-D43079F6A116}">
      <text>
        <r>
          <rPr>
            <b/>
            <sz val="9"/>
            <color indexed="81"/>
            <rFont val="ＭＳ Ｐゴシック"/>
            <family val="3"/>
            <charset val="128"/>
          </rPr>
          <t>リストから選択</t>
        </r>
      </text>
    </comment>
    <comment ref="N7" authorId="0" shapeId="0" xr:uid="{B31263A5-39E3-434A-80F0-EB84B57BE9FA}">
      <text>
        <r>
          <rPr>
            <b/>
            <sz val="9"/>
            <color indexed="81"/>
            <rFont val="ＭＳ Ｐゴシック"/>
            <family val="3"/>
            <charset val="128"/>
          </rPr>
          <t>リストから選択</t>
        </r>
      </text>
    </comment>
    <comment ref="O7" authorId="0" shapeId="0" xr:uid="{F0C5EDB9-75AB-48BE-B903-594F3F71432F}">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<sst xmlns="http://schemas.openxmlformats.org/spreadsheetml/2006/main" count="5005" uniqueCount="780">
  <si>
    <t>円</t>
    <rPh sb="0" eb="1">
      <t>エン</t>
    </rPh>
    <phoneticPr fontId="1"/>
  </si>
  <si>
    <t>団体名</t>
    <rPh sb="0" eb="2">
      <t>ダンタイ</t>
    </rPh>
    <rPh sb="2" eb="3">
      <t>メイ</t>
    </rPh>
    <phoneticPr fontId="1"/>
  </si>
  <si>
    <t>円</t>
    <rPh sb="0" eb="1">
      <t>エン</t>
    </rPh>
    <phoneticPr fontId="1"/>
  </si>
  <si>
    <t>団体名</t>
    <rPh sb="0" eb="2">
      <t>ダンタイ</t>
    </rPh>
    <rPh sb="2" eb="3">
      <t>メイ</t>
    </rPh>
    <phoneticPr fontId="1"/>
  </si>
  <si>
    <t>Ｎｏ</t>
    <phoneticPr fontId="1"/>
  </si>
  <si>
    <t>児童氏名</t>
    <rPh sb="0" eb="2">
      <t>ジドウ</t>
    </rPh>
    <rPh sb="2" eb="4">
      <t>シメイ</t>
    </rPh>
    <phoneticPr fontId="1"/>
  </si>
  <si>
    <t>学年</t>
    <rPh sb="0" eb="2">
      <t>ガクネン</t>
    </rPh>
    <phoneticPr fontId="1"/>
  </si>
  <si>
    <t>①</t>
    <phoneticPr fontId="1"/>
  </si>
  <si>
    <t>②</t>
    <phoneticPr fontId="1"/>
  </si>
  <si>
    <t>クラブ児童数</t>
    <rPh sb="3" eb="5">
      <t>ジドウ</t>
    </rPh>
    <rPh sb="5" eb="6">
      <t>スウ</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</si>
  <si>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</si>
  <si>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</si>
  <si>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</si>
  <si>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</si>
  <si>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</si>
  <si>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</si>
  <si>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</si>
  <si>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</si>
  <si>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</si>
  <si>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</si>
  <si>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</si>
  <si>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</si>
  <si>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</si>
  <si>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開所日数</t>
    <rPh sb="0" eb="2">
      <t>カイショ</t>
    </rPh>
    <rPh sb="2" eb="4">
      <t>ニッスウ</t>
    </rPh>
    <phoneticPr fontId="1"/>
  </si>
  <si>
    <t>平日</t>
    <rPh sb="0" eb="2">
      <t>ヘイジツ</t>
    </rPh>
    <phoneticPr fontId="1"/>
  </si>
  <si>
    <t>開所時間</t>
    <rPh sb="0" eb="2">
      <t>カイショ</t>
    </rPh>
    <rPh sb="2" eb="4">
      <t>ジカン</t>
    </rPh>
    <phoneticPr fontId="1"/>
  </si>
  <si>
    <t>日</t>
    <rPh sb="0" eb="1">
      <t>ニチ</t>
    </rPh>
    <phoneticPr fontId="1"/>
  </si>
  <si>
    <t>開所日数加算</t>
    <rPh sb="0" eb="2">
      <t>カイショ</t>
    </rPh>
    <rPh sb="2" eb="4">
      <t>ニッスウ</t>
    </rPh>
    <rPh sb="4" eb="6">
      <t>カサン</t>
    </rPh>
    <phoneticPr fontId="1"/>
  </si>
  <si>
    <t>補助項目</t>
    <rPh sb="0" eb="2">
      <t>ホジョ</t>
    </rPh>
    <rPh sb="2" eb="4">
      <t>コウモク</t>
    </rPh>
    <phoneticPr fontId="1"/>
  </si>
  <si>
    <t>備考</t>
    <rPh sb="0" eb="2">
      <t>ビコウ</t>
    </rPh>
    <phoneticPr fontId="1"/>
  </si>
  <si>
    <t>基本額</t>
    <rPh sb="0" eb="2">
      <t>キホン</t>
    </rPh>
    <rPh sb="2" eb="3">
      <t>ガク</t>
    </rPh>
    <phoneticPr fontId="1"/>
  </si>
  <si>
    <t>小規模放課後児童クラブ支援加算</t>
    <rPh sb="0" eb="3">
      <t>ショウキボ</t>
    </rPh>
    <rPh sb="3" eb="6">
      <t>ホウカゴ</t>
    </rPh>
    <rPh sb="6" eb="8">
      <t>ジドウ</t>
    </rPh>
    <rPh sb="11" eb="13">
      <t>シエン</t>
    </rPh>
    <rPh sb="13" eb="15">
      <t>カサン</t>
    </rPh>
    <phoneticPr fontId="1"/>
  </si>
  <si>
    <t>長時間開所加算（平日分）</t>
    <rPh sb="0" eb="3">
      <t>チョウジカン</t>
    </rPh>
    <rPh sb="3" eb="5">
      <t>カイショ</t>
    </rPh>
    <rPh sb="5" eb="7">
      <t>カサン</t>
    </rPh>
    <rPh sb="8" eb="10">
      <t>ヘイジツ</t>
    </rPh>
    <rPh sb="10" eb="11">
      <t>ブン</t>
    </rPh>
    <phoneticPr fontId="1"/>
  </si>
  <si>
    <t>長時間開所加算（長期休暇等分）</t>
    <rPh sb="0" eb="3">
      <t>チョウジカン</t>
    </rPh>
    <rPh sb="3" eb="5">
      <t>カイショ</t>
    </rPh>
    <rPh sb="5" eb="7">
      <t>カサン</t>
    </rPh>
    <rPh sb="8" eb="10">
      <t>チョウキ</t>
    </rPh>
    <rPh sb="10" eb="12">
      <t>キュウカ</t>
    </rPh>
    <rPh sb="12" eb="14">
      <t>トウブン</t>
    </rPh>
    <phoneticPr fontId="1"/>
  </si>
  <si>
    <t>障害児受入加算</t>
    <rPh sb="0" eb="3">
      <t>ショウガイジ</t>
    </rPh>
    <rPh sb="3" eb="5">
      <t>ウケイレ</t>
    </rPh>
    <rPh sb="5" eb="7">
      <t>カサン</t>
    </rPh>
    <phoneticPr fontId="1"/>
  </si>
  <si>
    <t>障害児受入特別加算</t>
    <rPh sb="0" eb="3">
      <t>ショウガイジ</t>
    </rPh>
    <rPh sb="3" eb="5">
      <t>ウケイレ</t>
    </rPh>
    <rPh sb="5" eb="7">
      <t>トクベツ</t>
    </rPh>
    <rPh sb="7" eb="9">
      <t>カサン</t>
    </rPh>
    <phoneticPr fontId="1"/>
  </si>
  <si>
    <t>障害児受入強化加算</t>
    <rPh sb="0" eb="3">
      <t>ショウガイジ</t>
    </rPh>
    <rPh sb="3" eb="5">
      <t>ウケイレ</t>
    </rPh>
    <rPh sb="5" eb="7">
      <t>キョウカ</t>
    </rPh>
    <rPh sb="7" eb="9">
      <t>カサン</t>
    </rPh>
    <phoneticPr fontId="1"/>
  </si>
  <si>
    <t>放課後児童支援員等研修受講費</t>
    <rPh sb="0" eb="3">
      <t>ホウカゴ</t>
    </rPh>
    <rPh sb="3" eb="5">
      <t>ジドウ</t>
    </rPh>
    <rPh sb="5" eb="7">
      <t>シエン</t>
    </rPh>
    <rPh sb="7" eb="9">
      <t>イントウ</t>
    </rPh>
    <rPh sb="9" eb="11">
      <t>ケンシュウ</t>
    </rPh>
    <rPh sb="11" eb="13">
      <t>ジュコウ</t>
    </rPh>
    <rPh sb="13" eb="14">
      <t>ヒ</t>
    </rPh>
    <phoneticPr fontId="1"/>
  </si>
  <si>
    <t>交付済額（Ｂ）</t>
    <rPh sb="0" eb="2">
      <t>コウフ</t>
    </rPh>
    <rPh sb="2" eb="3">
      <t>ズミ</t>
    </rPh>
    <rPh sb="3" eb="4">
      <t>ガク</t>
    </rPh>
    <phoneticPr fontId="1"/>
  </si>
  <si>
    <t>学校</t>
    <rPh sb="0" eb="2">
      <t>ガッコウ</t>
    </rPh>
    <phoneticPr fontId="1"/>
  </si>
  <si>
    <t>住所</t>
    <rPh sb="0" eb="2">
      <t>ジュウショ</t>
    </rPh>
    <phoneticPr fontId="1"/>
  </si>
  <si>
    <t>障害児</t>
    <rPh sb="0" eb="3">
      <t>ショウガイジ</t>
    </rPh>
    <phoneticPr fontId="1"/>
  </si>
  <si>
    <t>保護者氏名</t>
    <rPh sb="0" eb="3">
      <t>ホゴシャ</t>
    </rPh>
    <rPh sb="3" eb="5">
      <t>シメイ</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</si>
  <si>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</si>
  <si>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</si>
  <si>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</si>
  <si>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</si>
  <si>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</si>
  <si>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</si>
  <si>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入所・退所</t>
    <rPh sb="0" eb="2">
      <t>ニュウショ</t>
    </rPh>
    <rPh sb="3" eb="5">
      <t>タイショ</t>
    </rPh>
    <phoneticPr fontId="1"/>
  </si>
  <si>
    <t>入所・継続</t>
    <rPh sb="0" eb="2">
      <t>ニュウショ</t>
    </rPh>
    <rPh sb="3" eb="5">
      <t>ケイゾク</t>
    </rPh>
    <phoneticPr fontId="1"/>
  </si>
  <si>
    <t>継続</t>
    <rPh sb="0" eb="2">
      <t>ケイゾク</t>
    </rPh>
    <phoneticPr fontId="1"/>
  </si>
  <si>
    <t>継続・退所</t>
    <rPh sb="0" eb="2">
      <t>ケイゾク</t>
    </rPh>
    <rPh sb="3" eb="5">
      <t>タイショ</t>
    </rPh>
    <phoneticPr fontId="1"/>
  </si>
  <si>
    <t>※児童数により適宜行を追加してください。</t>
    <rPh sb="1" eb="3">
      <t>ジドウ</t>
    </rPh>
    <rPh sb="3" eb="4">
      <t>スウ</t>
    </rPh>
    <rPh sb="7" eb="9">
      <t>テキギ</t>
    </rPh>
    <rPh sb="9" eb="10">
      <t>ギョウ</t>
    </rPh>
    <rPh sb="11" eb="13">
      <t>ツイカ</t>
    </rPh>
    <phoneticPr fontId="1"/>
  </si>
  <si>
    <t>横須賀市長　様</t>
    <rPh sb="0" eb="5">
      <t>ヨコスカシチョウ</t>
    </rPh>
    <rPh sb="6" eb="7">
      <t>サマ</t>
    </rPh>
    <phoneticPr fontId="1"/>
  </si>
  <si>
    <t>請　求　書</t>
    <rPh sb="0" eb="1">
      <t>ショウ</t>
    </rPh>
    <rPh sb="2" eb="3">
      <t>モトム</t>
    </rPh>
    <rPh sb="4" eb="5">
      <t>ショ</t>
    </rPh>
    <phoneticPr fontId="1"/>
  </si>
  <si>
    <t>代表者氏名</t>
    <rPh sb="0" eb="3">
      <t>ダイヒョウシャ</t>
    </rPh>
    <rPh sb="3" eb="5">
      <t>シメイ</t>
    </rPh>
    <phoneticPr fontId="1"/>
  </si>
  <si>
    <t>申請者</t>
    <rPh sb="0" eb="3">
      <t>シンセイシャ</t>
    </rPh>
    <phoneticPr fontId="1"/>
  </si>
  <si>
    <t>次の金額を請求いたします。</t>
    <rPh sb="0" eb="1">
      <t>ツギ</t>
    </rPh>
    <rPh sb="2" eb="4">
      <t>キンガク</t>
    </rPh>
    <rPh sb="5" eb="7">
      <t>セイキュウ</t>
    </rPh>
    <phoneticPr fontId="1"/>
  </si>
  <si>
    <t>金額</t>
    <rPh sb="0" eb="2">
      <t>キンガク</t>
    </rPh>
    <phoneticPr fontId="1"/>
  </si>
  <si>
    <t>―――――――――――――――――――――――――――――――――――――――――――――</t>
    <phoneticPr fontId="1"/>
  </si>
  <si>
    <t>振込口座</t>
    <rPh sb="0" eb="2">
      <t>フリコミ</t>
    </rPh>
    <rPh sb="2" eb="4">
      <t>コウザ</t>
    </rPh>
    <phoneticPr fontId="1"/>
  </si>
  <si>
    <t>預金種目</t>
    <rPh sb="0" eb="2">
      <t>ヨキン</t>
    </rPh>
    <rPh sb="2" eb="4">
      <t>シュモク</t>
    </rPh>
    <phoneticPr fontId="1"/>
  </si>
  <si>
    <t>口座番号　※右詰で７ケタ全て（ゼロも）記載してください</t>
    <rPh sb="0" eb="2">
      <t>コウザ</t>
    </rPh>
    <rPh sb="2" eb="4">
      <t>バンゴウ</t>
    </rPh>
    <rPh sb="6" eb="8">
      <t>ミギヅメ</t>
    </rPh>
    <rPh sb="12" eb="13">
      <t>スベ</t>
    </rPh>
    <rPh sb="19" eb="21">
      <t>キサイ</t>
    </rPh>
    <phoneticPr fontId="1"/>
  </si>
  <si>
    <t>口座名義</t>
    <rPh sb="0" eb="2">
      <t>コウザ</t>
    </rPh>
    <rPh sb="2" eb="4">
      <t>メイギ</t>
    </rPh>
    <phoneticPr fontId="1"/>
  </si>
  <si>
    <t>金融機関コード</t>
    <rPh sb="0" eb="2">
      <t>キンユウ</t>
    </rPh>
    <rPh sb="2" eb="4">
      <t>キカン</t>
    </rPh>
    <phoneticPr fontId="1"/>
  </si>
  <si>
    <t>支店コード</t>
    <rPh sb="0" eb="2">
      <t>シテン</t>
    </rPh>
    <phoneticPr fontId="1"/>
  </si>
  <si>
    <t>フリガナ</t>
    <phoneticPr fontId="1"/>
  </si>
  <si>
    <t>コード</t>
    <phoneticPr fontId="1"/>
  </si>
  <si>
    <t>実　績　報　告　書</t>
    <rPh sb="0" eb="1">
      <t>ミ</t>
    </rPh>
    <rPh sb="2" eb="3">
      <t>イサオ</t>
    </rPh>
    <rPh sb="4" eb="5">
      <t>ホウ</t>
    </rPh>
    <rPh sb="6" eb="7">
      <t>コク</t>
    </rPh>
    <rPh sb="8" eb="9">
      <t>ショ</t>
    </rPh>
    <phoneticPr fontId="1"/>
  </si>
  <si>
    <t>（あて先）　　横須賀市長</t>
    <rPh sb="3" eb="4">
      <t>サキ</t>
    </rPh>
    <rPh sb="7" eb="12">
      <t>ヨコスカシチョウ</t>
    </rPh>
    <phoneticPr fontId="1"/>
  </si>
  <si>
    <t>申請者住所</t>
    <rPh sb="0" eb="3">
      <t>シンセイシャ</t>
    </rPh>
    <rPh sb="3" eb="5">
      <t>ジュウショ</t>
    </rPh>
    <phoneticPr fontId="1"/>
  </si>
  <si>
    <t>補助金事業等の名称</t>
    <rPh sb="0" eb="3">
      <t>ホジョキン</t>
    </rPh>
    <rPh sb="3" eb="6">
      <t>ジギョウトウ</t>
    </rPh>
    <rPh sb="7" eb="9">
      <t>メイショウ</t>
    </rPh>
    <phoneticPr fontId="1"/>
  </si>
  <si>
    <t>交付決定額</t>
    <rPh sb="0" eb="2">
      <t>コウフ</t>
    </rPh>
    <rPh sb="2" eb="4">
      <t>ケッテイ</t>
    </rPh>
    <rPh sb="4" eb="5">
      <t>ガク</t>
    </rPh>
    <phoneticPr fontId="1"/>
  </si>
  <si>
    <t>精算額</t>
    <rPh sb="0" eb="3">
      <t>セイサンガク</t>
    </rPh>
    <phoneticPr fontId="1"/>
  </si>
  <si>
    <t>補助事業完了年月日</t>
    <rPh sb="0" eb="2">
      <t>ホジョ</t>
    </rPh>
    <rPh sb="2" eb="4">
      <t>ジギョウ</t>
    </rPh>
    <rPh sb="4" eb="6">
      <t>カンリョウ</t>
    </rPh>
    <rPh sb="6" eb="9">
      <t>ネンガッピ</t>
    </rPh>
    <phoneticPr fontId="1"/>
  </si>
  <si>
    <t>精算に係る収支明細書</t>
    <rPh sb="0" eb="2">
      <t>セイサン</t>
    </rPh>
    <rPh sb="3" eb="4">
      <t>カカ</t>
    </rPh>
    <rPh sb="5" eb="7">
      <t>シュウシ</t>
    </rPh>
    <rPh sb="7" eb="10">
      <t>メイサイショ</t>
    </rPh>
    <phoneticPr fontId="1"/>
  </si>
  <si>
    <t>添付書類</t>
    <rPh sb="0" eb="2">
      <t>テンプ</t>
    </rPh>
    <rPh sb="2" eb="4">
      <t>ショルイ</t>
    </rPh>
    <phoneticPr fontId="1"/>
  </si>
  <si>
    <t>（事務処理欄）</t>
    <rPh sb="1" eb="3">
      <t>ジム</t>
    </rPh>
    <rPh sb="3" eb="5">
      <t>ショリ</t>
    </rPh>
    <rPh sb="5" eb="6">
      <t>ラン</t>
    </rPh>
    <phoneticPr fontId="1"/>
  </si>
  <si>
    <t>別紙決算書のとおり</t>
    <rPh sb="0" eb="2">
      <t>ベッシ</t>
    </rPh>
    <rPh sb="2" eb="5">
      <t>ケッサンショ</t>
    </rPh>
    <phoneticPr fontId="1"/>
  </si>
  <si>
    <t>月</t>
    <rPh sb="0" eb="1">
      <t>ツキ</t>
    </rPh>
    <phoneticPr fontId="1"/>
  </si>
  <si>
    <t>会議・行事名</t>
    <rPh sb="0" eb="2">
      <t>カイギ</t>
    </rPh>
    <rPh sb="3" eb="5">
      <t>ギョウジ</t>
    </rPh>
    <rPh sb="5" eb="6">
      <t>メイ</t>
    </rPh>
    <phoneticPr fontId="1"/>
  </si>
  <si>
    <t>内容</t>
    <rPh sb="0" eb="2">
      <t>ナイヨウ</t>
    </rPh>
    <phoneticPr fontId="1"/>
  </si>
  <si>
    <t>年度 積立金等現在高報告書</t>
    <rPh sb="0" eb="2">
      <t>ネンド</t>
    </rPh>
    <rPh sb="3" eb="6">
      <t>ツミタテキン</t>
    </rPh>
    <rPh sb="6" eb="7">
      <t>トウ</t>
    </rPh>
    <rPh sb="7" eb="10">
      <t>ゲンザイダカ</t>
    </rPh>
    <rPh sb="10" eb="13">
      <t>ホウコクショ</t>
    </rPh>
    <phoneticPr fontId="15"/>
  </si>
  <si>
    <t>団体名</t>
    <phoneticPr fontId="15"/>
  </si>
  <si>
    <t>（単位：円）</t>
    <rPh sb="1" eb="3">
      <t>タンイ</t>
    </rPh>
    <rPh sb="4" eb="5">
      <t>エン</t>
    </rPh>
    <phoneticPr fontId="15"/>
  </si>
  <si>
    <t>現    在    高</t>
    <rPh sb="0" eb="11">
      <t>ゲンザイダカ</t>
    </rPh>
    <phoneticPr fontId="15"/>
  </si>
  <si>
    <t>預   金   利   子</t>
    <rPh sb="0" eb="13">
      <t>ヨキンリシ</t>
    </rPh>
    <phoneticPr fontId="15"/>
  </si>
  <si>
    <t xml:space="preserve">   上記のとおり報告します。</t>
    <rPh sb="3" eb="5">
      <t>ジョウキ</t>
    </rPh>
    <rPh sb="9" eb="11">
      <t>ホウコク</t>
    </rPh>
    <phoneticPr fontId="15"/>
  </si>
  <si>
    <t>　</t>
    <phoneticPr fontId="15"/>
  </si>
  <si>
    <t>　積立の目的</t>
    <rPh sb="1" eb="3">
      <t>ツミタテ</t>
    </rPh>
    <rPh sb="4" eb="6">
      <t>モクテキ</t>
    </rPh>
    <phoneticPr fontId="15"/>
  </si>
  <si>
    <t>事業計画変更申請書</t>
    <rPh sb="0" eb="2">
      <t>ジギョウ</t>
    </rPh>
    <rPh sb="2" eb="4">
      <t>ケイカク</t>
    </rPh>
    <rPh sb="4" eb="6">
      <t>ヘンコウ</t>
    </rPh>
    <rPh sb="6" eb="9">
      <t>シンセイショ</t>
    </rPh>
    <phoneticPr fontId="1"/>
  </si>
  <si>
    <t>（あて先）　横須賀市長</t>
    <rPh sb="3" eb="4">
      <t>サキ</t>
    </rPh>
    <rPh sb="6" eb="11">
      <t>ヨコスカシチョウ</t>
    </rPh>
    <phoneticPr fontId="1"/>
  </si>
  <si>
    <t>補助金等の名称</t>
    <rPh sb="0" eb="4">
      <t>ホジョキントウ</t>
    </rPh>
    <rPh sb="5" eb="7">
      <t>メイショウ</t>
    </rPh>
    <phoneticPr fontId="1"/>
  </si>
  <si>
    <t>補助事業等の名称</t>
    <rPh sb="0" eb="2">
      <t>ホジョ</t>
    </rPh>
    <rPh sb="2" eb="5">
      <t>ジギョウトウ</t>
    </rPh>
    <rPh sb="6" eb="8">
      <t>メイショウ</t>
    </rPh>
    <phoneticPr fontId="1"/>
  </si>
  <si>
    <t>小規模放課後児童クラブ支援加算</t>
    <rPh sb="0" eb="1">
      <t>ショウ</t>
    </rPh>
    <rPh sb="1" eb="3">
      <t>キボ</t>
    </rPh>
    <rPh sb="3" eb="6">
      <t>ホウカゴ</t>
    </rPh>
    <rPh sb="6" eb="8">
      <t>ジドウ</t>
    </rPh>
    <rPh sb="11" eb="13">
      <t>シエン</t>
    </rPh>
    <rPh sb="13" eb="15">
      <t>カサン</t>
    </rPh>
    <phoneticPr fontId="1"/>
  </si>
  <si>
    <t>家賃補助</t>
    <rPh sb="0" eb="2">
      <t>ヤチン</t>
    </rPh>
    <rPh sb="2" eb="4">
      <t>ホジョ</t>
    </rPh>
    <phoneticPr fontId="1"/>
  </si>
  <si>
    <t>ひとり親世帯利用料割引加算</t>
    <rPh sb="3" eb="4">
      <t>オヤ</t>
    </rPh>
    <rPh sb="4" eb="6">
      <t>セタイ</t>
    </rPh>
    <rPh sb="6" eb="9">
      <t>リヨウリョウ</t>
    </rPh>
    <rPh sb="9" eb="11">
      <t>ワリビキ</t>
    </rPh>
    <rPh sb="11" eb="13">
      <t>カサン</t>
    </rPh>
    <phoneticPr fontId="1"/>
  </si>
  <si>
    <t>変更年月日</t>
    <rPh sb="0" eb="2">
      <t>ヘンコウ</t>
    </rPh>
    <rPh sb="2" eb="5">
      <t>ネンガッピ</t>
    </rPh>
    <phoneticPr fontId="1"/>
  </si>
  <si>
    <t>変更の理由</t>
    <rPh sb="0" eb="2">
      <t>ヘンコウ</t>
    </rPh>
    <rPh sb="3" eb="5">
      <t>リユウ</t>
    </rPh>
    <phoneticPr fontId="1"/>
  </si>
  <si>
    <t>開所日数250日以上</t>
    <rPh sb="0" eb="2">
      <t>カイショ</t>
    </rPh>
    <rPh sb="2" eb="4">
      <t>ニッスウ</t>
    </rPh>
    <rPh sb="7" eb="8">
      <t>ニチ</t>
    </rPh>
    <rPh sb="8" eb="10">
      <t>イジョウ</t>
    </rPh>
    <phoneticPr fontId="1"/>
  </si>
  <si>
    <t>要件</t>
    <rPh sb="0" eb="2">
      <t>ヨウケン</t>
    </rPh>
    <phoneticPr fontId="1"/>
  </si>
  <si>
    <t>計算式</t>
    <rPh sb="0" eb="2">
      <t>ケイサン</t>
    </rPh>
    <rPh sb="2" eb="3">
      <t>シキ</t>
    </rPh>
    <phoneticPr fontId="1"/>
  </si>
  <si>
    <t>１日８時間以上開所するクラブ</t>
    <rPh sb="1" eb="2">
      <t>ニチ</t>
    </rPh>
    <rPh sb="3" eb="5">
      <t>ジカン</t>
    </rPh>
    <rPh sb="5" eb="7">
      <t>イジョウ</t>
    </rPh>
    <rPh sb="7" eb="9">
      <t>カイショ</t>
    </rPh>
    <phoneticPr fontId="1"/>
  </si>
  <si>
    <t>対象研修に参加</t>
    <rPh sb="0" eb="2">
      <t>タイショウ</t>
    </rPh>
    <rPh sb="2" eb="4">
      <t>ケンシュウ</t>
    </rPh>
    <rPh sb="5" eb="7">
      <t>サンカ</t>
    </rPh>
    <phoneticPr fontId="1"/>
  </si>
  <si>
    <t>ひとり親世帯の利用料割引をしているクラブ</t>
    <rPh sb="3" eb="4">
      <t>オヤ</t>
    </rPh>
    <rPh sb="4" eb="6">
      <t>セタイ</t>
    </rPh>
    <rPh sb="7" eb="10">
      <t>リヨウリョウ</t>
    </rPh>
    <rPh sb="10" eb="12">
      <t>ワリビキ</t>
    </rPh>
    <phoneticPr fontId="1"/>
  </si>
  <si>
    <t>児童数20人～35人</t>
    <rPh sb="0" eb="2">
      <t>ジドウ</t>
    </rPh>
    <rPh sb="2" eb="3">
      <t>スウ</t>
    </rPh>
    <rPh sb="5" eb="6">
      <t>ニン</t>
    </rPh>
    <rPh sb="9" eb="10">
      <t>ニン</t>
    </rPh>
    <phoneticPr fontId="1"/>
  </si>
  <si>
    <t>児童数36人～45人</t>
    <rPh sb="0" eb="2">
      <t>ジドウ</t>
    </rPh>
    <rPh sb="2" eb="3">
      <t>スウ</t>
    </rPh>
    <rPh sb="5" eb="6">
      <t>ニン</t>
    </rPh>
    <rPh sb="9" eb="10">
      <t>ニン</t>
    </rPh>
    <phoneticPr fontId="1"/>
  </si>
  <si>
    <t>児童数46人～70人</t>
    <rPh sb="0" eb="2">
      <t>ジドウ</t>
    </rPh>
    <rPh sb="2" eb="3">
      <t>スウ</t>
    </rPh>
    <rPh sb="5" eb="6">
      <t>ニン</t>
    </rPh>
    <rPh sb="9" eb="10">
      <t>ニン</t>
    </rPh>
    <phoneticPr fontId="1"/>
  </si>
  <si>
    <t>開所日数200日～249日</t>
    <rPh sb="0" eb="2">
      <t>カイショ</t>
    </rPh>
    <rPh sb="2" eb="4">
      <t>ニッスウ</t>
    </rPh>
    <rPh sb="7" eb="8">
      <t>ニチ</t>
    </rPh>
    <rPh sb="12" eb="13">
      <t>ニチ</t>
    </rPh>
    <phoneticPr fontId="1"/>
  </si>
  <si>
    <t>児童数20人～</t>
    <rPh sb="0" eb="2">
      <t>ジドウ</t>
    </rPh>
    <rPh sb="2" eb="3">
      <t>スウ</t>
    </rPh>
    <rPh sb="5" eb="6">
      <t>ニン</t>
    </rPh>
    <phoneticPr fontId="1"/>
  </si>
  <si>
    <t>年間在籍児童</t>
    <rPh sb="0" eb="2">
      <t>ネンカン</t>
    </rPh>
    <rPh sb="2" eb="4">
      <t>ザイセキ</t>
    </rPh>
    <rPh sb="4" eb="6">
      <t>ジドウ</t>
    </rPh>
    <phoneticPr fontId="1"/>
  </si>
  <si>
    <t>最終決定額（Ａ）</t>
    <rPh sb="0" eb="2">
      <t>サイシュウ</t>
    </rPh>
    <rPh sb="2" eb="4">
      <t>ケッテイ</t>
    </rPh>
    <rPh sb="4" eb="5">
      <t>ガク</t>
    </rPh>
    <phoneticPr fontId="1"/>
  </si>
  <si>
    <t>チェックシート１</t>
    <phoneticPr fontId="1"/>
  </si>
  <si>
    <t>変更交付申請・実績報告（一部）用</t>
    <rPh sb="0" eb="2">
      <t>ヘンコウ</t>
    </rPh>
    <rPh sb="2" eb="4">
      <t>コウフ</t>
    </rPh>
    <rPh sb="4" eb="6">
      <t>シンセイ</t>
    </rPh>
    <rPh sb="7" eb="9">
      <t>ジッセキ</t>
    </rPh>
    <rPh sb="9" eb="11">
      <t>ホウコク</t>
    </rPh>
    <rPh sb="12" eb="14">
      <t>イチブ</t>
    </rPh>
    <rPh sb="15" eb="16">
      <t>ヨウ</t>
    </rPh>
    <phoneticPr fontId="1"/>
  </si>
  <si>
    <t>提出書類</t>
    <rPh sb="0" eb="2">
      <t>テイシュツ</t>
    </rPh>
    <rPh sb="2" eb="4">
      <t>ショルイ</t>
    </rPh>
    <phoneticPr fontId="1"/>
  </si>
  <si>
    <t>提出日</t>
    <rPh sb="0" eb="2">
      <t>テイシュツ</t>
    </rPh>
    <rPh sb="2" eb="3">
      <t>ビ</t>
    </rPh>
    <phoneticPr fontId="1"/>
  </si>
  <si>
    <t>本申請に係る担当者</t>
    <rPh sb="0" eb="1">
      <t>ホン</t>
    </rPh>
    <rPh sb="1" eb="3">
      <t>シンセイ</t>
    </rPh>
    <rPh sb="4" eb="5">
      <t>カカ</t>
    </rPh>
    <rPh sb="6" eb="9">
      <t>タントウシャ</t>
    </rPh>
    <phoneticPr fontId="1"/>
  </si>
  <si>
    <t>連絡先</t>
    <rPh sb="0" eb="3">
      <t>レンラクサキ</t>
    </rPh>
    <phoneticPr fontId="1"/>
  </si>
  <si>
    <t>役職・氏名</t>
    <rPh sb="0" eb="2">
      <t>ヤクショク</t>
    </rPh>
    <rPh sb="3" eb="5">
      <t>シメイ</t>
    </rPh>
    <phoneticPr fontId="1"/>
  </si>
  <si>
    <t>実績報告（残り）用</t>
    <rPh sb="0" eb="2">
      <t>ジッセキ</t>
    </rPh>
    <rPh sb="2" eb="4">
      <t>ホウコク</t>
    </rPh>
    <rPh sb="5" eb="6">
      <t>ノコ</t>
    </rPh>
    <rPh sb="8" eb="9">
      <t>ヨウ</t>
    </rPh>
    <phoneticPr fontId="1"/>
  </si>
  <si>
    <r>
      <t xml:space="preserve">備考
</t>
    </r>
    <r>
      <rPr>
        <sz val="10"/>
        <color theme="1"/>
        <rFont val="ＭＳ Ｐゴシック"/>
        <family val="3"/>
        <charset val="128"/>
        <scheme val="minor"/>
      </rPr>
      <t>（連絡に都合のいい時間等）</t>
    </r>
    <rPh sb="0" eb="2">
      <t>ビコウ</t>
    </rPh>
    <rPh sb="4" eb="6">
      <t>レンラク</t>
    </rPh>
    <rPh sb="7" eb="9">
      <t>ツゴウ</t>
    </rPh>
    <rPh sb="12" eb="15">
      <t>ジカントウ</t>
    </rPh>
    <phoneticPr fontId="1"/>
  </si>
  <si>
    <t>　　　銀行</t>
    <rPh sb="3" eb="5">
      <t>ギンコウ</t>
    </rPh>
    <phoneticPr fontId="1"/>
  </si>
  <si>
    <t>　　　信用金庫</t>
    <rPh sb="3" eb="5">
      <t>シンヨウ</t>
    </rPh>
    <rPh sb="5" eb="7">
      <t>キンコ</t>
    </rPh>
    <phoneticPr fontId="1"/>
  </si>
  <si>
    <t>　　　本店</t>
    <rPh sb="3" eb="5">
      <t>ホンテン</t>
    </rPh>
    <phoneticPr fontId="1"/>
  </si>
  <si>
    <t>　　　支店</t>
    <rPh sb="3" eb="5">
      <t>シテン</t>
    </rPh>
    <phoneticPr fontId="1"/>
  </si>
  <si>
    <t>　　　普通</t>
    <rPh sb="3" eb="5">
      <t>フツウ</t>
    </rPh>
    <phoneticPr fontId="1"/>
  </si>
  <si>
    <t>　　　当座</t>
    <rPh sb="3" eb="5">
      <t>トウザ</t>
    </rPh>
    <phoneticPr fontId="1"/>
  </si>
  <si>
    <t>　放課後児童クラブ助成事業</t>
    <rPh sb="1" eb="4">
      <t>ホウカゴ</t>
    </rPh>
    <rPh sb="4" eb="6">
      <t>ジドウ</t>
    </rPh>
    <rPh sb="9" eb="11">
      <t>ジョセイ</t>
    </rPh>
    <rPh sb="11" eb="13">
      <t>ジギョウ</t>
    </rPh>
    <phoneticPr fontId="1"/>
  </si>
  <si>
    <t>（役職）</t>
    <rPh sb="1" eb="3">
      <t>ヤクショク</t>
    </rPh>
    <phoneticPr fontId="1"/>
  </si>
  <si>
    <t>氏名</t>
    <rPh sb="0" eb="2">
      <t>シメイ</t>
    </rPh>
    <phoneticPr fontId="1"/>
  </si>
  <si>
    <t>放課後児童支援員等処遇改善等加算</t>
    <rPh sb="0" eb="3">
      <t>ホウカゴ</t>
    </rPh>
    <rPh sb="3" eb="5">
      <t>ジドウ</t>
    </rPh>
    <rPh sb="5" eb="7">
      <t>シエン</t>
    </rPh>
    <rPh sb="7" eb="8">
      <t>イン</t>
    </rPh>
    <rPh sb="8" eb="9">
      <t>トウ</t>
    </rPh>
    <rPh sb="9" eb="11">
      <t>ショグウ</t>
    </rPh>
    <rPh sb="11" eb="13">
      <t>カイゼン</t>
    </rPh>
    <rPh sb="13" eb="14">
      <t>トウ</t>
    </rPh>
    <rPh sb="14" eb="16">
      <t>カサン</t>
    </rPh>
    <phoneticPr fontId="1"/>
  </si>
  <si>
    <t>多子世帯利用料割引加算</t>
    <rPh sb="0" eb="2">
      <t>タシ</t>
    </rPh>
    <rPh sb="2" eb="4">
      <t>セタイ</t>
    </rPh>
    <rPh sb="4" eb="7">
      <t>リヨウリョウ</t>
    </rPh>
    <rPh sb="7" eb="9">
      <t>ワリビキ</t>
    </rPh>
    <rPh sb="9" eb="11">
      <t>カサン</t>
    </rPh>
    <phoneticPr fontId="1"/>
  </si>
  <si>
    <t>放課後児童支援員等研修受講費補助</t>
    <rPh sb="0" eb="3">
      <t>ホウカゴ</t>
    </rPh>
    <rPh sb="3" eb="5">
      <t>ジドウ</t>
    </rPh>
    <rPh sb="5" eb="7">
      <t>シエン</t>
    </rPh>
    <rPh sb="7" eb="8">
      <t>イン</t>
    </rPh>
    <rPh sb="8" eb="9">
      <t>トウ</t>
    </rPh>
    <rPh sb="9" eb="11">
      <t>ケンシュウ</t>
    </rPh>
    <rPh sb="11" eb="13">
      <t>ジュコウ</t>
    </rPh>
    <rPh sb="13" eb="14">
      <t>ヒ</t>
    </rPh>
    <rPh sb="14" eb="16">
      <t>ホジョ</t>
    </rPh>
    <phoneticPr fontId="1"/>
  </si>
  <si>
    <t>団体名</t>
    <rPh sb="0" eb="2">
      <t>ダンタイ</t>
    </rPh>
    <rPh sb="2" eb="3">
      <t>メイ</t>
    </rPh>
    <phoneticPr fontId="24"/>
  </si>
  <si>
    <t>１．収入</t>
    <rPh sb="2" eb="4">
      <t>シュウニュウ</t>
    </rPh>
    <phoneticPr fontId="24"/>
  </si>
  <si>
    <t>項目</t>
    <rPh sb="0" eb="2">
      <t>コウモク</t>
    </rPh>
    <phoneticPr fontId="24"/>
  </si>
  <si>
    <t>摘要</t>
    <rPh sb="0" eb="2">
      <t>テキヨウ</t>
    </rPh>
    <phoneticPr fontId="24"/>
  </si>
  <si>
    <t>会費</t>
    <rPh sb="0" eb="2">
      <t>カイヒ</t>
    </rPh>
    <phoneticPr fontId="24"/>
  </si>
  <si>
    <t>入会金</t>
    <rPh sb="0" eb="3">
      <t>ニュウカイキン</t>
    </rPh>
    <phoneticPr fontId="24"/>
  </si>
  <si>
    <t>利用料</t>
    <rPh sb="0" eb="3">
      <t>リヨウリョウ</t>
    </rPh>
    <phoneticPr fontId="24"/>
  </si>
  <si>
    <t>延長利用料</t>
    <rPh sb="0" eb="2">
      <t>エンチョウ</t>
    </rPh>
    <rPh sb="2" eb="5">
      <t>リヨウリョウ</t>
    </rPh>
    <phoneticPr fontId="24"/>
  </si>
  <si>
    <t>おやつ代</t>
    <rPh sb="3" eb="4">
      <t>ダイ</t>
    </rPh>
    <phoneticPr fontId="24"/>
  </si>
  <si>
    <t>その他</t>
    <rPh sb="2" eb="3">
      <t>タ</t>
    </rPh>
    <phoneticPr fontId="24"/>
  </si>
  <si>
    <t>補助金</t>
    <rPh sb="0" eb="3">
      <t>ホジョキン</t>
    </rPh>
    <phoneticPr fontId="24"/>
  </si>
  <si>
    <t>積立金</t>
    <rPh sb="0" eb="2">
      <t>ツミタテ</t>
    </rPh>
    <rPh sb="2" eb="3">
      <t>キン</t>
    </rPh>
    <phoneticPr fontId="24"/>
  </si>
  <si>
    <t>繰越金</t>
    <rPh sb="0" eb="2">
      <t>クリコシ</t>
    </rPh>
    <rPh sb="2" eb="3">
      <t>キン</t>
    </rPh>
    <phoneticPr fontId="24"/>
  </si>
  <si>
    <t>合計</t>
    <rPh sb="0" eb="2">
      <t>ゴウケイ</t>
    </rPh>
    <phoneticPr fontId="24"/>
  </si>
  <si>
    <t>２．支出</t>
    <rPh sb="2" eb="4">
      <t>シシュツ</t>
    </rPh>
    <phoneticPr fontId="24"/>
  </si>
  <si>
    <t>運営費</t>
    <rPh sb="0" eb="3">
      <t>ウンエイヒ</t>
    </rPh>
    <phoneticPr fontId="24"/>
  </si>
  <si>
    <t>人件費</t>
    <rPh sb="0" eb="3">
      <t>ジンケンヒ</t>
    </rPh>
    <phoneticPr fontId="24"/>
  </si>
  <si>
    <t>給与</t>
    <rPh sb="0" eb="2">
      <t>キュウヨ</t>
    </rPh>
    <phoneticPr fontId="24"/>
  </si>
  <si>
    <t>法定福利費</t>
    <rPh sb="0" eb="2">
      <t>ホウテイ</t>
    </rPh>
    <rPh sb="2" eb="4">
      <t>フクリ</t>
    </rPh>
    <rPh sb="4" eb="5">
      <t>ヒ</t>
    </rPh>
    <phoneticPr fontId="24"/>
  </si>
  <si>
    <t>生活費</t>
    <rPh sb="0" eb="3">
      <t>セイカツヒ</t>
    </rPh>
    <phoneticPr fontId="24"/>
  </si>
  <si>
    <t>給食費</t>
    <rPh sb="0" eb="3">
      <t>キュウショクヒ</t>
    </rPh>
    <phoneticPr fontId="24"/>
  </si>
  <si>
    <t>教材費</t>
    <rPh sb="0" eb="3">
      <t>キョウザイヒ</t>
    </rPh>
    <phoneticPr fontId="24"/>
  </si>
  <si>
    <t>行事・活動費</t>
    <rPh sb="0" eb="2">
      <t>ギョウジ</t>
    </rPh>
    <rPh sb="3" eb="5">
      <t>カツドウ</t>
    </rPh>
    <rPh sb="5" eb="6">
      <t>ヒ</t>
    </rPh>
    <phoneticPr fontId="24"/>
  </si>
  <si>
    <t>保険料</t>
    <rPh sb="0" eb="3">
      <t>ホケンリョウ</t>
    </rPh>
    <phoneticPr fontId="24"/>
  </si>
  <si>
    <t>施設費</t>
    <rPh sb="0" eb="3">
      <t>シセツヒ</t>
    </rPh>
    <phoneticPr fontId="24"/>
  </si>
  <si>
    <t>地代家賃</t>
    <rPh sb="0" eb="2">
      <t>チダイ</t>
    </rPh>
    <rPh sb="2" eb="4">
      <t>ヤチン</t>
    </rPh>
    <phoneticPr fontId="24"/>
  </si>
  <si>
    <t>水道光熱費</t>
    <rPh sb="0" eb="2">
      <t>スイドウ</t>
    </rPh>
    <rPh sb="2" eb="5">
      <t>コウネツヒ</t>
    </rPh>
    <phoneticPr fontId="24"/>
  </si>
  <si>
    <t>修繕費</t>
    <rPh sb="0" eb="3">
      <t>シュウゼンヒ</t>
    </rPh>
    <phoneticPr fontId="24"/>
  </si>
  <si>
    <t>通信費</t>
    <rPh sb="0" eb="3">
      <t>ツウシンヒ</t>
    </rPh>
    <phoneticPr fontId="24"/>
  </si>
  <si>
    <t>消耗品・備品費</t>
    <rPh sb="0" eb="2">
      <t>ショウモウ</t>
    </rPh>
    <rPh sb="2" eb="3">
      <t>ヒン</t>
    </rPh>
    <rPh sb="4" eb="6">
      <t>ビヒン</t>
    </rPh>
    <rPh sb="6" eb="7">
      <t>ヒ</t>
    </rPh>
    <phoneticPr fontId="24"/>
  </si>
  <si>
    <t>決算額</t>
    <rPh sb="0" eb="2">
      <t>ケッサン</t>
    </rPh>
    <rPh sb="2" eb="3">
      <t>ガク</t>
    </rPh>
    <phoneticPr fontId="24"/>
  </si>
  <si>
    <t>３．収支決算</t>
    <rPh sb="2" eb="4">
      <t>シュウシ</t>
    </rPh>
    <rPh sb="4" eb="6">
      <t>ケッサン</t>
    </rPh>
    <phoneticPr fontId="1"/>
  </si>
  <si>
    <t>差引残高</t>
    <rPh sb="0" eb="2">
      <t>サシヒキ</t>
    </rPh>
    <rPh sb="2" eb="4">
      <t>ザンダカ</t>
    </rPh>
    <phoneticPr fontId="24"/>
  </si>
  <si>
    <t>氏名</t>
    <rPh sb="0" eb="2">
      <t>シメイ</t>
    </rPh>
    <phoneticPr fontId="1"/>
  </si>
  <si>
    <t>（役職）</t>
    <phoneticPr fontId="1"/>
  </si>
  <si>
    <t>放課後児童クラブ助成事業</t>
    <rPh sb="0" eb="3">
      <t>ホウカゴ</t>
    </rPh>
    <rPh sb="3" eb="5">
      <t>ジドウ</t>
    </rPh>
    <rPh sb="8" eb="10">
      <t>ジョセイ</t>
    </rPh>
    <rPh sb="10" eb="12">
      <t>ジギョウ</t>
    </rPh>
    <phoneticPr fontId="1"/>
  </si>
  <si>
    <t>（役職）</t>
    <rPh sb="1" eb="3">
      <t>ヤクショク</t>
    </rPh>
    <phoneticPr fontId="1"/>
  </si>
  <si>
    <t>氏名</t>
    <rPh sb="0" eb="2">
      <t>シメイ</t>
    </rPh>
    <phoneticPr fontId="1"/>
  </si>
  <si>
    <t>週４</t>
    <rPh sb="0" eb="1">
      <t>シュウ</t>
    </rPh>
    <phoneticPr fontId="24"/>
  </si>
  <si>
    <t>○</t>
    <phoneticPr fontId="1"/>
  </si>
  <si>
    <t>週５</t>
    <rPh sb="0" eb="1">
      <t>シュウ</t>
    </rPh>
    <phoneticPr fontId="24"/>
  </si>
  <si>
    <t>週３</t>
    <rPh sb="0" eb="1">
      <t>シュウ</t>
    </rPh>
    <phoneticPr fontId="24"/>
  </si>
  <si>
    <t>週２</t>
    <rPh sb="0" eb="1">
      <t>シュウ</t>
    </rPh>
    <phoneticPr fontId="24"/>
  </si>
  <si>
    <t>週１</t>
    <rPh sb="0" eb="1">
      <t>シュウ</t>
    </rPh>
    <phoneticPr fontId="24"/>
  </si>
  <si>
    <t>児童数1～19人</t>
    <rPh sb="0" eb="2">
      <t>ジドウ</t>
    </rPh>
    <rPh sb="2" eb="3">
      <t>スウ</t>
    </rPh>
    <rPh sb="7" eb="8">
      <t>ニン</t>
    </rPh>
    <phoneticPr fontId="1"/>
  </si>
  <si>
    <t>変更申請額（Ａ－Ｂ）</t>
    <rPh sb="0" eb="2">
      <t>ヘンコウ</t>
    </rPh>
    <rPh sb="2" eb="4">
      <t>シンセイ</t>
    </rPh>
    <rPh sb="4" eb="5">
      <t>ガク</t>
    </rPh>
    <phoneticPr fontId="1"/>
  </si>
  <si>
    <t>放課後児童支援員キャリアアップ処遇改善加算</t>
    <rPh sb="0" eb="8">
      <t>ホウカゴジドウシエンイン</t>
    </rPh>
    <rPh sb="15" eb="21">
      <t>ショグウカイゼンカサン</t>
    </rPh>
    <phoneticPr fontId="1"/>
  </si>
  <si>
    <t>対象
月数</t>
    <rPh sb="0" eb="2">
      <t>タイショウ</t>
    </rPh>
    <rPh sb="3" eb="5">
      <t>ツキスウ</t>
    </rPh>
    <phoneticPr fontId="1"/>
  </si>
  <si>
    <t>月</t>
  </si>
  <si>
    <t>水</t>
  </si>
  <si>
    <t>木</t>
  </si>
  <si>
    <t>金</t>
  </si>
  <si>
    <t>土</t>
  </si>
  <si>
    <t>火</t>
  </si>
  <si>
    <t>令和　　年　　　　月　　　　日</t>
    <rPh sb="0" eb="1">
      <t>レイ</t>
    </rPh>
    <rPh sb="1" eb="2">
      <t>ワ</t>
    </rPh>
    <rPh sb="4" eb="5">
      <t>ネン</t>
    </rPh>
    <rPh sb="9" eb="10">
      <t>ガツ</t>
    </rPh>
    <rPh sb="14" eb="15">
      <t>ニチ</t>
    </rPh>
    <phoneticPr fontId="1"/>
  </si>
  <si>
    <t>口座振込の際は、下記口座へお振り込みください。（個人の口座等、クラブ名義でない口座に振り込む場合は、②の欄に①と同一の住所・団体名・代表者氏名を記入してください。）</t>
    <phoneticPr fontId="1"/>
  </si>
  <si>
    <t>児童数19人以下</t>
    <rPh sb="0" eb="2">
      <t>ジドウ</t>
    </rPh>
    <rPh sb="2" eb="3">
      <t>スウ</t>
    </rPh>
    <rPh sb="5" eb="6">
      <t>ニン</t>
    </rPh>
    <rPh sb="6" eb="8">
      <t>イカ</t>
    </rPh>
    <phoneticPr fontId="1"/>
  </si>
  <si>
    <t>児童数19人以下のクラブ</t>
    <rPh sb="0" eb="2">
      <t>ジドウ</t>
    </rPh>
    <rPh sb="2" eb="3">
      <t>スウ</t>
    </rPh>
    <rPh sb="5" eb="6">
      <t>ニン</t>
    </rPh>
    <rPh sb="6" eb="8">
      <t>イカ</t>
    </rPh>
    <phoneticPr fontId="1"/>
  </si>
  <si>
    <t>１日６時間を超え、かつ18時を超えて開所</t>
    <rPh sb="1" eb="2">
      <t>ニチ</t>
    </rPh>
    <rPh sb="3" eb="5">
      <t>ジカン</t>
    </rPh>
    <rPh sb="6" eb="7">
      <t>コ</t>
    </rPh>
    <rPh sb="13" eb="14">
      <t>ジ</t>
    </rPh>
    <rPh sb="15" eb="16">
      <t>コ</t>
    </rPh>
    <rPh sb="18" eb="20">
      <t>カイショ</t>
    </rPh>
    <phoneticPr fontId="1"/>
  </si>
  <si>
    <t>長時間開所加算（長期休暇等分）</t>
    <rPh sb="0" eb="3">
      <t>チョウジカン</t>
    </rPh>
    <rPh sb="3" eb="5">
      <t>カイショ</t>
    </rPh>
    <rPh sb="5" eb="7">
      <t>カサン</t>
    </rPh>
    <rPh sb="8" eb="10">
      <t>チョウキ</t>
    </rPh>
    <rPh sb="10" eb="13">
      <t>キュウカトウ</t>
    </rPh>
    <rPh sb="13" eb="14">
      <t>ブン</t>
    </rPh>
    <phoneticPr fontId="1"/>
  </si>
  <si>
    <t>１日８時間を超えて開所（年間250日未満開所のクラブは対象外）</t>
    <rPh sb="1" eb="2">
      <t>ニチ</t>
    </rPh>
    <rPh sb="3" eb="5">
      <t>ジカン</t>
    </rPh>
    <rPh sb="6" eb="7">
      <t>コ</t>
    </rPh>
    <rPh sb="9" eb="11">
      <t>カイショ</t>
    </rPh>
    <rPh sb="12" eb="14">
      <t>ネンカン</t>
    </rPh>
    <rPh sb="17" eb="18">
      <t>ニチ</t>
    </rPh>
    <rPh sb="18" eb="20">
      <t>ミマン</t>
    </rPh>
    <rPh sb="20" eb="22">
      <t>カイショ</t>
    </rPh>
    <rPh sb="27" eb="30">
      <t>タイショウガイ</t>
    </rPh>
    <phoneticPr fontId="1"/>
  </si>
  <si>
    <t>障害児３名以上で、障害児受入加算の職員配置に加え１名加配</t>
    <rPh sb="0" eb="3">
      <t>ショウガイジ</t>
    </rPh>
    <rPh sb="4" eb="7">
      <t>メイイジョウ</t>
    </rPh>
    <rPh sb="9" eb="12">
      <t>ショウガイジ</t>
    </rPh>
    <rPh sb="12" eb="14">
      <t>ウケイレ</t>
    </rPh>
    <rPh sb="14" eb="16">
      <t>カサン</t>
    </rPh>
    <rPh sb="17" eb="19">
      <t>ショクイン</t>
    </rPh>
    <rPh sb="19" eb="21">
      <t>ハイチ</t>
    </rPh>
    <rPh sb="22" eb="23">
      <t>クワ</t>
    </rPh>
    <rPh sb="25" eb="26">
      <t>メイ</t>
    </rPh>
    <rPh sb="26" eb="28">
      <t>カハイ</t>
    </rPh>
    <phoneticPr fontId="1"/>
  </si>
  <si>
    <t>平日18時30分を超えて開所、年間250日以上開所、定められた業務に主たる担当として従事他</t>
    <rPh sb="0" eb="2">
      <t>ヘイジツ</t>
    </rPh>
    <rPh sb="4" eb="5">
      <t>ジ</t>
    </rPh>
    <rPh sb="7" eb="8">
      <t>フン</t>
    </rPh>
    <rPh sb="9" eb="10">
      <t>コ</t>
    </rPh>
    <rPh sb="12" eb="14">
      <t>カイショ</t>
    </rPh>
    <rPh sb="15" eb="17">
      <t>ネンカン</t>
    </rPh>
    <rPh sb="20" eb="21">
      <t>ニチ</t>
    </rPh>
    <rPh sb="21" eb="23">
      <t>イジョウ</t>
    </rPh>
    <rPh sb="23" eb="25">
      <t>カイショ</t>
    </rPh>
    <rPh sb="26" eb="27">
      <t>サダ</t>
    </rPh>
    <rPh sb="31" eb="33">
      <t>ギョウム</t>
    </rPh>
    <rPh sb="34" eb="35">
      <t>シュ</t>
    </rPh>
    <rPh sb="37" eb="39">
      <t>タントウ</t>
    </rPh>
    <rPh sb="42" eb="44">
      <t>ジュウジ</t>
    </rPh>
    <rPh sb="44" eb="45">
      <t>ホカ</t>
    </rPh>
    <phoneticPr fontId="1"/>
  </si>
  <si>
    <t>放課後児童支援員キャリアアップ処遇改善加算</t>
    <rPh sb="0" eb="3">
      <t>ホウカゴ</t>
    </rPh>
    <rPh sb="3" eb="5">
      <t>ジドウ</t>
    </rPh>
    <rPh sb="5" eb="7">
      <t>シエン</t>
    </rPh>
    <rPh sb="7" eb="8">
      <t>イン</t>
    </rPh>
    <rPh sb="15" eb="17">
      <t>ショグウ</t>
    </rPh>
    <rPh sb="17" eb="19">
      <t>カイゼン</t>
    </rPh>
    <rPh sb="19" eb="21">
      <t>カサン</t>
    </rPh>
    <phoneticPr fontId="1"/>
  </si>
  <si>
    <t>放課後児童支援員に対し、経験年数や研修実績に応じた賃金改善</t>
    <rPh sb="0" eb="3">
      <t>ホウカゴ</t>
    </rPh>
    <rPh sb="3" eb="5">
      <t>ジドウ</t>
    </rPh>
    <rPh sb="5" eb="7">
      <t>シエン</t>
    </rPh>
    <rPh sb="7" eb="8">
      <t>イン</t>
    </rPh>
    <rPh sb="9" eb="10">
      <t>タイ</t>
    </rPh>
    <rPh sb="12" eb="14">
      <t>ケイケン</t>
    </rPh>
    <rPh sb="14" eb="16">
      <t>ネンスウ</t>
    </rPh>
    <rPh sb="17" eb="19">
      <t>ケンシュウ</t>
    </rPh>
    <rPh sb="19" eb="21">
      <t>ジッセキ</t>
    </rPh>
    <rPh sb="22" eb="23">
      <t>オウ</t>
    </rPh>
    <rPh sb="25" eb="27">
      <t>チンギン</t>
    </rPh>
    <rPh sb="27" eb="29">
      <t>カイゼン</t>
    </rPh>
    <phoneticPr fontId="1"/>
  </si>
  <si>
    <t>多子世帯の利用料割引をしているクラブ</t>
    <rPh sb="0" eb="2">
      <t>タシ</t>
    </rPh>
    <rPh sb="2" eb="4">
      <t>セタイ</t>
    </rPh>
    <rPh sb="5" eb="8">
      <t>リヨウリョウ</t>
    </rPh>
    <rPh sb="8" eb="10">
      <t>ワリビキ</t>
    </rPh>
    <phoneticPr fontId="1"/>
  </si>
  <si>
    <t>期間：自　令和</t>
    <rPh sb="0" eb="2">
      <t>キカン</t>
    </rPh>
    <rPh sb="3" eb="4">
      <t>ジ</t>
    </rPh>
    <rPh sb="5" eb="7">
      <t>レイワ</t>
    </rPh>
    <phoneticPr fontId="15"/>
  </si>
  <si>
    <t>A</t>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</si>
  <si>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</si>
  <si>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</si>
  <si>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</si>
  <si>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</si>
  <si>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</si>
  <si>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</si>
  <si>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</si>
  <si>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</si>
  <si>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</si>
  <si>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</si>
  <si>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</si>
  <si>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３月</t>
  </si>
  <si>
    <t>合計</t>
    <rPh sb="0" eb="2">
      <t>ゴウケイ</t>
    </rPh>
    <phoneticPr fontId="1"/>
  </si>
  <si>
    <t>申込児童数</t>
    <rPh sb="0" eb="1">
      <t>モウ</t>
    </rPh>
    <rPh sb="1" eb="2">
      <t>コ</t>
    </rPh>
    <rPh sb="2" eb="4">
      <t>ジドウ</t>
    </rPh>
    <rPh sb="4" eb="5">
      <t>スウ</t>
    </rPh>
    <phoneticPr fontId="1"/>
  </si>
  <si>
    <t>うち障害児</t>
    <rPh sb="2" eb="4">
      <t>ショウガイ</t>
    </rPh>
    <rPh sb="4" eb="5">
      <t>ジ</t>
    </rPh>
    <phoneticPr fontId="1"/>
  </si>
  <si>
    <t>クラブ
児童数</t>
    <rPh sb="4" eb="6">
      <t>ジドウ</t>
    </rPh>
    <rPh sb="6" eb="7">
      <t>スウ</t>
    </rPh>
    <phoneticPr fontId="1"/>
  </si>
  <si>
    <t>週5以上</t>
    <rPh sb="0" eb="1">
      <t>シュウ</t>
    </rPh>
    <rPh sb="2" eb="4">
      <t>イジョウ</t>
    </rPh>
    <phoneticPr fontId="1"/>
  </si>
  <si>
    <t>週４</t>
    <rPh sb="0" eb="1">
      <t>シュウ</t>
    </rPh>
    <phoneticPr fontId="1"/>
  </si>
  <si>
    <t>週３</t>
    <rPh sb="0" eb="1">
      <t>シュウ</t>
    </rPh>
    <phoneticPr fontId="1"/>
  </si>
  <si>
    <t>週２</t>
    <rPh sb="0" eb="1">
      <t>シュウ</t>
    </rPh>
    <phoneticPr fontId="1"/>
  </si>
  <si>
    <t>週１</t>
    <rPh sb="0" eb="1">
      <t>シュウ</t>
    </rPh>
    <phoneticPr fontId="1"/>
  </si>
  <si>
    <t>B</t>
    <phoneticPr fontId="1"/>
  </si>
  <si>
    <t>月延べ利用児童数</t>
    <rPh sb="0" eb="1">
      <t>ツキ</t>
    </rPh>
    <rPh sb="5" eb="7">
      <t>ジドウ</t>
    </rPh>
    <phoneticPr fontId="1"/>
  </si>
  <si>
    <t>障害児受入関係加算</t>
    <rPh sb="0" eb="2">
      <t>ショウガイ</t>
    </rPh>
    <rPh sb="2" eb="3">
      <t>ジ</t>
    </rPh>
    <rPh sb="3" eb="5">
      <t>ウケイレ</t>
    </rPh>
    <rPh sb="5" eb="7">
      <t>カンケイ</t>
    </rPh>
    <rPh sb="7" eb="9">
      <t>カサン</t>
    </rPh>
    <phoneticPr fontId="1"/>
  </si>
  <si>
    <t>在籍月数</t>
    <rPh sb="0" eb="2">
      <t>ザイセキ</t>
    </rPh>
    <rPh sb="2" eb="4">
      <t>ツキスウ</t>
    </rPh>
    <phoneticPr fontId="1"/>
  </si>
  <si>
    <t>1,726,000円</t>
    <rPh sb="9" eb="10">
      <t>エン</t>
    </rPh>
    <phoneticPr fontId="1"/>
  </si>
  <si>
    <t>基本額</t>
    <rPh sb="0" eb="2">
      <t>キホン</t>
    </rPh>
    <rPh sb="2" eb="3">
      <t>ガク</t>
    </rPh>
    <phoneticPr fontId="1"/>
  </si>
  <si>
    <r>
      <rPr>
        <sz val="18"/>
        <color theme="1"/>
        <rFont val="ＭＳ Ｐゴシック"/>
        <family val="3"/>
        <charset val="128"/>
        <scheme val="minor"/>
      </rPr>
      <t>B</t>
    </r>
    <r>
      <rPr>
        <sz val="11"/>
        <color theme="1"/>
        <rFont val="ＭＳ Ｐゴシック"/>
        <family val="2"/>
        <charset val="128"/>
        <scheme val="minor"/>
      </rPr>
      <t>に入力した場合</t>
    </r>
    <rPh sb="2" eb="4">
      <t>ニュウリョク</t>
    </rPh>
    <rPh sb="6" eb="8">
      <t>バアイ</t>
    </rPh>
    <phoneticPr fontId="1"/>
  </si>
  <si>
    <r>
      <t>障害児受入加算</t>
    </r>
    <r>
      <rPr>
        <sz val="8"/>
        <color theme="1"/>
        <rFont val="ＭＳ Ｐゴシック"/>
        <family val="3"/>
        <charset val="128"/>
        <scheme val="minor"/>
      </rPr>
      <t>（障害児１人、加配１人）</t>
    </r>
    <rPh sb="0" eb="2">
      <t>ショウガイ</t>
    </rPh>
    <rPh sb="2" eb="3">
      <t>ジ</t>
    </rPh>
    <rPh sb="3" eb="5">
      <t>ウケイレ</t>
    </rPh>
    <rPh sb="5" eb="7">
      <t>カサン</t>
    </rPh>
    <phoneticPr fontId="1"/>
  </si>
  <si>
    <r>
      <t>障害児受入特別加算</t>
    </r>
    <r>
      <rPr>
        <sz val="8"/>
        <color theme="1"/>
        <rFont val="ＭＳ Ｐゴシック"/>
        <family val="3"/>
        <charset val="128"/>
        <scheme val="minor"/>
      </rPr>
      <t>（障害児２人、①の補助限度額を超えた加配人件費）</t>
    </r>
    <rPh sb="0" eb="2">
      <t>ショウガイ</t>
    </rPh>
    <rPh sb="2" eb="3">
      <t>ジ</t>
    </rPh>
    <rPh sb="3" eb="5">
      <t>ウケイレ</t>
    </rPh>
    <rPh sb="5" eb="7">
      <t>トクベツ</t>
    </rPh>
    <rPh sb="7" eb="9">
      <t>カサン</t>
    </rPh>
    <phoneticPr fontId="1"/>
  </si>
  <si>
    <r>
      <t>障害児受入強化加算</t>
    </r>
    <r>
      <rPr>
        <sz val="8"/>
        <color theme="1"/>
        <rFont val="ＭＳ Ｐゴシック"/>
        <family val="3"/>
        <charset val="128"/>
        <scheme val="minor"/>
      </rPr>
      <t>（障害児３名以上、加配２人以上）</t>
    </r>
    <rPh sb="0" eb="2">
      <t>ショウガイ</t>
    </rPh>
    <rPh sb="2" eb="3">
      <t>ジ</t>
    </rPh>
    <rPh sb="3" eb="5">
      <t>ウケイレ</t>
    </rPh>
    <rPh sb="5" eb="7">
      <t>キョウカ</t>
    </rPh>
    <rPh sb="7" eb="9">
      <t>カサン</t>
    </rPh>
    <phoneticPr fontId="1"/>
  </si>
  <si>
    <r>
      <rPr>
        <sz val="18"/>
        <color theme="1"/>
        <rFont val="ＭＳ Ｐゴシック"/>
        <family val="3"/>
        <charset val="128"/>
        <scheme val="minor"/>
      </rPr>
      <t>A</t>
    </r>
    <r>
      <rPr>
        <sz val="11"/>
        <color theme="1"/>
        <rFont val="ＭＳ Ｐゴシック"/>
        <family val="3"/>
        <charset val="128"/>
        <scheme val="minor"/>
      </rPr>
      <t>に入力した場合</t>
    </r>
    <phoneticPr fontId="1"/>
  </si>
  <si>
    <t>AまたはBのどちらかを入力してください</t>
    <rPh sb="11" eb="13">
      <t>ニュウリョク</t>
    </rPh>
    <phoneticPr fontId="1"/>
  </si>
  <si>
    <t>障害児受入加算（障害児１人、加配１人）</t>
    <rPh sb="0" eb="2">
      <t>ショウガイ</t>
    </rPh>
    <rPh sb="2" eb="3">
      <t>ジ</t>
    </rPh>
    <rPh sb="3" eb="5">
      <t>ウケイレ</t>
    </rPh>
    <rPh sb="5" eb="7">
      <t>カサン</t>
    </rPh>
    <phoneticPr fontId="1"/>
  </si>
  <si>
    <t>障害児受入特別加算（障害児２人、①の補助限度額を超えた加配人件費）</t>
    <rPh sb="0" eb="2">
      <t>ショウガイ</t>
    </rPh>
    <rPh sb="2" eb="3">
      <t>ジ</t>
    </rPh>
    <rPh sb="3" eb="5">
      <t>ウケイレ</t>
    </rPh>
    <rPh sb="5" eb="7">
      <t>トクベツ</t>
    </rPh>
    <rPh sb="7" eb="9">
      <t>カサン</t>
    </rPh>
    <phoneticPr fontId="1"/>
  </si>
  <si>
    <t>障害児受入強化加算（障害児３名以上、加配２人以上）</t>
    <rPh sb="0" eb="2">
      <t>ショウガイ</t>
    </rPh>
    <rPh sb="2" eb="3">
      <t>ジ</t>
    </rPh>
    <rPh sb="3" eb="5">
      <t>ウケイレ</t>
    </rPh>
    <rPh sb="5" eb="7">
      <t>キョウカ</t>
    </rPh>
    <rPh sb="7" eb="9">
      <t>カサン</t>
    </rPh>
    <phoneticPr fontId="1"/>
  </si>
  <si>
    <t>開所日数</t>
    <rPh sb="0" eb="2">
      <t>カイショ</t>
    </rPh>
    <rPh sb="2" eb="4">
      <t>ニッスウ</t>
    </rPh>
    <phoneticPr fontId="1"/>
  </si>
  <si>
    <t>③</t>
    <phoneticPr fontId="1"/>
  </si>
  <si>
    <t>曜日</t>
    <rPh sb="0" eb="2">
      <t>ヨウビ</t>
    </rPh>
    <phoneticPr fontId="1"/>
  </si>
  <si>
    <t>開所時刻</t>
    <rPh sb="0" eb="2">
      <t>カイショ</t>
    </rPh>
    <rPh sb="2" eb="4">
      <t>ジコク</t>
    </rPh>
    <phoneticPr fontId="1"/>
  </si>
  <si>
    <t>閉所時刻</t>
    <rPh sb="0" eb="2">
      <t>ヘイショ</t>
    </rPh>
    <rPh sb="2" eb="4">
      <t>ジコク</t>
    </rPh>
    <phoneticPr fontId="1"/>
  </si>
  <si>
    <t>18時以前に６時間を超える</t>
    <rPh sb="2" eb="5">
      <t>ジイゼン</t>
    </rPh>
    <rPh sb="7" eb="9">
      <t>ジカン</t>
    </rPh>
    <rPh sb="10" eb="11">
      <t>コ</t>
    </rPh>
    <phoneticPr fontId="1"/>
  </si>
  <si>
    <t>18時以降に６時間を超える</t>
    <rPh sb="2" eb="5">
      <t>ジイコウ</t>
    </rPh>
    <rPh sb="7" eb="9">
      <t>ジカン</t>
    </rPh>
    <rPh sb="10" eb="11">
      <t>コ</t>
    </rPh>
    <phoneticPr fontId="1"/>
  </si>
  <si>
    <t>土・日・祝・長期休暇　８時間以降</t>
    <rPh sb="0" eb="1">
      <t>ツチ</t>
    </rPh>
    <rPh sb="2" eb="3">
      <t>ヒ</t>
    </rPh>
    <rPh sb="4" eb="5">
      <t>シュク</t>
    </rPh>
    <rPh sb="6" eb="8">
      <t>チョウキ</t>
    </rPh>
    <rPh sb="8" eb="10">
      <t>キュウカ</t>
    </rPh>
    <rPh sb="12" eb="14">
      <t>ジカン</t>
    </rPh>
    <rPh sb="14" eb="16">
      <t>イコウ</t>
    </rPh>
    <phoneticPr fontId="1"/>
  </si>
  <si>
    <t>土・日・祝・長期休暇　８時間以降日数</t>
    <rPh sb="0" eb="1">
      <t>ツチ</t>
    </rPh>
    <rPh sb="2" eb="3">
      <t>ヒ</t>
    </rPh>
    <rPh sb="4" eb="5">
      <t>シュク</t>
    </rPh>
    <rPh sb="6" eb="8">
      <t>チョウキ</t>
    </rPh>
    <rPh sb="8" eb="10">
      <t>キュウカ</t>
    </rPh>
    <rPh sb="12" eb="14">
      <t>ジカン</t>
    </rPh>
    <rPh sb="14" eb="16">
      <t>イコウ</t>
    </rPh>
    <rPh sb="16" eb="18">
      <t>ニッスウ</t>
    </rPh>
    <phoneticPr fontId="1"/>
  </si>
  <si>
    <t>８時間以上の日数のカウント</t>
    <rPh sb="1" eb="5">
      <t>ジカンイジョウ</t>
    </rPh>
    <rPh sb="6" eb="8">
      <t>ニッスウ</t>
    </rPh>
    <phoneticPr fontId="1"/>
  </si>
  <si>
    <t>1日</t>
    <rPh sb="1" eb="2">
      <t>ニチ</t>
    </rPh>
    <phoneticPr fontId="1"/>
  </si>
  <si>
    <t>土・日・祝・長期休暇</t>
    <rPh sb="0" eb="1">
      <t>ツチ</t>
    </rPh>
    <rPh sb="2" eb="3">
      <t>ヒ</t>
    </rPh>
    <rPh sb="4" eb="5">
      <t>シュク</t>
    </rPh>
    <rPh sb="6" eb="8">
      <t>チョウキ</t>
    </rPh>
    <rPh sb="8" eb="10">
      <t>キュウカ</t>
    </rPh>
    <phoneticPr fontId="1"/>
  </si>
  <si>
    <t>2日</t>
    <rPh sb="1" eb="2">
      <t>ニチ</t>
    </rPh>
    <phoneticPr fontId="1"/>
  </si>
  <si>
    <t>休所</t>
    <rPh sb="0" eb="1">
      <t>キュウ</t>
    </rPh>
    <rPh sb="1" eb="2">
      <t>ショ</t>
    </rPh>
    <phoneticPr fontId="1"/>
  </si>
  <si>
    <t>3日</t>
    <rPh sb="1" eb="2">
      <t>ニチ</t>
    </rPh>
    <phoneticPr fontId="1"/>
  </si>
  <si>
    <t>土</t>
    <rPh sb="0" eb="1">
      <t>ド</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</si>
  <si>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</si>
  <si>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</si>
  <si>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</si>
  <si>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</si>
  <si>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</si>
  <si>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</si>
  <si>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</si>
  <si>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</si>
  <si>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日</t>
  </si>
  <si>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</si>
  <si>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</si>
  <si>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</si>
  <si>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</si>
  <si>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</si>
  <si>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</si>
  <si>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</si>
  <si>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</si>
  <si>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</si>
  <si>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</si>
  <si>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</si>
  <si>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</si>
  <si>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</si>
  <si>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</si>
  <si>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</si>
  <si>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</si>
  <si>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</si>
  <si>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</si>
  <si>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</si>
  <si>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6月</t>
    <rPh sb="1" eb="2">
      <t>ガツ</t>
    </rPh>
    <phoneticPr fontId="1"/>
  </si>
  <si>
    <t>7月</t>
    <rPh sb="1" eb="2">
      <t>ガツ</t>
    </rPh>
    <phoneticPr fontId="1"/>
  </si>
  <si>
    <t>8月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</si>
  <si>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</si>
  <si>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</si>
  <si>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</si>
  <si>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</si>
  <si>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</si>
  <si>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</si>
  <si>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</si>
  <si>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31日</t>
    <rPh sb="2" eb="3">
      <t>ニチ</t>
    </rPh>
    <phoneticPr fontId="1"/>
  </si>
  <si>
    <t>長時間開所</t>
    <rPh sb="0" eb="3">
      <t>チョウジカン</t>
    </rPh>
    <rPh sb="3" eb="5">
      <t>カイショ</t>
    </rPh>
    <phoneticPr fontId="1"/>
  </si>
  <si>
    <t>休暇</t>
    <rPh sb="0" eb="2">
      <t>キュウカ</t>
    </rPh>
    <phoneticPr fontId="1"/>
  </si>
  <si>
    <t>長時間開所加算(平日分)</t>
    <rPh sb="0" eb="3">
      <t>チョウジカン</t>
    </rPh>
    <rPh sb="3" eb="5">
      <t>カイショ</t>
    </rPh>
    <rPh sb="5" eb="7">
      <t>カサン</t>
    </rPh>
    <rPh sb="8" eb="10">
      <t>ヘイジツ</t>
    </rPh>
    <rPh sb="10" eb="11">
      <t>ブン</t>
    </rPh>
    <phoneticPr fontId="1"/>
  </si>
  <si>
    <t>長時間開所加算(長期休暇等分)</t>
    <rPh sb="0" eb="3">
      <t>チョウジカン</t>
    </rPh>
    <rPh sb="3" eb="5">
      <t>カイショ</t>
    </rPh>
    <rPh sb="5" eb="7">
      <t>カサン</t>
    </rPh>
    <rPh sb="8" eb="10">
      <t>チョウキ</t>
    </rPh>
    <rPh sb="10" eb="12">
      <t>キュウカ</t>
    </rPh>
    <rPh sb="12" eb="13">
      <t>トウ</t>
    </rPh>
    <rPh sb="13" eb="14">
      <t>ブン</t>
    </rPh>
    <phoneticPr fontId="1"/>
  </si>
  <si>
    <t>土・日・祝・長期休暇</t>
    <phoneticPr fontId="1"/>
  </si>
  <si>
    <t>その他</t>
    <rPh sb="2" eb="3">
      <t>タ</t>
    </rPh>
    <phoneticPr fontId="1"/>
  </si>
  <si>
    <t>責任者</t>
    <rPh sb="0" eb="3">
      <t>セキニンシャ</t>
    </rPh>
    <phoneticPr fontId="1"/>
  </si>
  <si>
    <t>担当者</t>
    <rPh sb="0" eb="3">
      <t>タントウシャ</t>
    </rPh>
    <phoneticPr fontId="1"/>
  </si>
  <si>
    <t>本申請に係る</t>
    <rPh sb="0" eb="1">
      <t>ホン</t>
    </rPh>
    <rPh sb="1" eb="3">
      <t>シンセイ</t>
    </rPh>
    <rPh sb="4" eb="5">
      <t>カカ</t>
    </rPh>
    <phoneticPr fontId="1"/>
  </si>
  <si>
    <t>責任者</t>
    <rPh sb="0" eb="3">
      <t>セキニンシャ</t>
    </rPh>
    <phoneticPr fontId="1"/>
  </si>
  <si>
    <t>担当者</t>
    <rPh sb="0" eb="3">
      <t>タントウシャ</t>
    </rPh>
    <phoneticPr fontId="1"/>
  </si>
  <si>
    <t>連絡先・
メールアドレス</t>
    <rPh sb="0" eb="3">
      <t>レンラクサキ</t>
    </rPh>
    <phoneticPr fontId="1"/>
  </si>
  <si>
    <t>8時間未満日数</t>
    <rPh sb="1" eb="3">
      <t>ジカン</t>
    </rPh>
    <rPh sb="3" eb="5">
      <t>ミマン</t>
    </rPh>
    <rPh sb="5" eb="7">
      <t>ニッスウ</t>
    </rPh>
    <phoneticPr fontId="1"/>
  </si>
  <si>
    <t>クラブ児童数</t>
    <phoneticPr fontId="1"/>
  </si>
  <si>
    <t>補助限度額(a)</t>
    <rPh sb="0" eb="5">
      <t>ホジョゲンドガク</t>
    </rPh>
    <phoneticPr fontId="1"/>
  </si>
  <si>
    <t>加配職員の人件費(b)</t>
    <rPh sb="0" eb="2">
      <t>カハイ</t>
    </rPh>
    <rPh sb="2" eb="4">
      <t>ショクイン</t>
    </rPh>
    <rPh sb="5" eb="8">
      <t>ジンケンヒ</t>
    </rPh>
    <phoneticPr fontId="1"/>
  </si>
  <si>
    <r>
      <t xml:space="preserve">申請可能額(ｃ)
</t>
    </r>
    <r>
      <rPr>
        <sz val="9"/>
        <color theme="1"/>
        <rFont val="ＭＳ Ｐゴシック"/>
        <family val="3"/>
        <charset val="128"/>
        <scheme val="minor"/>
      </rPr>
      <t>aとbの低い方</t>
    </r>
    <rPh sb="0" eb="2">
      <t>シンセイ</t>
    </rPh>
    <rPh sb="2" eb="5">
      <t>カノウガク</t>
    </rPh>
    <rPh sb="13" eb="14">
      <t>ヒク</t>
    </rPh>
    <rPh sb="15" eb="16">
      <t>ホウ</t>
    </rPh>
    <phoneticPr fontId="1"/>
  </si>
  <si>
    <t>小規模放課後児童クラブ支援加算(19人以下)</t>
    <rPh sb="0" eb="3">
      <t>ショウキボ</t>
    </rPh>
    <rPh sb="3" eb="6">
      <t>ホウカゴ</t>
    </rPh>
    <rPh sb="6" eb="8">
      <t>ジドウ</t>
    </rPh>
    <rPh sb="11" eb="13">
      <t>シエン</t>
    </rPh>
    <rPh sb="13" eb="15">
      <t>カサン</t>
    </rPh>
    <phoneticPr fontId="1"/>
  </si>
  <si>
    <t>平日：開所とみなす閉所</t>
    <rPh sb="0" eb="2">
      <t>ヘイジツ</t>
    </rPh>
    <rPh sb="3" eb="5">
      <t>カイショ</t>
    </rPh>
    <rPh sb="9" eb="11">
      <t>ヘイショ</t>
    </rPh>
    <phoneticPr fontId="1"/>
  </si>
  <si>
    <t>土日祝長期：開所とみなす閉所</t>
    <rPh sb="0" eb="1">
      <t>ド</t>
    </rPh>
    <rPh sb="1" eb="2">
      <t>ニチ</t>
    </rPh>
    <rPh sb="2" eb="3">
      <t>シュク</t>
    </rPh>
    <rPh sb="3" eb="5">
      <t>チョウキ</t>
    </rPh>
    <rPh sb="6" eb="8">
      <t>カイショ</t>
    </rPh>
    <rPh sb="12" eb="14">
      <t>ヘイショ</t>
    </rPh>
    <phoneticPr fontId="1"/>
  </si>
  <si>
    <t>平日長時間開所</t>
    <rPh sb="0" eb="2">
      <t>ヘイジツ</t>
    </rPh>
    <rPh sb="2" eb="5">
      <t>チョウジカン</t>
    </rPh>
    <rPh sb="5" eb="7">
      <t>カイショ</t>
    </rPh>
    <phoneticPr fontId="1"/>
  </si>
  <si>
    <t>土日祝日長時間開所</t>
    <rPh sb="0" eb="2">
      <t>ドニチ</t>
    </rPh>
    <rPh sb="2" eb="4">
      <t>シュクジツ</t>
    </rPh>
    <rPh sb="4" eb="7">
      <t>チョウジカン</t>
    </rPh>
    <rPh sb="7" eb="9">
      <t>カイショ</t>
    </rPh>
    <phoneticPr fontId="1"/>
  </si>
  <si>
    <t>土日祝長期：開所とみなす閉所</t>
    <rPh sb="0" eb="2">
      <t>ドニチ</t>
    </rPh>
    <rPh sb="2" eb="3">
      <t>シュク</t>
    </rPh>
    <rPh sb="3" eb="5">
      <t>チョウキ</t>
    </rPh>
    <rPh sb="6" eb="8">
      <t>カイショ</t>
    </rPh>
    <rPh sb="12" eb="14">
      <t>ヘイショ</t>
    </rPh>
    <phoneticPr fontId="1"/>
  </si>
  <si>
    <t>開所日数(クラブ児童数算出用)</t>
    <rPh sb="0" eb="2">
      <t>カイショ</t>
    </rPh>
    <rPh sb="2" eb="4">
      <t>ニッスウ</t>
    </rPh>
    <rPh sb="8" eb="10">
      <t>ジドウ</t>
    </rPh>
    <rPh sb="10" eb="11">
      <t>スウ</t>
    </rPh>
    <rPh sb="11" eb="13">
      <t>サンシュツ</t>
    </rPh>
    <rPh sb="13" eb="14">
      <t>ヨウ</t>
    </rPh>
    <phoneticPr fontId="1"/>
  </si>
  <si>
    <t>開所日数(基本額算出用)</t>
    <rPh sb="0" eb="2">
      <t>カイショ</t>
    </rPh>
    <rPh sb="2" eb="4">
      <t>ニッスウ</t>
    </rPh>
    <rPh sb="5" eb="7">
      <t>キホン</t>
    </rPh>
    <rPh sb="7" eb="8">
      <t>ガク</t>
    </rPh>
    <rPh sb="8" eb="10">
      <t>サンシュツ</t>
    </rPh>
    <rPh sb="10" eb="11">
      <t>ヨウ</t>
    </rPh>
    <phoneticPr fontId="1"/>
  </si>
  <si>
    <t>通常分</t>
    <rPh sb="0" eb="2">
      <t>ツウジョウ</t>
    </rPh>
    <rPh sb="2" eb="3">
      <t>ブン</t>
    </rPh>
    <phoneticPr fontId="1"/>
  </si>
  <si>
    <t>特例分</t>
    <rPh sb="0" eb="2">
      <t>トクレイ</t>
    </rPh>
    <rPh sb="2" eb="3">
      <t>ブン</t>
    </rPh>
    <phoneticPr fontId="1"/>
  </si>
  <si>
    <t>特例措置分(千円未満切捨)小計</t>
    <rPh sb="0" eb="2">
      <t>トクレイ</t>
    </rPh>
    <rPh sb="2" eb="4">
      <t>ソチ</t>
    </rPh>
    <rPh sb="4" eb="5">
      <t>ブン</t>
    </rPh>
    <rPh sb="6" eb="8">
      <t>センエン</t>
    </rPh>
    <rPh sb="8" eb="10">
      <t>ミマン</t>
    </rPh>
    <rPh sb="10" eb="12">
      <t>キリス</t>
    </rPh>
    <rPh sb="13" eb="15">
      <t>ショウケイ</t>
    </rPh>
    <phoneticPr fontId="1"/>
  </si>
  <si>
    <t>開所日数加算対象日数</t>
    <rPh sb="0" eb="2">
      <t>カイショ</t>
    </rPh>
    <rPh sb="2" eb="4">
      <t>ニッスウ</t>
    </rPh>
    <rPh sb="4" eb="6">
      <t>カサン</t>
    </rPh>
    <rPh sb="6" eb="8">
      <t>タイショウ</t>
    </rPh>
    <rPh sb="8" eb="10">
      <t>ニッスウ</t>
    </rPh>
    <phoneticPr fontId="1"/>
  </si>
  <si>
    <t>特例措置分</t>
    <rPh sb="0" eb="2">
      <t>トクレイ</t>
    </rPh>
    <rPh sb="2" eb="4">
      <t>ソチ</t>
    </rPh>
    <rPh sb="4" eb="5">
      <t>ブン</t>
    </rPh>
    <phoneticPr fontId="24"/>
  </si>
  <si>
    <t>クラブ名</t>
    <rPh sb="3" eb="4">
      <t>メイ</t>
    </rPh>
    <phoneticPr fontId="1"/>
  </si>
  <si>
    <t>開所情報</t>
    <rPh sb="0" eb="2">
      <t>カイショ</t>
    </rPh>
    <rPh sb="2" eb="4">
      <t>ジョウホウ</t>
    </rPh>
    <phoneticPr fontId="1"/>
  </si>
  <si>
    <t>エラー確認欄</t>
    <rPh sb="3" eb="5">
      <t>カクニン</t>
    </rPh>
    <rPh sb="5" eb="6">
      <t>ラン</t>
    </rPh>
    <phoneticPr fontId="1"/>
  </si>
  <si>
    <t>延べ利用児童</t>
    <rPh sb="0" eb="1">
      <t>ノ</t>
    </rPh>
    <rPh sb="2" eb="4">
      <t>リヨウ</t>
    </rPh>
    <rPh sb="4" eb="6">
      <t>ジドウ</t>
    </rPh>
    <phoneticPr fontId="1"/>
  </si>
  <si>
    <t>出勤職員名</t>
    <rPh sb="0" eb="2">
      <t>シュッキン</t>
    </rPh>
    <rPh sb="2" eb="4">
      <t>ショクイン</t>
    </rPh>
    <rPh sb="4" eb="5">
      <t>メイ</t>
    </rPh>
    <phoneticPr fontId="1"/>
  </si>
  <si>
    <t>以下に「入力にエラーがあります」と表示された場合は入力内容を確認してください</t>
    <rPh sb="0" eb="2">
      <t>イカ</t>
    </rPh>
    <rPh sb="4" eb="6">
      <t>ニュウリョク</t>
    </rPh>
    <rPh sb="17" eb="19">
      <t>ヒョウジ</t>
    </rPh>
    <rPh sb="22" eb="24">
      <t>バアイ</t>
    </rPh>
    <rPh sb="25" eb="27">
      <t>ニュウリョク</t>
    </rPh>
    <rPh sb="27" eb="29">
      <t>ナイヨウ</t>
    </rPh>
    <rPh sb="30" eb="32">
      <t>カクニン</t>
    </rPh>
    <phoneticPr fontId="1"/>
  </si>
  <si>
    <t>利用児童数</t>
    <rPh sb="0" eb="2">
      <t>リヨウ</t>
    </rPh>
    <rPh sb="2" eb="4">
      <t>ジドウ</t>
    </rPh>
    <rPh sb="4" eb="5">
      <t>スウ</t>
    </rPh>
    <phoneticPr fontId="1"/>
  </si>
  <si>
    <t>うち障害児数</t>
    <rPh sb="2" eb="4">
      <t>ショウガイ</t>
    </rPh>
    <rPh sb="4" eb="5">
      <t>ジ</t>
    </rPh>
    <rPh sb="5" eb="6">
      <t>スウ</t>
    </rPh>
    <phoneticPr fontId="1"/>
  </si>
  <si>
    <t>１人目(要支援員資格)</t>
    <rPh sb="1" eb="2">
      <t>ニン</t>
    </rPh>
    <rPh sb="2" eb="3">
      <t>メ</t>
    </rPh>
    <rPh sb="4" eb="5">
      <t>ヨウ</t>
    </rPh>
    <rPh sb="5" eb="7">
      <t>シエン</t>
    </rPh>
    <rPh sb="7" eb="8">
      <t>イン</t>
    </rPh>
    <rPh sb="8" eb="10">
      <t>シカク</t>
    </rPh>
    <phoneticPr fontId="1"/>
  </si>
  <si>
    <t>職種</t>
    <rPh sb="0" eb="2">
      <t>ショクシュ</t>
    </rPh>
    <phoneticPr fontId="1"/>
  </si>
  <si>
    <t>障害児加配</t>
    <rPh sb="0" eb="5">
      <t>ショウガイジカハイ</t>
    </rPh>
    <phoneticPr fontId="1"/>
  </si>
  <si>
    <t>2人目</t>
    <rPh sb="1" eb="2">
      <t>ニン</t>
    </rPh>
    <rPh sb="2" eb="3">
      <t>メ</t>
    </rPh>
    <phoneticPr fontId="1"/>
  </si>
  <si>
    <t>3人目</t>
    <rPh sb="1" eb="2">
      <t>ニン</t>
    </rPh>
    <rPh sb="2" eb="3">
      <t>メ</t>
    </rPh>
    <phoneticPr fontId="1"/>
  </si>
  <si>
    <t>4人目</t>
    <rPh sb="1" eb="2">
      <t>ニン</t>
    </rPh>
    <rPh sb="2" eb="3">
      <t>メ</t>
    </rPh>
    <phoneticPr fontId="1"/>
  </si>
  <si>
    <t>5人目</t>
    <rPh sb="1" eb="2">
      <t>ニン</t>
    </rPh>
    <rPh sb="2" eb="3">
      <t>メ</t>
    </rPh>
    <phoneticPr fontId="1"/>
  </si>
  <si>
    <t>6人目</t>
    <rPh sb="1" eb="2">
      <t>ニン</t>
    </rPh>
    <rPh sb="2" eb="3">
      <t>メ</t>
    </rPh>
    <phoneticPr fontId="1"/>
  </si>
  <si>
    <t>7人目</t>
    <rPh sb="1" eb="2">
      <t>ニン</t>
    </rPh>
    <rPh sb="2" eb="3">
      <t>メ</t>
    </rPh>
    <phoneticPr fontId="1"/>
  </si>
  <si>
    <t>以下に文章が表示された場合は入力内容を確認してください</t>
    <rPh sb="1" eb="3">
      <t>シエン</t>
    </rPh>
    <rPh sb="3" eb="5">
      <t>ブンショウ</t>
    </rPh>
    <rPh sb="8" eb="10">
      <t>バアイ</t>
    </rPh>
    <rPh sb="11" eb="13">
      <t>ニュウリョク</t>
    </rPh>
    <rPh sb="13" eb="15">
      <t>ナイヨウ</t>
    </rPh>
    <rPh sb="16" eb="18">
      <t>カクニン</t>
    </rPh>
    <phoneticPr fontId="1"/>
  </si>
  <si>
    <t>職員リスト</t>
    <rPh sb="0" eb="2">
      <t>ショクイン</t>
    </rPh>
    <phoneticPr fontId="1"/>
  </si>
  <si>
    <t>ひとり親割引額</t>
    <rPh sb="4" eb="6">
      <t>ワリビキ</t>
    </rPh>
    <phoneticPr fontId="1"/>
  </si>
  <si>
    <t>円/月(1人あたり）</t>
    <rPh sb="5" eb="6">
      <t>ニン</t>
    </rPh>
    <phoneticPr fontId="1"/>
  </si>
  <si>
    <t>多子世帯割引額</t>
    <rPh sb="0" eb="2">
      <t>タシ</t>
    </rPh>
    <rPh sb="2" eb="4">
      <t>セタイ</t>
    </rPh>
    <rPh sb="4" eb="6">
      <t>ワリビキ</t>
    </rPh>
    <phoneticPr fontId="1"/>
  </si>
  <si>
    <t>ひと
り親</t>
    <rPh sb="4" eb="5">
      <t>オヤ</t>
    </rPh>
    <phoneticPr fontId="1"/>
  </si>
  <si>
    <t>2人目
以降</t>
    <rPh sb="1" eb="2">
      <t>ニン</t>
    </rPh>
    <rPh sb="2" eb="3">
      <t>メ</t>
    </rPh>
    <rPh sb="4" eb="6">
      <t>イコウ</t>
    </rPh>
    <phoneticPr fontId="1"/>
  </si>
  <si>
    <t>長期休暇のみ</t>
    <rPh sb="0" eb="2">
      <t>チョウキ</t>
    </rPh>
    <rPh sb="2" eb="4">
      <t>キュウカ</t>
    </rPh>
    <phoneticPr fontId="24"/>
  </si>
  <si>
    <t>利用
頻度</t>
    <rPh sb="0" eb="2">
      <t>リヨウ</t>
    </rPh>
    <rPh sb="3" eb="5">
      <t>ヒンド</t>
    </rPh>
    <phoneticPr fontId="24"/>
  </si>
  <si>
    <t>在籍
月数</t>
    <rPh sb="0" eb="2">
      <t>ザイセキ</t>
    </rPh>
    <rPh sb="3" eb="5">
      <t>ツキスウ</t>
    </rPh>
    <phoneticPr fontId="1"/>
  </si>
  <si>
    <t>ひとり親
割引額(年)</t>
    <rPh sb="3" eb="4">
      <t>オヤ</t>
    </rPh>
    <rPh sb="5" eb="7">
      <t>ワリビキ</t>
    </rPh>
    <rPh sb="7" eb="8">
      <t>ガク</t>
    </rPh>
    <rPh sb="9" eb="10">
      <t>ネン</t>
    </rPh>
    <phoneticPr fontId="1"/>
  </si>
  <si>
    <t>多子
割引額(年)</t>
    <rPh sb="0" eb="2">
      <t>タシ</t>
    </rPh>
    <rPh sb="3" eb="5">
      <t>ワリビキ</t>
    </rPh>
    <rPh sb="5" eb="6">
      <t>ガク</t>
    </rPh>
    <rPh sb="7" eb="8">
      <t>ネン</t>
    </rPh>
    <phoneticPr fontId="1"/>
  </si>
  <si>
    <t>雇用形態</t>
    <rPh sb="0" eb="2">
      <t>コヨウ</t>
    </rPh>
    <rPh sb="2" eb="4">
      <t>ケイタイ</t>
    </rPh>
    <phoneticPr fontId="1"/>
  </si>
  <si>
    <t>給与形態</t>
    <rPh sb="0" eb="2">
      <t>キュウヨ</t>
    </rPh>
    <rPh sb="2" eb="4">
      <t>ケイタイ</t>
    </rPh>
    <phoneticPr fontId="1"/>
  </si>
  <si>
    <t>障害児加配配置</t>
    <rPh sb="0" eb="2">
      <t>ショウガイ</t>
    </rPh>
    <rPh sb="2" eb="3">
      <t>ジ</t>
    </rPh>
    <rPh sb="3" eb="5">
      <t>カハイ</t>
    </rPh>
    <rPh sb="5" eb="7">
      <t>ハイチ</t>
    </rPh>
    <phoneticPr fontId="1"/>
  </si>
  <si>
    <t>支援員</t>
    <rPh sb="0" eb="2">
      <t>シエン</t>
    </rPh>
    <rPh sb="2" eb="3">
      <t>イン</t>
    </rPh>
    <phoneticPr fontId="1"/>
  </si>
  <si>
    <t>補助員</t>
    <rPh sb="0" eb="3">
      <t>ホジョイン</t>
    </rPh>
    <phoneticPr fontId="1"/>
  </si>
  <si>
    <t>常勤</t>
    <rPh sb="0" eb="2">
      <t>ジョウキン</t>
    </rPh>
    <phoneticPr fontId="1"/>
  </si>
  <si>
    <t>非常勤</t>
    <rPh sb="0" eb="3">
      <t>ヒジョウキン</t>
    </rPh>
    <phoneticPr fontId="1"/>
  </si>
  <si>
    <t>月給</t>
    <rPh sb="0" eb="2">
      <t>ゲッキュウ</t>
    </rPh>
    <phoneticPr fontId="1"/>
  </si>
  <si>
    <t>時給</t>
    <rPh sb="0" eb="2">
      <t>ジキュウ</t>
    </rPh>
    <phoneticPr fontId="1"/>
  </si>
  <si>
    <t>対象</t>
    <rPh sb="0" eb="2">
      <t>タイショウ</t>
    </rPh>
    <phoneticPr fontId="1"/>
  </si>
  <si>
    <t>保育士</t>
    <rPh sb="0" eb="3">
      <t>ホイクシ</t>
    </rPh>
    <phoneticPr fontId="1"/>
  </si>
  <si>
    <t>H20</t>
  </si>
  <si>
    <t>社会福祉士</t>
    <rPh sb="0" eb="2">
      <t>シャカイ</t>
    </rPh>
    <rPh sb="2" eb="4">
      <t>フクシ</t>
    </rPh>
    <rPh sb="4" eb="5">
      <t>シ</t>
    </rPh>
    <phoneticPr fontId="1"/>
  </si>
  <si>
    <t>H21</t>
  </si>
  <si>
    <t>高校卒業等で２年以上児童福祉施設従事</t>
    <rPh sb="0" eb="2">
      <t>コウコウ</t>
    </rPh>
    <rPh sb="2" eb="4">
      <t>ソツギョウ</t>
    </rPh>
    <rPh sb="4" eb="5">
      <t>トウ</t>
    </rPh>
    <rPh sb="7" eb="10">
      <t>ネンイジョウ</t>
    </rPh>
    <rPh sb="10" eb="12">
      <t>ジドウ</t>
    </rPh>
    <rPh sb="12" eb="14">
      <t>フクシ</t>
    </rPh>
    <rPh sb="14" eb="16">
      <t>シセツ</t>
    </rPh>
    <rPh sb="16" eb="18">
      <t>ジュウジ</t>
    </rPh>
    <phoneticPr fontId="1"/>
  </si>
  <si>
    <t>H22</t>
  </si>
  <si>
    <t>教員免許状</t>
    <rPh sb="0" eb="2">
      <t>キョウイン</t>
    </rPh>
    <rPh sb="2" eb="5">
      <t>メンキョジョウ</t>
    </rPh>
    <phoneticPr fontId="1"/>
  </si>
  <si>
    <t>H23</t>
  </si>
  <si>
    <t>大学での所定の専修を卒業</t>
    <rPh sb="0" eb="2">
      <t>ダイガク</t>
    </rPh>
    <rPh sb="4" eb="6">
      <t>ショテイ</t>
    </rPh>
    <rPh sb="7" eb="9">
      <t>センシュウ</t>
    </rPh>
    <rPh sb="10" eb="12">
      <t>ソツギョウ</t>
    </rPh>
    <phoneticPr fontId="1"/>
  </si>
  <si>
    <t>H24</t>
  </si>
  <si>
    <t>所定の専修で優秀な成績で単位取得し、大学院入学</t>
    <rPh sb="0" eb="2">
      <t>ショテイ</t>
    </rPh>
    <rPh sb="3" eb="5">
      <t>センシュウ</t>
    </rPh>
    <rPh sb="6" eb="8">
      <t>ユウシュウ</t>
    </rPh>
    <rPh sb="9" eb="11">
      <t>セイセキ</t>
    </rPh>
    <rPh sb="12" eb="14">
      <t>タンイ</t>
    </rPh>
    <rPh sb="14" eb="16">
      <t>シュトク</t>
    </rPh>
    <rPh sb="18" eb="21">
      <t>ダイガクイン</t>
    </rPh>
    <rPh sb="21" eb="23">
      <t>ニュウガク</t>
    </rPh>
    <phoneticPr fontId="1"/>
  </si>
  <si>
    <t>H25</t>
    <phoneticPr fontId="1"/>
  </si>
  <si>
    <t>大学院で所定の専修を卒業</t>
    <rPh sb="0" eb="3">
      <t>ダイガクイン</t>
    </rPh>
    <rPh sb="4" eb="6">
      <t>ショテイ</t>
    </rPh>
    <rPh sb="7" eb="9">
      <t>センシュウ</t>
    </rPh>
    <rPh sb="10" eb="12">
      <t>ソツギョウ</t>
    </rPh>
    <phoneticPr fontId="1"/>
  </si>
  <si>
    <t>H26</t>
  </si>
  <si>
    <t>外国の大学において所定の専修を卒業</t>
    <rPh sb="0" eb="2">
      <t>ガイコク</t>
    </rPh>
    <rPh sb="3" eb="5">
      <t>ダイガク</t>
    </rPh>
    <rPh sb="9" eb="11">
      <t>ショテイ</t>
    </rPh>
    <rPh sb="12" eb="14">
      <t>センシュウ</t>
    </rPh>
    <rPh sb="15" eb="17">
      <t>ソツギョウ</t>
    </rPh>
    <phoneticPr fontId="1"/>
  </si>
  <si>
    <t>H27</t>
  </si>
  <si>
    <t>高校卒業等で２年以上放課後児童健全育成事業に従事</t>
    <rPh sb="0" eb="2">
      <t>コウコウ</t>
    </rPh>
    <rPh sb="2" eb="4">
      <t>ソツギョウ</t>
    </rPh>
    <rPh sb="4" eb="5">
      <t>トウ</t>
    </rPh>
    <rPh sb="7" eb="10">
      <t>ネンイジョウ</t>
    </rPh>
    <rPh sb="10" eb="21">
      <t>ホウカゴジドウケンゼンイクセイジギョウ</t>
    </rPh>
    <rPh sb="22" eb="24">
      <t>ジュウジ</t>
    </rPh>
    <phoneticPr fontId="1"/>
  </si>
  <si>
    <t>H28</t>
  </si>
  <si>
    <t>５年以上放課後児童健全育成事業従事</t>
    <rPh sb="1" eb="4">
      <t>ネンイジョウ</t>
    </rPh>
    <rPh sb="4" eb="15">
      <t>ホウカゴジドウケンゼンイクセイジギョウ</t>
    </rPh>
    <rPh sb="15" eb="17">
      <t>ジュウジ</t>
    </rPh>
    <phoneticPr fontId="1"/>
  </si>
  <si>
    <t>H29</t>
  </si>
  <si>
    <t>H30</t>
  </si>
  <si>
    <t>給与形態がその他の場合の支給方法</t>
    <rPh sb="0" eb="2">
      <t>キュウヨ</t>
    </rPh>
    <rPh sb="2" eb="4">
      <t>ケイタイ</t>
    </rPh>
    <rPh sb="7" eb="8">
      <t>タ</t>
    </rPh>
    <rPh sb="9" eb="11">
      <t>バアイ</t>
    </rPh>
    <rPh sb="12" eb="14">
      <t>シキュウ</t>
    </rPh>
    <rPh sb="14" eb="16">
      <t>ホウホウ</t>
    </rPh>
    <phoneticPr fontId="1"/>
  </si>
  <si>
    <t>●放課後児童支援員等処遇改善等事業４（２）・(３)の事業の従事内容</t>
    <rPh sb="29" eb="31">
      <t>ジュウジ</t>
    </rPh>
    <rPh sb="31" eb="33">
      <t>ナイヨウ</t>
    </rPh>
    <phoneticPr fontId="1"/>
  </si>
  <si>
    <t>対象職員が従事する項目</t>
    <rPh sb="0" eb="2">
      <t>タイショウ</t>
    </rPh>
    <rPh sb="2" eb="4">
      <t>ショクイン</t>
    </rPh>
    <rPh sb="5" eb="7">
      <t>ジュウジ</t>
    </rPh>
    <rPh sb="9" eb="11">
      <t>コウモク</t>
    </rPh>
    <phoneticPr fontId="1"/>
  </si>
  <si>
    <t>(2)
処遇改善（A）（B）対象</t>
    <rPh sb="6" eb="8">
      <t>ショグウ</t>
    </rPh>
    <rPh sb="8" eb="10">
      <t>カイゼン</t>
    </rPh>
    <rPh sb="16" eb="18">
      <t>タイショウ</t>
    </rPh>
    <phoneticPr fontId="1"/>
  </si>
  <si>
    <t>①学校との連携</t>
  </si>
  <si>
    <t>　子どもの生活の連続性を保障するために、来所や帰宅の状況、学校施設の利用、災害等が発生した際の対応の仕方や緊急時の連絡体制などについて、日常的、定期的な情報交換や情報共有、職員同士の交流等によって学校との連携を積極的に図ること。</t>
  </si>
  <si>
    <t>②保護者との連携</t>
  </si>
  <si>
    <t>　子どもの来所や帰宅の状況、遊びや生活の様子について、連絡帳、迎えの際、保護者会等の方法を活用して、日常的に保護者に伝え、情報を共有し、信頼関係を築くことに努めるとともに、保護者から相談がある場合には、気持ちを受け止め、自己決定を尊重して対応する。また、事故や怪我が発生した場合には、子どもの状況等について速やかに保護者に連絡すること。</t>
  </si>
  <si>
    <t>③防災及び防犯対策</t>
  </si>
  <si>
    <t>　市町村との連携のもとに災害等の発生に備えて具体的な計画及びマニュアルを作成し、必要な施設設備を設けるとともに、定期的に（少なくとも年２回以上）訓練を行うなどして迅速に対応できるようにしておく。また、外部からの不審者等の侵入防止のための措置や訓練など不測の事態に備えて必要な対応を図ること。</t>
  </si>
  <si>
    <t>④要望及び苦情への対応</t>
    <phoneticPr fontId="1"/>
  </si>
  <si>
    <t>　子どもや保護者等からの要望や苦情に対して、迅速かつ適切に、誠意を持って対応するため、要望や苦情を受け付ける窓口を設置し、周知するとともに、その対応に当たっては、市町村と連携して、苦情解決責任者、苦情受付担当者、第三者委員の設置や、解決に向けた手順の整理等を行い、その仕組みについて子どもや保護者等にあらかじめ周知すること。</t>
  </si>
  <si>
    <t>⑤児童虐待への対応</t>
  </si>
  <si>
    <t>　児童虐待の早期発見の努力義務が課されていることを踏まえ、子どもの発達や養育環境の状況等を把握し、固有の援助を必要としている場合は、適切に行うとともに、児童虐待が疑われる場合には、各自の判断だけで対応することは避け、運営主体の責任者との協議の上で、市町村又は児童相談所に速やかに通告すること。</t>
  </si>
  <si>
    <t>(3)
処遇改善（B）対象</t>
    <rPh sb="6" eb="8">
      <t>ショグウ</t>
    </rPh>
    <rPh sb="8" eb="10">
      <t>カイゼン</t>
    </rPh>
    <rPh sb="13" eb="15">
      <t>タイショウ</t>
    </rPh>
    <phoneticPr fontId="1"/>
  </si>
  <si>
    <t>①地域との情報共有</t>
    <phoneticPr fontId="1"/>
  </si>
  <si>
    <t>②地域との交流</t>
    <phoneticPr fontId="1"/>
  </si>
  <si>
    <t>　地域住民の理解を得ながら、地域の子どもの健全育成の拠点である児童館やその他地域の公共施設等を積極的に活用し、放課後児童クラブの子どもの活動と交流の場を広げること。</t>
    <phoneticPr fontId="1"/>
  </si>
  <si>
    <t>③地域における防災及び防犯対策</t>
    <phoneticPr fontId="1"/>
  </si>
  <si>
    <t>　事故、犯罪、災害等から子どもを守るため、地域住民と連携、協力して子どもの安全を確保する取り組みを行うこと。</t>
    <phoneticPr fontId="1"/>
  </si>
  <si>
    <t>④地域の医療機関との連携</t>
    <phoneticPr fontId="1"/>
  </si>
  <si>
    <t>子どもの病気やケガ、事故等に備えて、日常から地域の保健医療機関等と連携を図ること。</t>
    <phoneticPr fontId="1"/>
  </si>
  <si>
    <t>⑤児童虐待への地域との対応</t>
    <phoneticPr fontId="1"/>
  </si>
  <si>
    <t>　子どもの状態や家庭の状況の把握により、保護者に不適切な養育等が疑われる場合には、要保護児童対策地域協議会に情報提供を行い、個別ケース検討会議に参加し、具体的な支援の内容等を関係機関と検討・協議して適切に対応すること。</t>
    <phoneticPr fontId="1"/>
  </si>
  <si>
    <t>⑥放課後子ども教室との連携</t>
    <phoneticPr fontId="1"/>
  </si>
  <si>
    <t>「新・放課後子ども総合プラン」に基づき、放課後子ども教室と一体的に又は連携して実施する場合は、放課後子ども教室の企画内容や準備等について、円滑な協力ができるように放課後子ども教室との打合せを定期的に行い、学校区ごとに設置する協議会に参加するなど関係者間の連携を図ること。</t>
    <phoneticPr fontId="1"/>
  </si>
  <si>
    <t>放課後児童クラブに係る人件費の総額（習い事など他事業分は入れない）</t>
    <rPh sb="18" eb="19">
      <t>ナラ</t>
    </rPh>
    <rPh sb="20" eb="21">
      <t>ゴト</t>
    </rPh>
    <rPh sb="23" eb="24">
      <t>タ</t>
    </rPh>
    <rPh sb="24" eb="26">
      <t>ジギョウ</t>
    </rPh>
    <rPh sb="26" eb="27">
      <t>ブン</t>
    </rPh>
    <rPh sb="28" eb="29">
      <t>イ</t>
    </rPh>
    <phoneticPr fontId="1"/>
  </si>
  <si>
    <t>(5)-①障害児受入加算</t>
    <rPh sb="5" eb="8">
      <t>ショウガイジ</t>
    </rPh>
    <rPh sb="8" eb="10">
      <t>ウケイレ</t>
    </rPh>
    <rPh sb="10" eb="12">
      <t>カサン</t>
    </rPh>
    <phoneticPr fontId="41"/>
  </si>
  <si>
    <t>(5)-②障害児受入特別加算</t>
    <rPh sb="5" eb="8">
      <t>ショウガイジ</t>
    </rPh>
    <rPh sb="8" eb="10">
      <t>ウケイレ</t>
    </rPh>
    <rPh sb="10" eb="12">
      <t>トクベツ</t>
    </rPh>
    <rPh sb="12" eb="14">
      <t>カサン</t>
    </rPh>
    <phoneticPr fontId="41"/>
  </si>
  <si>
    <t>(5)-③障害児受入強化加算</t>
    <rPh sb="5" eb="8">
      <t>ショウガイジ</t>
    </rPh>
    <rPh sb="8" eb="10">
      <t>ウケイレ</t>
    </rPh>
    <rPh sb="10" eb="12">
      <t>キョウカ</t>
    </rPh>
    <rPh sb="12" eb="14">
      <t>カサン</t>
    </rPh>
    <phoneticPr fontId="41"/>
  </si>
  <si>
    <t>(6)-②放課後児童支援員キャリアアップ処遇改善加算</t>
    <rPh sb="5" eb="8">
      <t>ホウカゴ</t>
    </rPh>
    <rPh sb="8" eb="10">
      <t>ジドウ</t>
    </rPh>
    <rPh sb="10" eb="12">
      <t>シエン</t>
    </rPh>
    <rPh sb="12" eb="13">
      <t>イン</t>
    </rPh>
    <rPh sb="20" eb="22">
      <t>ショグウ</t>
    </rPh>
    <rPh sb="22" eb="24">
      <t>カイゼン</t>
    </rPh>
    <rPh sb="24" eb="26">
      <t>カサン</t>
    </rPh>
    <phoneticPr fontId="41"/>
  </si>
  <si>
    <t>開所日数加算の対象となる場合（年間開所日数－250日）×20,000円</t>
    <phoneticPr fontId="1"/>
  </si>
  <si>
    <t>年間総開所時間</t>
    <rPh sb="0" eb="2">
      <t>ネンカン</t>
    </rPh>
    <rPh sb="2" eb="3">
      <t>ソウ</t>
    </rPh>
    <rPh sb="3" eb="5">
      <t>カイショ</t>
    </rPh>
    <rPh sb="5" eb="7">
      <t>ジカン</t>
    </rPh>
    <phoneticPr fontId="1"/>
  </si>
  <si>
    <t>合計</t>
    <rPh sb="0" eb="2">
      <t>ゴウケイヒキアイ</t>
    </rPh>
    <phoneticPr fontId="1"/>
  </si>
  <si>
    <t>チェック欄</t>
    <rPh sb="4" eb="5">
      <t>ラン</t>
    </rPh>
    <phoneticPr fontId="1"/>
  </si>
  <si>
    <t>平均閉所時間</t>
    <rPh sb="0" eb="2">
      <t>ヘイキン</t>
    </rPh>
    <rPh sb="2" eb="4">
      <t>ヘイショ</t>
    </rPh>
    <rPh sb="4" eb="6">
      <t>ジカン</t>
    </rPh>
    <phoneticPr fontId="1"/>
  </si>
  <si>
    <t>送迎支援加算</t>
    <rPh sb="0" eb="2">
      <t>ソウゲイ</t>
    </rPh>
    <rPh sb="2" eb="4">
      <t>シエン</t>
    </rPh>
    <rPh sb="4" eb="6">
      <t>カサン</t>
    </rPh>
    <phoneticPr fontId="1"/>
  </si>
  <si>
    <t>市主催
障害児研修
受講年度</t>
    <rPh sb="0" eb="1">
      <t>シ</t>
    </rPh>
    <rPh sb="1" eb="3">
      <t>シュサイ</t>
    </rPh>
    <rPh sb="4" eb="6">
      <t>ショウガイ</t>
    </rPh>
    <rPh sb="6" eb="7">
      <t>ジ</t>
    </rPh>
    <rPh sb="7" eb="9">
      <t>ケンシュウ</t>
    </rPh>
    <rPh sb="10" eb="12">
      <t>ジュコウ</t>
    </rPh>
    <rPh sb="12" eb="14">
      <t>ネンド</t>
    </rPh>
    <phoneticPr fontId="1"/>
  </si>
  <si>
    <t>処遇改善</t>
    <rPh sb="0" eb="2">
      <t>ショグウ</t>
    </rPh>
    <rPh sb="2" eb="4">
      <t>カイゼン</t>
    </rPh>
    <phoneticPr fontId="1"/>
  </si>
  <si>
    <t>キャリアアップ</t>
    <phoneticPr fontId="1"/>
  </si>
  <si>
    <t>送迎支援</t>
    <rPh sb="0" eb="2">
      <t>ソウゲイ</t>
    </rPh>
    <rPh sb="2" eb="4">
      <t>シエン</t>
    </rPh>
    <phoneticPr fontId="1"/>
  </si>
  <si>
    <t>育成支援</t>
    <rPh sb="0" eb="2">
      <t>イクセイ</t>
    </rPh>
    <rPh sb="2" eb="4">
      <t>シエン</t>
    </rPh>
    <phoneticPr fontId="1"/>
  </si>
  <si>
    <t>合計</t>
    <rPh sb="0" eb="2">
      <t>ゴウケイ</t>
    </rPh>
    <phoneticPr fontId="1"/>
  </si>
  <si>
    <t>実施した
業務</t>
    <rPh sb="0" eb="2">
      <t>ジッシ</t>
    </rPh>
    <rPh sb="5" eb="7">
      <t>ギョウム</t>
    </rPh>
    <phoneticPr fontId="1"/>
  </si>
  <si>
    <t>（A）すべて</t>
  </si>
  <si>
    <t>（A）すべて</t>
    <phoneticPr fontId="1"/>
  </si>
  <si>
    <t>（B）すべて</t>
  </si>
  <si>
    <t>（B）すべて</t>
    <phoneticPr fontId="1"/>
  </si>
  <si>
    <t>（A）（B）すべて</t>
  </si>
  <si>
    <t>（A）（B）すべて</t>
    <phoneticPr fontId="1"/>
  </si>
  <si>
    <t>④要望及び苦情への対応</t>
  </si>
  <si>
    <t>①地域との情報共有</t>
  </si>
  <si>
    <t>②地域との交流</t>
  </si>
  <si>
    <t>③地域における防災及び防犯対策</t>
  </si>
  <si>
    <t>④地域の医療機関との連携</t>
  </si>
  <si>
    <t>⑤児童虐待への地域との対応</t>
  </si>
  <si>
    <t>⑥放課後子ども教室との連携</t>
  </si>
  <si>
    <t>処遇改善の種類</t>
    <rPh sb="0" eb="2">
      <t>ショグウ</t>
    </rPh>
    <rPh sb="2" eb="4">
      <t>カイゼン</t>
    </rPh>
    <rPh sb="5" eb="7">
      <t>シュルイ</t>
    </rPh>
    <phoneticPr fontId="1"/>
  </si>
  <si>
    <t>チェック欄</t>
    <rPh sb="4" eb="5">
      <t>ラン</t>
    </rPh>
    <phoneticPr fontId="1"/>
  </si>
  <si>
    <t>法定福利費</t>
    <rPh sb="0" eb="2">
      <t>ホウテイ</t>
    </rPh>
    <rPh sb="2" eb="4">
      <t>フクリ</t>
    </rPh>
    <rPh sb="4" eb="5">
      <t>ヒ</t>
    </rPh>
    <phoneticPr fontId="1"/>
  </si>
  <si>
    <t>総合計</t>
    <rPh sb="0" eb="1">
      <t>ソウ</t>
    </rPh>
    <rPh sb="1" eb="3">
      <t>ゴウケイ</t>
    </rPh>
    <phoneticPr fontId="1"/>
  </si>
  <si>
    <t>研修受講</t>
    <rPh sb="0" eb="2">
      <t>ケンシュウ</t>
    </rPh>
    <rPh sb="2" eb="4">
      <t>ジュコウ</t>
    </rPh>
    <phoneticPr fontId="1"/>
  </si>
  <si>
    <t>〇</t>
    <phoneticPr fontId="1"/>
  </si>
  <si>
    <t>主な取り組み内容（直接入力）</t>
    <phoneticPr fontId="1"/>
  </si>
  <si>
    <t>（B）常勤職員の処遇改善対象額⇒</t>
    <phoneticPr fontId="1"/>
  </si>
  <si>
    <t>週５</t>
    <rPh sb="0" eb="1">
      <t>シュウ</t>
    </rPh>
    <phoneticPr fontId="1"/>
  </si>
  <si>
    <t>人数</t>
    <rPh sb="0" eb="2">
      <t>ニンズウ</t>
    </rPh>
    <phoneticPr fontId="1"/>
  </si>
  <si>
    <t>週４</t>
    <rPh sb="0" eb="1">
      <t>シュウ</t>
    </rPh>
    <phoneticPr fontId="1"/>
  </si>
  <si>
    <t>週３</t>
    <rPh sb="0" eb="1">
      <t>シュウ</t>
    </rPh>
    <phoneticPr fontId="1"/>
  </si>
  <si>
    <t>週２</t>
    <rPh sb="0" eb="1">
      <t>シュウ</t>
    </rPh>
    <phoneticPr fontId="1"/>
  </si>
  <si>
    <t>週１</t>
    <rPh sb="0" eb="1">
      <t>シュウ</t>
    </rPh>
    <phoneticPr fontId="1"/>
  </si>
  <si>
    <t>延べ人数</t>
    <rPh sb="0" eb="1">
      <t>ノ</t>
    </rPh>
    <rPh sb="2" eb="4">
      <t>ニンズウ</t>
    </rPh>
    <phoneticPr fontId="1"/>
  </si>
  <si>
    <t>障</t>
    <rPh sb="0" eb="1">
      <t>ショウ</t>
    </rPh>
    <phoneticPr fontId="1"/>
  </si>
  <si>
    <t>育成支援体制強化加算</t>
    <rPh sb="0" eb="2">
      <t>イクセイ</t>
    </rPh>
    <rPh sb="2" eb="10">
      <t>シエンタイセイキョウカカサン</t>
    </rPh>
    <phoneticPr fontId="1"/>
  </si>
  <si>
    <t>送迎支援加算</t>
    <phoneticPr fontId="1"/>
  </si>
  <si>
    <t>事務局欄</t>
    <phoneticPr fontId="1"/>
  </si>
  <si>
    <t>常勤処遇上限</t>
    <rPh sb="0" eb="2">
      <t>ジョウキン</t>
    </rPh>
    <rPh sb="2" eb="4">
      <t>ショグウ</t>
    </rPh>
    <rPh sb="4" eb="6">
      <t>ジョウゲン</t>
    </rPh>
    <phoneticPr fontId="1"/>
  </si>
  <si>
    <t>250日以上</t>
    <rPh sb="3" eb="4">
      <t>ニチ</t>
    </rPh>
    <rPh sb="4" eb="6">
      <t>イジョウ</t>
    </rPh>
    <phoneticPr fontId="1"/>
  </si>
  <si>
    <t>18：30以降</t>
    <rPh sb="5" eb="7">
      <t>イコウ</t>
    </rPh>
    <phoneticPr fontId="1"/>
  </si>
  <si>
    <t>(1)基本額</t>
    <rPh sb="3" eb="5">
      <t>キホン</t>
    </rPh>
    <rPh sb="5" eb="6">
      <t>ガク</t>
    </rPh>
    <phoneticPr fontId="24"/>
  </si>
  <si>
    <t>(2)小規模放課後児童クラブ支援加算</t>
    <rPh sb="3" eb="6">
      <t>ショウキボ</t>
    </rPh>
    <rPh sb="6" eb="9">
      <t>ホウカゴ</t>
    </rPh>
    <rPh sb="9" eb="11">
      <t>ジドウ</t>
    </rPh>
    <rPh sb="14" eb="16">
      <t>シエン</t>
    </rPh>
    <rPh sb="16" eb="18">
      <t>カサン</t>
    </rPh>
    <phoneticPr fontId="24"/>
  </si>
  <si>
    <t>(3)開所日数加算</t>
    <rPh sb="3" eb="5">
      <t>カイショ</t>
    </rPh>
    <rPh sb="5" eb="7">
      <t>ニッスウ</t>
    </rPh>
    <rPh sb="7" eb="9">
      <t>カサン</t>
    </rPh>
    <phoneticPr fontId="24"/>
  </si>
  <si>
    <t>(4)長時間開所加算（平日分）</t>
    <rPh sb="3" eb="6">
      <t>チョウジカン</t>
    </rPh>
    <rPh sb="6" eb="8">
      <t>カイショ</t>
    </rPh>
    <rPh sb="8" eb="10">
      <t>カサン</t>
    </rPh>
    <rPh sb="11" eb="13">
      <t>ヘイジツ</t>
    </rPh>
    <rPh sb="13" eb="14">
      <t>ブン</t>
    </rPh>
    <phoneticPr fontId="24"/>
  </si>
  <si>
    <t>(4)長時間開所加算（長期休暇等分）</t>
    <rPh sb="3" eb="6">
      <t>チョウジカン</t>
    </rPh>
    <rPh sb="6" eb="8">
      <t>カイショ</t>
    </rPh>
    <rPh sb="8" eb="10">
      <t>カサン</t>
    </rPh>
    <rPh sb="11" eb="13">
      <t>チョウキ</t>
    </rPh>
    <rPh sb="13" eb="15">
      <t>キュウカ</t>
    </rPh>
    <rPh sb="15" eb="17">
      <t>トウブン</t>
    </rPh>
    <phoneticPr fontId="24"/>
  </si>
  <si>
    <t>うち長期休暇分</t>
    <rPh sb="2" eb="4">
      <t>チョウキ</t>
    </rPh>
    <rPh sb="4" eb="6">
      <t>キュウカ</t>
    </rPh>
    <rPh sb="6" eb="7">
      <t>ブン</t>
    </rPh>
    <phoneticPr fontId="24"/>
  </si>
  <si>
    <t>(5)-①障害児受入加算</t>
    <rPh sb="5" eb="8">
      <t>ショウガイジ</t>
    </rPh>
    <rPh sb="8" eb="10">
      <t>ウケイレ</t>
    </rPh>
    <rPh sb="10" eb="12">
      <t>カサン</t>
    </rPh>
    <phoneticPr fontId="24"/>
  </si>
  <si>
    <t>(5)-②障害児受入特別加算</t>
    <rPh sb="5" eb="8">
      <t>ショウガイジ</t>
    </rPh>
    <rPh sb="8" eb="10">
      <t>ウケイレ</t>
    </rPh>
    <rPh sb="10" eb="12">
      <t>トクベツ</t>
    </rPh>
    <rPh sb="12" eb="14">
      <t>カサン</t>
    </rPh>
    <phoneticPr fontId="24"/>
  </si>
  <si>
    <t>(5)-③障害児受入強化加算</t>
    <rPh sb="5" eb="8">
      <t>ショウガイジ</t>
    </rPh>
    <rPh sb="8" eb="10">
      <t>ウケイレ</t>
    </rPh>
    <rPh sb="10" eb="12">
      <t>キョウカ</t>
    </rPh>
    <rPh sb="12" eb="14">
      <t>カサン</t>
    </rPh>
    <phoneticPr fontId="24"/>
  </si>
  <si>
    <t>(6)-①放課後児童支援員等処遇改善等加算</t>
    <rPh sb="5" eb="8">
      <t>ホウカゴ</t>
    </rPh>
    <rPh sb="8" eb="10">
      <t>ジドウ</t>
    </rPh>
    <rPh sb="10" eb="12">
      <t>シエン</t>
    </rPh>
    <rPh sb="12" eb="13">
      <t>イン</t>
    </rPh>
    <rPh sb="13" eb="14">
      <t>トウ</t>
    </rPh>
    <rPh sb="14" eb="16">
      <t>ショグウ</t>
    </rPh>
    <rPh sb="16" eb="18">
      <t>カイゼン</t>
    </rPh>
    <rPh sb="18" eb="19">
      <t>トウ</t>
    </rPh>
    <rPh sb="19" eb="21">
      <t>カサン</t>
    </rPh>
    <phoneticPr fontId="24"/>
  </si>
  <si>
    <t>(7)育成支援体制強化加算</t>
    <rPh sb="3" eb="5">
      <t>イクセイ</t>
    </rPh>
    <rPh sb="5" eb="7">
      <t>シエン</t>
    </rPh>
    <rPh sb="7" eb="13">
      <t>タイセイキョウカカサン</t>
    </rPh>
    <phoneticPr fontId="24"/>
  </si>
  <si>
    <t>(8)送迎支援加算</t>
    <rPh sb="3" eb="5">
      <t>ソウゲイ</t>
    </rPh>
    <rPh sb="5" eb="7">
      <t>シエン</t>
    </rPh>
    <rPh sb="7" eb="9">
      <t>カサン</t>
    </rPh>
    <phoneticPr fontId="24"/>
  </si>
  <si>
    <t>(9)-①ひとり親世帯利用料割引加算</t>
    <rPh sb="8" eb="9">
      <t>オヤ</t>
    </rPh>
    <rPh sb="9" eb="11">
      <t>セタイ</t>
    </rPh>
    <rPh sb="11" eb="14">
      <t>リヨウリョウ</t>
    </rPh>
    <rPh sb="14" eb="16">
      <t>ワリビキ</t>
    </rPh>
    <rPh sb="16" eb="18">
      <t>カサン</t>
    </rPh>
    <phoneticPr fontId="24"/>
  </si>
  <si>
    <t>(9)-②多子世帯利用料割引加算</t>
    <rPh sb="5" eb="7">
      <t>タシ</t>
    </rPh>
    <rPh sb="7" eb="9">
      <t>セタイ</t>
    </rPh>
    <rPh sb="9" eb="12">
      <t>リヨウリョウ</t>
    </rPh>
    <rPh sb="12" eb="14">
      <t>ワリビキ</t>
    </rPh>
    <rPh sb="14" eb="16">
      <t>カサン</t>
    </rPh>
    <phoneticPr fontId="24"/>
  </si>
  <si>
    <t>(10)放課後児童支援員等研修受講費補助</t>
    <rPh sb="4" eb="7">
      <t>ホウカゴ</t>
    </rPh>
    <rPh sb="7" eb="9">
      <t>ジドウ</t>
    </rPh>
    <rPh sb="9" eb="11">
      <t>シエン</t>
    </rPh>
    <rPh sb="11" eb="12">
      <t>イン</t>
    </rPh>
    <rPh sb="12" eb="13">
      <t>トウ</t>
    </rPh>
    <rPh sb="13" eb="15">
      <t>ケンシュウ</t>
    </rPh>
    <rPh sb="15" eb="17">
      <t>ジュコウ</t>
    </rPh>
    <rPh sb="17" eb="18">
      <t>ヒ</t>
    </rPh>
    <rPh sb="18" eb="20">
      <t>ホジョ</t>
    </rPh>
    <phoneticPr fontId="24"/>
  </si>
  <si>
    <t>(11)家賃補助</t>
    <rPh sb="4" eb="6">
      <t>ヤチン</t>
    </rPh>
    <rPh sb="6" eb="8">
      <t>ホジョ</t>
    </rPh>
    <phoneticPr fontId="24"/>
  </si>
  <si>
    <t>運営事務等委託費</t>
    <rPh sb="0" eb="2">
      <t>ウンエイ</t>
    </rPh>
    <rPh sb="2" eb="4">
      <t>ジム</t>
    </rPh>
    <rPh sb="4" eb="5">
      <t>トウ</t>
    </rPh>
    <rPh sb="5" eb="7">
      <t>イタク</t>
    </rPh>
    <rPh sb="7" eb="8">
      <t>ヒ</t>
    </rPh>
    <phoneticPr fontId="24"/>
  </si>
  <si>
    <t>うち補助金(7)相当分</t>
    <rPh sb="2" eb="5">
      <t>ホジョキン</t>
    </rPh>
    <rPh sb="8" eb="11">
      <t>ソウトウブン</t>
    </rPh>
    <phoneticPr fontId="24"/>
  </si>
  <si>
    <t>送迎支援事業</t>
    <rPh sb="0" eb="2">
      <t>ソウゲイ</t>
    </rPh>
    <rPh sb="2" eb="4">
      <t>シエン</t>
    </rPh>
    <rPh sb="4" eb="6">
      <t>ジギョウ</t>
    </rPh>
    <phoneticPr fontId="24"/>
  </si>
  <si>
    <t>燃料費</t>
    <rPh sb="0" eb="3">
      <t>ネンリョウヒ</t>
    </rPh>
    <phoneticPr fontId="24"/>
  </si>
  <si>
    <t>その他(謝礼など)</t>
    <rPh sb="2" eb="3">
      <t>タ</t>
    </rPh>
    <rPh sb="4" eb="6">
      <t>シャレイ</t>
    </rPh>
    <phoneticPr fontId="24"/>
  </si>
  <si>
    <t>新型コロナウイルス感染症対策事業</t>
    <rPh sb="0" eb="16">
      <t>タ</t>
    </rPh>
    <phoneticPr fontId="24"/>
  </si>
  <si>
    <t>市町村名</t>
    <rPh sb="0" eb="3">
      <t>シチョウソン</t>
    </rPh>
    <rPh sb="3" eb="4">
      <t>メイ</t>
    </rPh>
    <phoneticPr fontId="1"/>
  </si>
  <si>
    <t>：</t>
    <phoneticPr fontId="1"/>
  </si>
  <si>
    <t>放課後児童クラブ名（支援の単位名）</t>
    <rPh sb="0" eb="3">
      <t>ホウカゴ</t>
    </rPh>
    <rPh sb="3" eb="5">
      <t>ジドウ</t>
    </rPh>
    <rPh sb="8" eb="9">
      <t>メイ</t>
    </rPh>
    <rPh sb="10" eb="12">
      <t>シエン</t>
    </rPh>
    <rPh sb="13" eb="15">
      <t>タンイ</t>
    </rPh>
    <rPh sb="15" eb="16">
      <t>メイ</t>
    </rPh>
    <phoneticPr fontId="1"/>
  </si>
  <si>
    <t>１．補助額</t>
    <rPh sb="2" eb="4">
      <t>ホジョ</t>
    </rPh>
    <rPh sb="4" eb="5">
      <t>ガク</t>
    </rPh>
    <phoneticPr fontId="1"/>
  </si>
  <si>
    <t>①　事業実施期間</t>
    <rPh sb="2" eb="4">
      <t>ジギョウ</t>
    </rPh>
    <rPh sb="4" eb="6">
      <t>ジッシ</t>
    </rPh>
    <rPh sb="6" eb="8">
      <t>キカン</t>
    </rPh>
    <phoneticPr fontId="1"/>
  </si>
  <si>
    <t>令和</t>
    <rPh sb="0" eb="2">
      <t>レイワ</t>
    </rPh>
    <phoneticPr fontId="1"/>
  </si>
  <si>
    <t>年</t>
    <rPh sb="0" eb="1">
      <t>ネン</t>
    </rPh>
    <phoneticPr fontId="1"/>
  </si>
  <si>
    <t>月</t>
    <rPh sb="0" eb="1">
      <t>ガツ</t>
    </rPh>
    <phoneticPr fontId="1"/>
  </si>
  <si>
    <t>～</t>
    <phoneticPr fontId="1"/>
  </si>
  <si>
    <t>２．賃金改善額</t>
    <rPh sb="2" eb="4">
      <t>チンギン</t>
    </rPh>
    <rPh sb="4" eb="6">
      <t>カイゼン</t>
    </rPh>
    <rPh sb="6" eb="7">
      <t>ガク</t>
    </rPh>
    <phoneticPr fontId="1"/>
  </si>
  <si>
    <t>賃金改善額の2/3以上が基本給又は決まって毎月支払う手当による改善の判定（④≧③×2/3）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1"/>
  </si>
  <si>
    <t>　※「×」の場合は事業の対象外</t>
    <rPh sb="6" eb="8">
      <t>バアイ</t>
    </rPh>
    <rPh sb="9" eb="11">
      <t>ジギョウ</t>
    </rPh>
    <rPh sb="12" eb="15">
      <t>タイショウガイ</t>
    </rPh>
    <phoneticPr fontId="1"/>
  </si>
  <si>
    <t>⑤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1"/>
  </si>
  <si>
    <t>⑥　本事業による賃金改善に係る計画の
　　具体的内容を職員に周知していること</t>
    <rPh sb="2" eb="3">
      <t>ホン</t>
    </rPh>
    <rPh sb="3" eb="5">
      <t>ジギョウ</t>
    </rPh>
    <rPh sb="8" eb="10">
      <t>チンギン</t>
    </rPh>
    <rPh sb="10" eb="12">
      <t>カイゼン</t>
    </rPh>
    <rPh sb="13" eb="14">
      <t>カカ</t>
    </rPh>
    <rPh sb="15" eb="17">
      <t>ケイカク</t>
    </rPh>
    <rPh sb="21" eb="24">
      <t>グタイテキ</t>
    </rPh>
    <rPh sb="24" eb="26">
      <t>ナイヨウ</t>
    </rPh>
    <rPh sb="27" eb="29">
      <t>ショクイン</t>
    </rPh>
    <rPh sb="30" eb="32">
      <t>シュウチ</t>
    </rPh>
    <phoneticPr fontId="1"/>
  </si>
  <si>
    <t>⑦　本事業による賃金改善の継続の有無</t>
    <rPh sb="2" eb="3">
      <t>ホン</t>
    </rPh>
    <rPh sb="3" eb="5">
      <t>ジギョウ</t>
    </rPh>
    <rPh sb="8" eb="10">
      <t>チンギン</t>
    </rPh>
    <rPh sb="10" eb="12">
      <t>カイゼン</t>
    </rPh>
    <rPh sb="13" eb="15">
      <t>ケイゾク</t>
    </rPh>
    <rPh sb="16" eb="18">
      <t>ウム</t>
    </rPh>
    <phoneticPr fontId="1"/>
  </si>
  <si>
    <t>※黄色のセルについて記入をお願いいたします。</t>
    <rPh sb="1" eb="3">
      <t>キイロ</t>
    </rPh>
    <rPh sb="10" eb="12">
      <t>キニュウ</t>
    </rPh>
    <rPh sb="14" eb="15">
      <t>ネガ</t>
    </rPh>
    <phoneticPr fontId="1"/>
  </si>
  <si>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1"/>
  </si>
  <si>
    <t>放課後児童クラブ名（支援単位名）</t>
    <rPh sb="0" eb="3">
      <t>ホウカゴ</t>
    </rPh>
    <rPh sb="3" eb="5">
      <t>ジドウ</t>
    </rPh>
    <rPh sb="8" eb="9">
      <t>メイ</t>
    </rPh>
    <rPh sb="10" eb="12">
      <t>シエン</t>
    </rPh>
    <rPh sb="12" eb="14">
      <t>タンイ</t>
    </rPh>
    <rPh sb="14" eb="15">
      <t>メイ</t>
    </rPh>
    <phoneticPr fontId="1"/>
  </si>
  <si>
    <t>代表者名</t>
    <rPh sb="0" eb="3">
      <t>ダイヒョウシャ</t>
    </rPh>
    <rPh sb="3" eb="4">
      <t>メイ</t>
    </rPh>
    <phoneticPr fontId="1"/>
  </si>
  <si>
    <t>賃金改善内訳（職員別内訳）</t>
    <rPh sb="0" eb="2">
      <t>チンギン</t>
    </rPh>
    <rPh sb="2" eb="4">
      <t>カイゼン</t>
    </rPh>
    <rPh sb="4" eb="6">
      <t>ウチワケ</t>
    </rPh>
    <rPh sb="7" eb="9">
      <t>ショクイン</t>
    </rPh>
    <rPh sb="9" eb="10">
      <t>ベツ</t>
    </rPh>
    <rPh sb="10" eb="12">
      <t>ウチワケ</t>
    </rPh>
    <phoneticPr fontId="1"/>
  </si>
  <si>
    <t>NO.</t>
    <phoneticPr fontId="1"/>
  </si>
  <si>
    <t>職員名</t>
    <rPh sb="0" eb="2">
      <t>ショクイン</t>
    </rPh>
    <rPh sb="2" eb="3">
      <t>メイ</t>
    </rPh>
    <phoneticPr fontId="1"/>
  </si>
  <si>
    <t>①職種</t>
    <rPh sb="1" eb="3">
      <t>ショクシュ</t>
    </rPh>
    <phoneticPr fontId="1"/>
  </si>
  <si>
    <t>②常勤・非常勤の別</t>
    <rPh sb="1" eb="3">
      <t>ジョウキン</t>
    </rPh>
    <rPh sb="4" eb="7">
      <t>ヒジョウキン</t>
    </rPh>
    <rPh sb="8" eb="9">
      <t>ベツ</t>
    </rPh>
    <phoneticPr fontId="1"/>
  </si>
  <si>
    <t>③補助単価
（月額）</t>
    <rPh sb="1" eb="3">
      <t>ホジョ</t>
    </rPh>
    <rPh sb="3" eb="5">
      <t>タンカ</t>
    </rPh>
    <rPh sb="7" eb="9">
      <t>ゲツガク</t>
    </rPh>
    <phoneticPr fontId="1"/>
  </si>
  <si>
    <t>④常勤職員数</t>
    <rPh sb="1" eb="3">
      <t>ジョウキン</t>
    </rPh>
    <rPh sb="3" eb="5">
      <t>ショクイン</t>
    </rPh>
    <rPh sb="5" eb="6">
      <t>スウ</t>
    </rPh>
    <phoneticPr fontId="1"/>
  </si>
  <si>
    <t>非常勤職員数
（常勤換算）</t>
    <rPh sb="0" eb="3">
      <t>ヒジョウキン</t>
    </rPh>
    <rPh sb="3" eb="5">
      <t>ショクイン</t>
    </rPh>
    <rPh sb="5" eb="6">
      <t>カズ</t>
    </rPh>
    <rPh sb="8" eb="10">
      <t>ジョウキン</t>
    </rPh>
    <rPh sb="10" eb="12">
      <t>カンサン</t>
    </rPh>
    <phoneticPr fontId="1"/>
  </si>
  <si>
    <t>⑧賃金改善実施月数</t>
    <rPh sb="1" eb="3">
      <t>チンギン</t>
    </rPh>
    <rPh sb="3" eb="5">
      <t>カイゼン</t>
    </rPh>
    <rPh sb="5" eb="7">
      <t>ジッシ</t>
    </rPh>
    <rPh sb="7" eb="9">
      <t>ツキスウ</t>
    </rPh>
    <phoneticPr fontId="1"/>
  </si>
  <si>
    <t>⑨補助基準額
（③×④or⑦×⑧）</t>
    <rPh sb="1" eb="3">
      <t>ホジョ</t>
    </rPh>
    <rPh sb="3" eb="5">
      <t>キジュン</t>
    </rPh>
    <rPh sb="5" eb="6">
      <t>ガク</t>
    </rPh>
    <phoneticPr fontId="1"/>
  </si>
  <si>
    <t>⑬賃金改善に伴う法定福利費等の事業主負担分の増分</t>
    <phoneticPr fontId="1"/>
  </si>
  <si>
    <t>⑮備考</t>
    <rPh sb="1" eb="3">
      <t>ビコウ</t>
    </rPh>
    <phoneticPr fontId="1"/>
  </si>
  <si>
    <t>⑤１ヶ月当たりの勤務時間数</t>
    <rPh sb="3" eb="4">
      <t>ゲツ</t>
    </rPh>
    <rPh sb="4" eb="5">
      <t>ア</t>
    </rPh>
    <rPh sb="8" eb="10">
      <t>キンム</t>
    </rPh>
    <rPh sb="10" eb="13">
      <t>ジカンスウ</t>
    </rPh>
    <phoneticPr fontId="1"/>
  </si>
  <si>
    <t>⑥就業規則等で定めた常勤の１ヶ月当たりの勤務時間数</t>
    <rPh sb="1" eb="3">
      <t>シュウギョウ</t>
    </rPh>
    <rPh sb="3" eb="5">
      <t>キソク</t>
    </rPh>
    <rPh sb="5" eb="6">
      <t>トウ</t>
    </rPh>
    <rPh sb="7" eb="8">
      <t>サダ</t>
    </rPh>
    <rPh sb="10" eb="12">
      <t>ジョウキン</t>
    </rPh>
    <rPh sb="15" eb="16">
      <t>ゲツ</t>
    </rPh>
    <rPh sb="16" eb="17">
      <t>ア</t>
    </rPh>
    <rPh sb="20" eb="22">
      <t>キンム</t>
    </rPh>
    <rPh sb="22" eb="25">
      <t>ジカンスウ</t>
    </rPh>
    <phoneticPr fontId="1"/>
  </si>
  <si>
    <t>⑦常勤換算値</t>
    <rPh sb="1" eb="3">
      <t>ジョウキン</t>
    </rPh>
    <rPh sb="3" eb="5">
      <t>カンザン</t>
    </rPh>
    <rPh sb="5" eb="6">
      <t>チ</t>
    </rPh>
    <phoneticPr fontId="1"/>
  </si>
  <si>
    <t>⑪基本給又は決まって毎月支払う手当</t>
    <phoneticPr fontId="1"/>
  </si>
  <si>
    <t>⑫その他</t>
    <rPh sb="3" eb="4">
      <t>タ</t>
    </rPh>
    <phoneticPr fontId="1"/>
  </si>
  <si>
    <t>※黄色のセルについて記入をお願いします。</t>
    <rPh sb="1" eb="3">
      <t>キイロ</t>
    </rPh>
    <rPh sb="10" eb="12">
      <t>キニュウ</t>
    </rPh>
    <rPh sb="14" eb="15">
      <t>ネガ</t>
    </rPh>
    <phoneticPr fontId="1"/>
  </si>
  <si>
    <t>別紙様式２</t>
    <rPh sb="0" eb="2">
      <t>ベッシ</t>
    </rPh>
    <rPh sb="2" eb="4">
      <t>ヨウシキ</t>
    </rPh>
    <phoneticPr fontId="1"/>
  </si>
  <si>
    <t>放課後児童支援員等処遇改善事業（月額9,000円相当賃金改善）　賃金改善実績報告書</t>
    <rPh sb="32" eb="34">
      <t>チンギン</t>
    </rPh>
    <rPh sb="34" eb="36">
      <t>カイゼン</t>
    </rPh>
    <rPh sb="36" eb="38">
      <t>ジッセキ</t>
    </rPh>
    <rPh sb="38" eb="41">
      <t>ホウコクショ</t>
    </rPh>
    <phoneticPr fontId="1"/>
  </si>
  <si>
    <t>③　賃金改善額</t>
    <rPh sb="2" eb="4">
      <t>チンギン</t>
    </rPh>
    <rPh sb="4" eb="6">
      <t>カイゼン</t>
    </rPh>
    <rPh sb="6" eb="7">
      <t>ガク</t>
    </rPh>
    <phoneticPr fontId="1"/>
  </si>
  <si>
    <t>④　うち、基本給又は決まって毎月
　　支払う手当による賃金改善額</t>
    <phoneticPr fontId="1"/>
  </si>
  <si>
    <t>賃金改善等額合計（③＋⑤）が補助額（②）以上</t>
    <rPh sb="0" eb="2">
      <t>チンギン</t>
    </rPh>
    <rPh sb="2" eb="4">
      <t>カイゼン</t>
    </rPh>
    <rPh sb="4" eb="5">
      <t>トウ</t>
    </rPh>
    <rPh sb="5" eb="6">
      <t>ガク</t>
    </rPh>
    <rPh sb="6" eb="8">
      <t>ゴウケイ</t>
    </rPh>
    <rPh sb="14" eb="17">
      <t>ホジョガク</t>
    </rPh>
    <rPh sb="20" eb="22">
      <t>イジョウ</t>
    </rPh>
    <phoneticPr fontId="1"/>
  </si>
  <si>
    <t>※賃金改善前後の賃金を定める規定等、必要な書類を添付すること。</t>
    <phoneticPr fontId="1"/>
  </si>
  <si>
    <t>別紙様式２別添１</t>
    <rPh sb="0" eb="2">
      <t>ベッシ</t>
    </rPh>
    <rPh sb="2" eb="4">
      <t>ヨウシキ</t>
    </rPh>
    <rPh sb="5" eb="7">
      <t>ベッテン</t>
    </rPh>
    <phoneticPr fontId="1"/>
  </si>
  <si>
    <t>⑭１月当たりの平均賃金改善額</t>
    <rPh sb="2" eb="3">
      <t>ガツ</t>
    </rPh>
    <rPh sb="3" eb="4">
      <t>ア</t>
    </rPh>
    <rPh sb="7" eb="9">
      <t>ヘイキン</t>
    </rPh>
    <rPh sb="9" eb="11">
      <t>チンギン</t>
    </rPh>
    <rPh sb="11" eb="13">
      <t>カイゼン</t>
    </rPh>
    <rPh sb="13" eb="14">
      <t>ガク</t>
    </rPh>
    <phoneticPr fontId="1"/>
  </si>
  <si>
    <t>＜参考＞</t>
    <rPh sb="1" eb="3">
      <t>サンコウ</t>
    </rPh>
    <phoneticPr fontId="1"/>
  </si>
  <si>
    <t>事業実施期間</t>
    <rPh sb="0" eb="2">
      <t>ジギョウ</t>
    </rPh>
    <rPh sb="2" eb="4">
      <t>ジッシ</t>
    </rPh>
    <rPh sb="4" eb="6">
      <t>キカン</t>
    </rPh>
    <phoneticPr fontId="1"/>
  </si>
  <si>
    <t>○放課後児童支援員等処遇改善事業（月額9,000円相当賃金改善）を実施する期間</t>
    <phoneticPr fontId="1"/>
  </si>
  <si>
    <t>補助単価</t>
    <rPh sb="0" eb="2">
      <t>ホジョ</t>
    </rPh>
    <rPh sb="2" eb="4">
      <t>タンカ</t>
    </rPh>
    <phoneticPr fontId="1"/>
  </si>
  <si>
    <t>○子ども・子育て支援交付金交付要綱に定める職員１人当たりの単価をいう。</t>
    <rPh sb="1" eb="2">
      <t>コ</t>
    </rPh>
    <rPh sb="5" eb="7">
      <t>コソダ</t>
    </rPh>
    <rPh sb="8" eb="10">
      <t>シエン</t>
    </rPh>
    <rPh sb="10" eb="13">
      <t>コウフキン</t>
    </rPh>
    <rPh sb="13" eb="15">
      <t>コウフ</t>
    </rPh>
    <rPh sb="18" eb="19">
      <t>サダ</t>
    </rPh>
    <phoneticPr fontId="1"/>
  </si>
  <si>
    <t>賃金改善対象者数</t>
    <rPh sb="0" eb="2">
      <t>チンギン</t>
    </rPh>
    <rPh sb="2" eb="4">
      <t>カイゼン</t>
    </rPh>
    <rPh sb="4" eb="7">
      <t>タイショウシャ</t>
    </rPh>
    <rPh sb="7" eb="8">
      <t>スウ</t>
    </rPh>
    <phoneticPr fontId="1"/>
  </si>
  <si>
    <t>○放課後児童支援員等処遇改善事業（月額9,000円相当賃金改善）により賃金改善を行う職員数をいう（常勤職員数と非常勤職員数の合計）。
○ただし、経営に携わる法人の役員である職員を除く。</t>
    <rPh sb="49" eb="51">
      <t>ジョウキン</t>
    </rPh>
    <rPh sb="51" eb="53">
      <t>ショクイン</t>
    </rPh>
    <rPh sb="53" eb="54">
      <t>スウ</t>
    </rPh>
    <rPh sb="55" eb="58">
      <t>ヒジョウキン</t>
    </rPh>
    <rPh sb="58" eb="60">
      <t>ショクイン</t>
    </rPh>
    <rPh sb="60" eb="61">
      <t>スウ</t>
    </rPh>
    <rPh sb="62" eb="64">
      <t>ゴウケイ</t>
    </rPh>
    <phoneticPr fontId="1"/>
  </si>
  <si>
    <t>常勤職員</t>
    <rPh sb="0" eb="2">
      <t>ジョウキン</t>
    </rPh>
    <rPh sb="2" eb="4">
      <t>ショクイン</t>
    </rPh>
    <phoneticPr fontId="1"/>
  </si>
  <si>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1"/>
  </si>
  <si>
    <t>非常勤職員</t>
    <rPh sb="0" eb="3">
      <t>ヒジョウキン</t>
    </rPh>
    <rPh sb="3" eb="5">
      <t>ショクイン</t>
    </rPh>
    <phoneticPr fontId="1"/>
  </si>
  <si>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1"/>
  </si>
  <si>
    <t>賃金改善実施月数</t>
    <rPh sb="0" eb="2">
      <t>チンギン</t>
    </rPh>
    <rPh sb="2" eb="4">
      <t>カイゼン</t>
    </rPh>
    <rPh sb="4" eb="6">
      <t>ジッシ</t>
    </rPh>
    <rPh sb="6" eb="7">
      <t>ツキ</t>
    </rPh>
    <rPh sb="7" eb="8">
      <t>スウ</t>
    </rPh>
    <phoneticPr fontId="1"/>
  </si>
  <si>
    <t>○放課後児童支援員等処遇改善事業（月額9,000円相当賃金改善）を実施する月数</t>
    <rPh sb="37" eb="38">
      <t>ツキ</t>
    </rPh>
    <rPh sb="38" eb="39">
      <t>スウ</t>
    </rPh>
    <phoneticPr fontId="1"/>
  </si>
  <si>
    <t>賃金改善（見込）額</t>
    <rPh sb="0" eb="2">
      <t>チンギン</t>
    </rPh>
    <rPh sb="2" eb="4">
      <t>カイゼン</t>
    </rPh>
    <rPh sb="5" eb="7">
      <t>ミコミ</t>
    </rPh>
    <rPh sb="8" eb="9">
      <t>ガク</t>
    </rPh>
    <phoneticPr fontId="1"/>
  </si>
  <si>
    <t>○放課後児童支援員等処遇改善事業（月額9,000円相当賃金改善）の実施により、職員について、雇用形態、職種、勤続年数、職責等が事業実施年度と同等の条件の下で、本事業実施前に適用されていた算定方法に基づく賃金水準を超えて、賃金を引き上げた合計額をいう。</t>
    <rPh sb="118" eb="121">
      <t>ゴウケイガク</t>
    </rPh>
    <phoneticPr fontId="1"/>
  </si>
  <si>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1"/>
  </si>
  <si>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1"/>
  </si>
  <si>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1"/>
  </si>
  <si>
    <t>○職員の賃金改善に伴い増加する法定福利費等の事業主負担分の合計額をいう。
○なお、法定福利費等の事業主負担分については、
「前年度における法定福利費等の事業主負担分の総額」÷「前年度における賃金の総額」×「賃金改善額」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rPh sb="63" eb="66">
      <t>ゼンネンド</t>
    </rPh>
    <rPh sb="89" eb="92">
      <t>ゼンネンド</t>
    </rPh>
    <phoneticPr fontId="1"/>
  </si>
  <si>
    <t>本事業による賃金改善に係る計画の具体的内容を職員に周知</t>
    <phoneticPr fontId="1"/>
  </si>
  <si>
    <t>○放課後児童支援員等処遇改善事業（月額9,000円相当賃金改善）による賃金改善に係る計画の具体的な内容について職員に周知している場合は「周知している」を選択すること。
※「周知していない」を選択した場合は放課後児童支援員等処遇改善事業（月額9,000円相当賃金改善）の対象外となる。</t>
    <rPh sb="35" eb="37">
      <t>チンギン</t>
    </rPh>
    <rPh sb="37" eb="39">
      <t>カイゼン</t>
    </rPh>
    <rPh sb="40" eb="41">
      <t>カカ</t>
    </rPh>
    <rPh sb="42" eb="44">
      <t>ケイカク</t>
    </rPh>
    <rPh sb="45" eb="48">
      <t>グタイテキ</t>
    </rPh>
    <rPh sb="49" eb="51">
      <t>ナイヨウ</t>
    </rPh>
    <rPh sb="55" eb="57">
      <t>ショクイン</t>
    </rPh>
    <rPh sb="58" eb="60">
      <t>シュウチ</t>
    </rPh>
    <rPh sb="64" eb="66">
      <t>バアイ</t>
    </rPh>
    <rPh sb="68" eb="70">
      <t>シュウチ</t>
    </rPh>
    <rPh sb="87" eb="89">
      <t>シュウチ</t>
    </rPh>
    <rPh sb="96" eb="98">
      <t>センタク</t>
    </rPh>
    <rPh sb="100" eb="102">
      <t>バアイ</t>
    </rPh>
    <rPh sb="135" eb="138">
      <t>タイショウガイ</t>
    </rPh>
    <phoneticPr fontId="1"/>
  </si>
  <si>
    <t>本事業による賃金改善の継続の有無</t>
    <rPh sb="0" eb="1">
      <t>ホン</t>
    </rPh>
    <rPh sb="1" eb="3">
      <t>ジギョウ</t>
    </rPh>
    <rPh sb="6" eb="8">
      <t>チンギン</t>
    </rPh>
    <rPh sb="8" eb="10">
      <t>カイゼン</t>
    </rPh>
    <rPh sb="11" eb="13">
      <t>ケイゾク</t>
    </rPh>
    <rPh sb="14" eb="16">
      <t>ウム</t>
    </rPh>
    <phoneticPr fontId="1"/>
  </si>
  <si>
    <t>○放課後児童支援員等処遇改善事業（月額9,000円相当賃金改善）による賃金改善について、継続する場合は「継続する」を選択すること。
※「継続しない」を選択した場合は放課後児童支援員等処遇改善事業（月額9,000円相当賃金改善）の対象外となる。</t>
    <rPh sb="35" eb="37">
      <t>チンギン</t>
    </rPh>
    <rPh sb="37" eb="39">
      <t>カイゼン</t>
    </rPh>
    <rPh sb="44" eb="46">
      <t>ケイゾク</t>
    </rPh>
    <rPh sb="48" eb="50">
      <t>バアイ</t>
    </rPh>
    <rPh sb="52" eb="54">
      <t>ケイゾク</t>
    </rPh>
    <rPh sb="58" eb="60">
      <t>センタク</t>
    </rPh>
    <rPh sb="69" eb="71">
      <t>ケイゾク</t>
    </rPh>
    <rPh sb="115" eb="118">
      <t>タイショウガイ</t>
    </rPh>
    <phoneticPr fontId="1"/>
  </si>
  <si>
    <t>○年度途中の採用や退職がある場合にはその旨、また、賃金改善額が他の職員と比較して高額（低額、賃金改善を実施しない場合も含む）である場合についてはその理由を記載すること。</t>
    <phoneticPr fontId="1"/>
  </si>
  <si>
    <t>(7)育成支援体制強化加算</t>
    <rPh sb="3" eb="5">
      <t>イクセイ</t>
    </rPh>
    <rPh sb="5" eb="7">
      <t>シエン</t>
    </rPh>
    <rPh sb="7" eb="13">
      <t>タイセイキョウカカサン</t>
    </rPh>
    <phoneticPr fontId="1"/>
  </si>
  <si>
    <t>うち(5)～(8)、特例①③補助額を除く</t>
    <rPh sb="10" eb="12">
      <t>トクレイ</t>
    </rPh>
    <rPh sb="14" eb="16">
      <t>ホジョ</t>
    </rPh>
    <rPh sb="16" eb="17">
      <t>ガク</t>
    </rPh>
    <rPh sb="18" eb="19">
      <t>ノゾ</t>
    </rPh>
    <phoneticPr fontId="1"/>
  </si>
  <si>
    <t>特例分①新型コロナウイルス感染症対策（手当等人件費分）</t>
    <rPh sb="4" eb="6">
      <t>シンガタ</t>
    </rPh>
    <rPh sb="13" eb="16">
      <t>カンセンショウ</t>
    </rPh>
    <rPh sb="16" eb="18">
      <t>タイサク</t>
    </rPh>
    <rPh sb="19" eb="21">
      <t>テアテ</t>
    </rPh>
    <rPh sb="21" eb="22">
      <t>トウ</t>
    </rPh>
    <rPh sb="22" eb="25">
      <t>ジンケンヒ</t>
    </rPh>
    <rPh sb="25" eb="26">
      <t>ブン</t>
    </rPh>
    <phoneticPr fontId="1"/>
  </si>
  <si>
    <t>計算値</t>
    <rPh sb="0" eb="3">
      <t>ケイサンチ</t>
    </rPh>
    <phoneticPr fontId="1"/>
  </si>
  <si>
    <t>法人名・団体名</t>
    <rPh sb="0" eb="2">
      <t>ホウジン</t>
    </rPh>
    <rPh sb="2" eb="3">
      <t>メイ</t>
    </rPh>
    <rPh sb="4" eb="6">
      <t>ダンタイ</t>
    </rPh>
    <rPh sb="6" eb="7">
      <t>メイ</t>
    </rPh>
    <phoneticPr fontId="1"/>
  </si>
  <si>
    <t>R1</t>
    <phoneticPr fontId="1"/>
  </si>
  <si>
    <t>R2</t>
    <phoneticPr fontId="1"/>
  </si>
  <si>
    <t>R3</t>
    <phoneticPr fontId="1"/>
  </si>
  <si>
    <t>R4</t>
    <phoneticPr fontId="1"/>
  </si>
  <si>
    <t>団体名</t>
    <rPh sb="0" eb="2">
      <t>ダンタイ</t>
    </rPh>
    <rPh sb="2" eb="3">
      <t>メイ</t>
    </rPh>
    <phoneticPr fontId="1"/>
  </si>
  <si>
    <t>放課後児童支援員等で、処遇改善を行った場合に加算</t>
    <phoneticPr fontId="1"/>
  </si>
  <si>
    <t>11,000円×月数×職員数（常勤換算）</t>
    <rPh sb="6" eb="7">
      <t>エン</t>
    </rPh>
    <rPh sb="8" eb="10">
      <t>ツキスウ</t>
    </rPh>
    <rPh sb="11" eb="14">
      <t>ショクインスウ</t>
    </rPh>
    <rPh sb="15" eb="17">
      <t>ジョウキン</t>
    </rPh>
    <rPh sb="17" eb="19">
      <t>カンサン</t>
    </rPh>
    <phoneticPr fontId="1"/>
  </si>
  <si>
    <t>育成支援体制強化加算</t>
  </si>
  <si>
    <t>育成支援の周辺業務を行う職員の配置や、業務委託にかかった費用を加算</t>
    <phoneticPr fontId="1"/>
  </si>
  <si>
    <t>学校敷地外にあるクラブが学校からクラブへの移動等に送迎をした場合の費用を加算</t>
    <phoneticPr fontId="1"/>
  </si>
  <si>
    <t>(8)送迎支援加算（燃料費は除く）</t>
    <rPh sb="3" eb="5">
      <t>ソウゲイ</t>
    </rPh>
    <rPh sb="5" eb="7">
      <t>シエン</t>
    </rPh>
    <rPh sb="7" eb="9">
      <t>カサン</t>
    </rPh>
    <rPh sb="10" eb="13">
      <t>ネンリョウヒ</t>
    </rPh>
    <rPh sb="14" eb="15">
      <t>ノゾ</t>
    </rPh>
    <phoneticPr fontId="1"/>
  </si>
  <si>
    <t>(6)‐③放課後児童支援員等処遇改善（月9,000円）</t>
    <rPh sb="5" eb="10">
      <t>ホウカゴジドウ</t>
    </rPh>
    <rPh sb="10" eb="12">
      <t>シエン</t>
    </rPh>
    <rPh sb="12" eb="14">
      <t>インナド</t>
    </rPh>
    <rPh sb="14" eb="16">
      <t>ショグウ</t>
    </rPh>
    <rPh sb="16" eb="18">
      <t>カイゼン</t>
    </rPh>
    <rPh sb="19" eb="20">
      <t>ツキ</t>
    </rPh>
    <rPh sb="21" eb="26">
      <t>０００エン</t>
    </rPh>
    <phoneticPr fontId="41"/>
  </si>
  <si>
    <t>横須賀市</t>
    <rPh sb="0" eb="4">
      <t>ヨコスカシ</t>
    </rPh>
    <phoneticPr fontId="1"/>
  </si>
  <si>
    <t>割引額（月額上限5,000円）×在籍月数×人数</t>
    <rPh sb="0" eb="3">
      <t>ワリビキガク</t>
    </rPh>
    <rPh sb="4" eb="5">
      <t>ツキ</t>
    </rPh>
    <rPh sb="5" eb="6">
      <t>ガク</t>
    </rPh>
    <rPh sb="6" eb="8">
      <t>ジョウゲン</t>
    </rPh>
    <rPh sb="13" eb="14">
      <t>エン</t>
    </rPh>
    <rPh sb="16" eb="18">
      <t>ザイセキ</t>
    </rPh>
    <rPh sb="18" eb="20">
      <t>ツキスウ</t>
    </rPh>
    <rPh sb="21" eb="23">
      <t>ニンズウ</t>
    </rPh>
    <phoneticPr fontId="1"/>
  </si>
  <si>
    <t>月額上限255,500円×月数</t>
    <rPh sb="0" eb="1">
      <t>ツキ</t>
    </rPh>
    <rPh sb="1" eb="2">
      <t>ガク</t>
    </rPh>
    <rPh sb="2" eb="4">
      <t>ジョウゲン</t>
    </rPh>
    <rPh sb="11" eb="12">
      <t>エン</t>
    </rPh>
    <rPh sb="13" eb="15">
      <t>ツキスウ</t>
    </rPh>
    <phoneticPr fontId="1"/>
  </si>
  <si>
    <t>交付申請額</t>
    <rPh sb="0" eb="2">
      <t>コウフ</t>
    </rPh>
    <rPh sb="2" eb="4">
      <t>シンセイ</t>
    </rPh>
    <rPh sb="4" eb="5">
      <t>ガク</t>
    </rPh>
    <phoneticPr fontId="1"/>
  </si>
  <si>
    <t>誤りがないことを確認した。
対象額ではないものを入力していたら、返金となることを了承している。</t>
    <rPh sb="0" eb="1">
      <t>アヤマ</t>
    </rPh>
    <rPh sb="8" eb="10">
      <t>カクニン</t>
    </rPh>
    <rPh sb="14" eb="16">
      <t>タイショウ</t>
    </rPh>
    <rPh sb="16" eb="17">
      <t>ガク</t>
    </rPh>
    <rPh sb="24" eb="26">
      <t>ニュウリョク</t>
    </rPh>
    <rPh sb="32" eb="34">
      <t>ヘンキン</t>
    </rPh>
    <rPh sb="40" eb="42">
      <t>リョウショウ</t>
    </rPh>
    <phoneticPr fontId="1"/>
  </si>
  <si>
    <t>加配
人数</t>
    <rPh sb="0" eb="2">
      <t>カハイ</t>
    </rPh>
    <rPh sb="3" eb="5">
      <t>ニンズウ</t>
    </rPh>
    <phoneticPr fontId="1"/>
  </si>
  <si>
    <t>支給した額（年額）</t>
    <rPh sb="0" eb="2">
      <t>シキュウ</t>
    </rPh>
    <rPh sb="4" eb="5">
      <t>ガク</t>
    </rPh>
    <rPh sb="6" eb="8">
      <t>ネンガク</t>
    </rPh>
    <phoneticPr fontId="1"/>
  </si>
  <si>
    <t>委託・燃料・謝礼</t>
    <rPh sb="0" eb="2">
      <t>イタク</t>
    </rPh>
    <rPh sb="3" eb="5">
      <t>ネンリョウ</t>
    </rPh>
    <rPh sb="6" eb="8">
      <t>シャレイ</t>
    </rPh>
    <phoneticPr fontId="1"/>
  </si>
  <si>
    <t>補助金(物価高騰）</t>
    <rPh sb="0" eb="3">
      <t>ホジョキン</t>
    </rPh>
    <rPh sb="4" eb="6">
      <t>ブッカ</t>
    </rPh>
    <rPh sb="6" eb="8">
      <t>コウトウ</t>
    </rPh>
    <phoneticPr fontId="24"/>
  </si>
  <si>
    <t>取   崩    額</t>
    <rPh sb="0" eb="1">
      <t>トリ</t>
    </rPh>
    <rPh sb="4" eb="5">
      <t>ホウ</t>
    </rPh>
    <rPh sb="9" eb="10">
      <t>ガク</t>
    </rPh>
    <phoneticPr fontId="15"/>
  </si>
  <si>
    <t>繰　入　金</t>
    <rPh sb="0" eb="1">
      <t>クリ</t>
    </rPh>
    <rPh sb="2" eb="3">
      <t>ニュウ</t>
    </rPh>
    <rPh sb="4" eb="5">
      <t>キン</t>
    </rPh>
    <phoneticPr fontId="15"/>
  </si>
  <si>
    <t>（A）家庭、学校等との連絡および情報交換等の育成支援に従事する職員を配置</t>
    <rPh sb="3" eb="5">
      <t>カテイ</t>
    </rPh>
    <rPh sb="6" eb="8">
      <t>ガッコウ</t>
    </rPh>
    <rPh sb="8" eb="9">
      <t>トウ</t>
    </rPh>
    <rPh sb="11" eb="13">
      <t>レンラク</t>
    </rPh>
    <rPh sb="16" eb="18">
      <t>ジョウホウ</t>
    </rPh>
    <rPh sb="18" eb="20">
      <t>コウカン</t>
    </rPh>
    <rPh sb="20" eb="21">
      <t>トウ</t>
    </rPh>
    <rPh sb="22" eb="24">
      <t>イクセイ</t>
    </rPh>
    <rPh sb="24" eb="26">
      <t>シエン</t>
    </rPh>
    <rPh sb="27" eb="29">
      <t>ジュウジ</t>
    </rPh>
    <rPh sb="31" eb="33">
      <t>ショクイン</t>
    </rPh>
    <rPh sb="34" eb="36">
      <t>ハイチ</t>
    </rPh>
    <phoneticPr fontId="1"/>
  </si>
  <si>
    <t>（B）（A）に加え、地域等との連絡・協力等の育成支援に従事する常勤職員を配置</t>
    <rPh sb="7" eb="8">
      <t>クワ</t>
    </rPh>
    <rPh sb="10" eb="12">
      <t>チイキ</t>
    </rPh>
    <rPh sb="12" eb="13">
      <t>トウ</t>
    </rPh>
    <rPh sb="15" eb="17">
      <t>レンラク</t>
    </rPh>
    <rPh sb="18" eb="20">
      <t>キョウリョク</t>
    </rPh>
    <rPh sb="20" eb="21">
      <t>トウ</t>
    </rPh>
    <rPh sb="22" eb="24">
      <t>イクセイ</t>
    </rPh>
    <rPh sb="24" eb="26">
      <t>シエン</t>
    </rPh>
    <rPh sb="27" eb="29">
      <t>ジュウジ</t>
    </rPh>
    <rPh sb="31" eb="33">
      <t>ジョウキン</t>
    </rPh>
    <rPh sb="33" eb="35">
      <t>ショクイン</t>
    </rPh>
    <rPh sb="36" eb="38">
      <t>ハイチ</t>
    </rPh>
    <phoneticPr fontId="1"/>
  </si>
  <si>
    <t>(令和５年３月31日）</t>
    <rPh sb="1" eb="3">
      <t>レイワ</t>
    </rPh>
    <rPh sb="4" eb="5">
      <t>ネン</t>
    </rPh>
    <rPh sb="6" eb="7">
      <t>ガツ</t>
    </rPh>
    <rPh sb="9" eb="10">
      <t>ニチ</t>
    </rPh>
    <phoneticPr fontId="15"/>
  </si>
  <si>
    <t>連絡先(電話(必須)・メール)</t>
    <rPh sb="0" eb="3">
      <t>レンラクサキ</t>
    </rPh>
    <rPh sb="4" eb="6">
      <t>デンワ</t>
    </rPh>
    <rPh sb="7" eb="9">
      <t>ヒッス</t>
    </rPh>
    <phoneticPr fontId="1"/>
  </si>
  <si>
    <t>連絡先(電話（必須）・メール)</t>
    <rPh sb="0" eb="3">
      <t>レンラクサキ</t>
    </rPh>
    <rPh sb="4" eb="6">
      <t>デンワ</t>
    </rPh>
    <rPh sb="7" eb="9">
      <t>ヒッス</t>
    </rPh>
    <phoneticPr fontId="1"/>
  </si>
  <si>
    <t>(6)-②放課後児童支援員キャリアアップ処遇改善加算</t>
    <rPh sb="5" eb="8">
      <t>ホウカゴ</t>
    </rPh>
    <rPh sb="8" eb="10">
      <t>ジドウ</t>
    </rPh>
    <rPh sb="10" eb="12">
      <t>シエン</t>
    </rPh>
    <rPh sb="12" eb="13">
      <t>イン</t>
    </rPh>
    <rPh sb="20" eb="26">
      <t>ショグウカイゼンカサン</t>
    </rPh>
    <phoneticPr fontId="24"/>
  </si>
  <si>
    <t>確認するところ</t>
    <rPh sb="0" eb="2">
      <t>カクニン</t>
    </rPh>
    <phoneticPr fontId="1"/>
  </si>
  <si>
    <t>確認作業</t>
    <rPh sb="0" eb="2">
      <t>カクニン</t>
    </rPh>
    <rPh sb="2" eb="4">
      <t>サギョウ</t>
    </rPh>
    <phoneticPr fontId="1"/>
  </si>
  <si>
    <t>「キャリアアップ②・③」</t>
    <phoneticPr fontId="1"/>
  </si>
  <si>
    <t>「キャリアアップ③」</t>
    <phoneticPr fontId="1"/>
  </si>
  <si>
    <t>　子どもの遊びや生活の環境及び帰宅時の安全等について地域の協力が得られるように、自治会・町内会や民生委員・児童委員（主任児童委員）等の地域組織や子どもに関わる関係機関等と情報交換や情報共有、相互交流を図ること。</t>
    <phoneticPr fontId="1"/>
  </si>
  <si>
    <t>開所とみなす
閉所の日付
及び理由</t>
    <rPh sb="0" eb="2">
      <t>カイショ</t>
    </rPh>
    <rPh sb="7" eb="9">
      <t>ヘイショ</t>
    </rPh>
    <rPh sb="10" eb="12">
      <t>ヒヅケ</t>
    </rPh>
    <rPh sb="13" eb="14">
      <t>オヨ</t>
    </rPh>
    <rPh sb="15" eb="17">
      <t>リユウ</t>
    </rPh>
    <phoneticPr fontId="1"/>
  </si>
  <si>
    <t>○</t>
    <phoneticPr fontId="1"/>
  </si>
  <si>
    <t>開所日で
児童数０人の
日付及び理由</t>
    <rPh sb="0" eb="2">
      <t>カイショ</t>
    </rPh>
    <rPh sb="2" eb="3">
      <t>ヒ</t>
    </rPh>
    <rPh sb="5" eb="7">
      <t>ジドウ</t>
    </rPh>
    <rPh sb="7" eb="8">
      <t>スウ</t>
    </rPh>
    <rPh sb="9" eb="10">
      <t>ニン</t>
    </rPh>
    <rPh sb="12" eb="14">
      <t>ヒヅケ</t>
    </rPh>
    <rPh sb="14" eb="15">
      <t>オヨ</t>
    </rPh>
    <rPh sb="16" eb="18">
      <t>リユウ</t>
    </rPh>
    <phoneticPr fontId="1"/>
  </si>
  <si>
    <t>日</t>
    <phoneticPr fontId="1"/>
  </si>
  <si>
    <t>土祝</t>
    <rPh sb="1" eb="2">
      <t>シュク</t>
    </rPh>
    <phoneticPr fontId="1"/>
  </si>
  <si>
    <t>水祝</t>
    <rPh sb="1" eb="2">
      <t>シュク</t>
    </rPh>
    <phoneticPr fontId="1"/>
  </si>
  <si>
    <t>木祝</t>
    <rPh sb="1" eb="2">
      <t>シュク</t>
    </rPh>
    <phoneticPr fontId="1"/>
  </si>
  <si>
    <t>金祝</t>
    <rPh sb="1" eb="2">
      <t>シュク</t>
    </rPh>
    <phoneticPr fontId="1"/>
  </si>
  <si>
    <t>月祝</t>
    <rPh sb="1" eb="2">
      <t>シュク</t>
    </rPh>
    <phoneticPr fontId="1"/>
  </si>
  <si>
    <t>日祝</t>
    <rPh sb="1" eb="2">
      <t>シュク</t>
    </rPh>
    <phoneticPr fontId="1"/>
  </si>
  <si>
    <t>月振</t>
    <rPh sb="1" eb="2">
      <t>シン</t>
    </rPh>
    <phoneticPr fontId="1"/>
  </si>
  <si>
    <r>
      <t>※交付済額（Ｂ）は</t>
    </r>
    <r>
      <rPr>
        <b/>
        <sz val="13"/>
        <color theme="1"/>
        <rFont val="BIZ UDPゴシック"/>
        <family val="3"/>
        <charset val="128"/>
      </rPr>
      <t>「すでに交付決定された金額」</t>
    </r>
    <r>
      <rPr>
        <sz val="13"/>
        <color theme="1"/>
        <rFont val="BIZ UDPゴシック"/>
        <family val="3"/>
        <charset val="128"/>
      </rPr>
      <t>です。</t>
    </r>
    <phoneticPr fontId="1"/>
  </si>
  <si>
    <t>令和５年度放課後児童名簿・利用料割引者名簿</t>
    <rPh sb="0" eb="1">
      <t>レイ</t>
    </rPh>
    <rPh sb="1" eb="2">
      <t>ワ</t>
    </rPh>
    <rPh sb="3" eb="5">
      <t>ネンド</t>
    </rPh>
    <rPh sb="4" eb="5">
      <t>ド</t>
    </rPh>
    <rPh sb="5" eb="8">
      <t>ホウカゴ</t>
    </rPh>
    <rPh sb="8" eb="10">
      <t>ジドウ</t>
    </rPh>
    <rPh sb="10" eb="12">
      <t>メイボ</t>
    </rPh>
    <rPh sb="13" eb="16">
      <t>リヨウリョウ</t>
    </rPh>
    <rPh sb="16" eb="18">
      <t>ワリビキ</t>
    </rPh>
    <rPh sb="18" eb="19">
      <t>シャ</t>
    </rPh>
    <rPh sb="19" eb="21">
      <t>メイボ</t>
    </rPh>
    <phoneticPr fontId="1"/>
  </si>
  <si>
    <t>クラブ従事年数（R5.4.1時点）</t>
    <rPh sb="3" eb="5">
      <t>ジュウジ</t>
    </rPh>
    <rPh sb="5" eb="7">
      <t>ネンスウ</t>
    </rPh>
    <rPh sb="14" eb="16">
      <t>ジテン</t>
    </rPh>
    <phoneticPr fontId="1"/>
  </si>
  <si>
    <t>ただし、令和５年度放課後児童健全育成事業補助金として。</t>
    <rPh sb="4" eb="5">
      <t>レイ</t>
    </rPh>
    <rPh sb="5" eb="6">
      <t>ワ</t>
    </rPh>
    <rPh sb="7" eb="9">
      <t>ネンド</t>
    </rPh>
    <rPh sb="8" eb="9">
      <t>ド</t>
    </rPh>
    <rPh sb="9" eb="12">
      <t>ホウカゴ</t>
    </rPh>
    <rPh sb="12" eb="14">
      <t>ジドウ</t>
    </rPh>
    <rPh sb="14" eb="16">
      <t>ケンゼン</t>
    </rPh>
    <rPh sb="16" eb="18">
      <t>イクセイ</t>
    </rPh>
    <rPh sb="18" eb="20">
      <t>ジギョウ</t>
    </rPh>
    <rPh sb="20" eb="23">
      <t>ホジョキン</t>
    </rPh>
    <phoneticPr fontId="1"/>
  </si>
  <si>
    <t>令和５年放課後児童健全育成事業補助金</t>
    <rPh sb="0" eb="1">
      <t>レイ</t>
    </rPh>
    <rPh sb="1" eb="2">
      <t>ワ</t>
    </rPh>
    <rPh sb="3" eb="4">
      <t>ネン</t>
    </rPh>
    <rPh sb="4" eb="7">
      <t>ホウカゴ</t>
    </rPh>
    <rPh sb="7" eb="9">
      <t>ジドウ</t>
    </rPh>
    <rPh sb="9" eb="11">
      <t>ケンゼン</t>
    </rPh>
    <rPh sb="11" eb="13">
      <t>イクセイ</t>
    </rPh>
    <rPh sb="13" eb="15">
      <t>ジギョウ</t>
    </rPh>
    <rPh sb="15" eb="18">
      <t>ホジョキン</t>
    </rPh>
    <phoneticPr fontId="1"/>
  </si>
  <si>
    <t>新型コロナウイルス感染症対策支援事業</t>
    <rPh sb="0" eb="2">
      <t>シンガタ</t>
    </rPh>
    <rPh sb="9" eb="12">
      <t>カンセンショウ</t>
    </rPh>
    <rPh sb="12" eb="14">
      <t>タイサク</t>
    </rPh>
    <rPh sb="14" eb="16">
      <t>シエン</t>
    </rPh>
    <rPh sb="16" eb="18">
      <t>ジギョウ</t>
    </rPh>
    <phoneticPr fontId="1"/>
  </si>
  <si>
    <t>一の支援の単位を構成する児童の数が19人以下の場合　4,009,000 円</t>
    <phoneticPr fontId="1"/>
  </si>
  <si>
    <t>小規模放課後児童クラブ支援事業（実施要綱の別添８）を実施している場合　1,250,000円</t>
    <phoneticPr fontId="1"/>
  </si>
  <si>
    <t>一の支援の単位を構成する児童の数が20人以上の場合7,357,000円</t>
    <rPh sb="34" eb="35">
      <t>エン</t>
    </rPh>
    <phoneticPr fontId="1"/>
  </si>
  <si>
    <t>（平日）「１日６時間を超え、かつ18時を超える時間」の年間平均時間数×765,000円</t>
    <rPh sb="1" eb="3">
      <t>ヘイジツ</t>
    </rPh>
    <phoneticPr fontId="1"/>
  </si>
  <si>
    <t>（長期休暇等）「１日８時間を超える時間」の年間平均時間数×345,000円</t>
    <rPh sb="1" eb="3">
      <t>チョウキ</t>
    </rPh>
    <rPh sb="3" eb="5">
      <t>キュウカ</t>
    </rPh>
    <rPh sb="5" eb="6">
      <t>トウ</t>
    </rPh>
    <phoneticPr fontId="1"/>
  </si>
  <si>
    <t>●常勤職員の処遇改善の対象額計算シート（R05基準）</t>
    <rPh sb="1" eb="3">
      <t>ジョウキン</t>
    </rPh>
    <rPh sb="3" eb="5">
      <t>ショクイン</t>
    </rPh>
    <rPh sb="6" eb="8">
      <t>ショグウ</t>
    </rPh>
    <rPh sb="8" eb="10">
      <t>カイゼン</t>
    </rPh>
    <rPh sb="11" eb="13">
      <t>タイショウ</t>
    </rPh>
    <rPh sb="13" eb="14">
      <t>ガク</t>
    </rPh>
    <rPh sb="14" eb="16">
      <t>ケイサン</t>
    </rPh>
    <rPh sb="23" eb="25">
      <t>キジュン</t>
    </rPh>
    <phoneticPr fontId="1"/>
  </si>
  <si>
    <t>②　補助基準額（令和５年度）</t>
    <rPh sb="2" eb="4">
      <t>ホジョ</t>
    </rPh>
    <rPh sb="4" eb="6">
      <t>キジュン</t>
    </rPh>
    <rPh sb="6" eb="7">
      <t>ガク</t>
    </rPh>
    <rPh sb="8" eb="10">
      <t>レイワ</t>
    </rPh>
    <rPh sb="11" eb="13">
      <t>ネンド</t>
    </rPh>
    <phoneticPr fontId="1"/>
  </si>
  <si>
    <t>⑩賃金改善額（令和５年度の４-３月分）</t>
    <phoneticPr fontId="1"/>
  </si>
  <si>
    <t>（令和５年度）</t>
    <rPh sb="1" eb="3">
      <t>レイワ</t>
    </rPh>
    <rPh sb="4" eb="6">
      <t>ネンド</t>
    </rPh>
    <phoneticPr fontId="1"/>
  </si>
  <si>
    <t>（提出期限：令和６年５月１日（水））</t>
    <rPh sb="1" eb="3">
      <t>テイシュツ</t>
    </rPh>
    <rPh sb="3" eb="5">
      <t>キゲン</t>
    </rPh>
    <rPh sb="6" eb="7">
      <t>レイ</t>
    </rPh>
    <rPh sb="7" eb="8">
      <t>ワ</t>
    </rPh>
    <rPh sb="9" eb="10">
      <t>ネン</t>
    </rPh>
    <rPh sb="11" eb="12">
      <t>ガツ</t>
    </rPh>
    <rPh sb="13" eb="14">
      <t>ニチ</t>
    </rPh>
    <rPh sb="15" eb="16">
      <t>スイ</t>
    </rPh>
    <phoneticPr fontId="1"/>
  </si>
  <si>
    <t>令和５年度事業実績内訳書</t>
    <rPh sb="0" eb="1">
      <t>レイ</t>
    </rPh>
    <rPh sb="1" eb="2">
      <t>ワ</t>
    </rPh>
    <rPh sb="3" eb="5">
      <t>ネンド</t>
    </rPh>
    <rPh sb="4" eb="5">
      <t>ド</t>
    </rPh>
    <rPh sb="5" eb="7">
      <t>ジギョウ</t>
    </rPh>
    <rPh sb="7" eb="9">
      <t>ジッセキ</t>
    </rPh>
    <rPh sb="9" eb="12">
      <t>ウチワケショ</t>
    </rPh>
    <phoneticPr fontId="1"/>
  </si>
  <si>
    <t>令和５年度決算書（期間：自　令和５年４月１日　　至　令和６年３月31日）</t>
    <rPh sb="0" eb="1">
      <t>レイ</t>
    </rPh>
    <rPh sb="1" eb="2">
      <t>ワ</t>
    </rPh>
    <rPh sb="3" eb="5">
      <t>ネンド</t>
    </rPh>
    <rPh sb="4" eb="5">
      <t>ド</t>
    </rPh>
    <rPh sb="5" eb="8">
      <t>ケッサンショ</t>
    </rPh>
    <rPh sb="9" eb="11">
      <t>キカン</t>
    </rPh>
    <rPh sb="12" eb="13">
      <t>ジ</t>
    </rPh>
    <rPh sb="14" eb="16">
      <t>レイワ</t>
    </rPh>
    <rPh sb="17" eb="18">
      <t>ネン</t>
    </rPh>
    <rPh sb="19" eb="20">
      <t>ガツ</t>
    </rPh>
    <rPh sb="21" eb="22">
      <t>ニチ</t>
    </rPh>
    <rPh sb="24" eb="25">
      <t>イタル</t>
    </rPh>
    <rPh sb="26" eb="27">
      <t>レイ</t>
    </rPh>
    <rPh sb="27" eb="28">
      <t>ワ</t>
    </rPh>
    <rPh sb="29" eb="30">
      <t>ネン</t>
    </rPh>
    <rPh sb="30" eb="31">
      <t>ヘイネン</t>
    </rPh>
    <rPh sb="31" eb="32">
      <t>ガツ</t>
    </rPh>
    <rPh sb="34" eb="35">
      <t>ニチ</t>
    </rPh>
    <phoneticPr fontId="24"/>
  </si>
  <si>
    <t>新型コロナウイルス感染症対策支援事業</t>
    <phoneticPr fontId="1"/>
  </si>
  <si>
    <t>(令和６年３月31日）</t>
    <rPh sb="1" eb="3">
      <t>レイワ</t>
    </rPh>
    <rPh sb="4" eb="5">
      <t>ネン</t>
    </rPh>
    <rPh sb="6" eb="7">
      <t>ガツ</t>
    </rPh>
    <rPh sb="9" eb="10">
      <t>ニチ</t>
    </rPh>
    <phoneticPr fontId="15"/>
  </si>
  <si>
    <t>2,558,000円－（19人－児童数）×29,000円</t>
    <rPh sb="9" eb="10">
      <t>エン</t>
    </rPh>
    <rPh sb="14" eb="15">
      <t>ニン</t>
    </rPh>
    <rPh sb="16" eb="18">
      <t>ジドウ</t>
    </rPh>
    <rPh sb="18" eb="19">
      <t>スウ</t>
    </rPh>
    <rPh sb="27" eb="28">
      <t>エン</t>
    </rPh>
    <phoneticPr fontId="1"/>
  </si>
  <si>
    <t>4,734,000円－（36人－児童数）×26,000円</t>
    <rPh sb="9" eb="10">
      <t>エン</t>
    </rPh>
    <rPh sb="14" eb="15">
      <t>ニン</t>
    </rPh>
    <rPh sb="16" eb="18">
      <t>ジドウ</t>
    </rPh>
    <rPh sb="18" eb="19">
      <t>スウ</t>
    </rPh>
    <rPh sb="27" eb="28">
      <t>エン</t>
    </rPh>
    <phoneticPr fontId="1"/>
  </si>
  <si>
    <t>4,734,000円</t>
    <rPh sb="9" eb="10">
      <t>エン</t>
    </rPh>
    <phoneticPr fontId="1"/>
  </si>
  <si>
    <t>4,734,000円－（児童数－45人）×69,000円</t>
    <rPh sb="9" eb="10">
      <t>エン</t>
    </rPh>
    <rPh sb="12" eb="14">
      <t>ジドウ</t>
    </rPh>
    <rPh sb="14" eb="15">
      <t>スウ</t>
    </rPh>
    <rPh sb="18" eb="19">
      <t>ニン</t>
    </rPh>
    <rPh sb="27" eb="28">
      <t>エン</t>
    </rPh>
    <phoneticPr fontId="1"/>
  </si>
  <si>
    <t>3,099,000円</t>
    <rPh sb="9" eb="10">
      <t>エン</t>
    </rPh>
    <phoneticPr fontId="1"/>
  </si>
  <si>
    <t>625,000円</t>
    <rPh sb="7" eb="8">
      <t>エン</t>
    </rPh>
    <phoneticPr fontId="1"/>
  </si>
  <si>
    <t>「１日６時間を超え、かつ18時を超える時間」の年間平均時間数×409,000円</t>
    <rPh sb="2" eb="3">
      <t>ニチ</t>
    </rPh>
    <rPh sb="4" eb="6">
      <t>ジカン</t>
    </rPh>
    <rPh sb="7" eb="8">
      <t>コ</t>
    </rPh>
    <rPh sb="14" eb="15">
      <t>ジ</t>
    </rPh>
    <rPh sb="16" eb="17">
      <t>コ</t>
    </rPh>
    <rPh sb="19" eb="21">
      <t>ジカン</t>
    </rPh>
    <rPh sb="23" eb="25">
      <t>ネンカン</t>
    </rPh>
    <rPh sb="25" eb="27">
      <t>ヘイキン</t>
    </rPh>
    <rPh sb="27" eb="29">
      <t>ジカン</t>
    </rPh>
    <rPh sb="29" eb="30">
      <t>スウ</t>
    </rPh>
    <rPh sb="38" eb="39">
      <t>エン</t>
    </rPh>
    <phoneticPr fontId="1"/>
  </si>
  <si>
    <t>2,009,000円×在籍月数÷12月</t>
    <rPh sb="9" eb="10">
      <t>エン</t>
    </rPh>
    <rPh sb="11" eb="13">
      <t>ザイセキ</t>
    </rPh>
    <rPh sb="13" eb="15">
      <t>ツキスウ</t>
    </rPh>
    <rPh sb="18" eb="19">
      <t>ツキ</t>
    </rPh>
    <phoneticPr fontId="1"/>
  </si>
  <si>
    <t>401,000円×在籍月数÷12月</t>
    <rPh sb="7" eb="8">
      <t>エン</t>
    </rPh>
    <rPh sb="9" eb="11">
      <t>ザイセキ</t>
    </rPh>
    <rPh sb="11" eb="13">
      <t>ツキスウ</t>
    </rPh>
    <rPh sb="16" eb="17">
      <t>ツキ</t>
    </rPh>
    <phoneticPr fontId="1"/>
  </si>
  <si>
    <t>2,000,000円×在籍月数÷12月</t>
    <rPh sb="9" eb="10">
      <t>エン</t>
    </rPh>
    <rPh sb="11" eb="13">
      <t>ザイセキ</t>
    </rPh>
    <rPh sb="13" eb="15">
      <t>ツキスウ</t>
    </rPh>
    <rPh sb="18" eb="19">
      <t>ツキ</t>
    </rPh>
    <phoneticPr fontId="1"/>
  </si>
  <si>
    <t>放課後児童支援員等処遇改善
（月額9,000円相当賃金改善）加算</t>
    <phoneticPr fontId="1"/>
  </si>
  <si>
    <t>上限521,000円×実施月数÷12月</t>
    <rPh sb="0" eb="2">
      <t>ジョウゲン</t>
    </rPh>
    <rPh sb="9" eb="10">
      <t>エン</t>
    </rPh>
    <rPh sb="11" eb="13">
      <t>ジッシ</t>
    </rPh>
    <rPh sb="13" eb="15">
      <t>ツキスウ</t>
    </rPh>
    <rPh sb="18" eb="19">
      <t>ツキ</t>
    </rPh>
    <phoneticPr fontId="1"/>
  </si>
  <si>
    <t>補助金算出シート（通常分）</t>
    <rPh sb="0" eb="3">
      <t>ホジョキン</t>
    </rPh>
    <rPh sb="3" eb="5">
      <t>サンシュツ</t>
    </rPh>
    <rPh sb="9" eb="11">
      <t>ツウジョウ</t>
    </rPh>
    <rPh sb="11" eb="12">
      <t>ブン</t>
    </rPh>
    <phoneticPr fontId="1"/>
  </si>
  <si>
    <t>（提出期限：令和　６年　３月　2１日（木））</t>
    <rPh sb="1" eb="3">
      <t>テイシュツ</t>
    </rPh>
    <rPh sb="3" eb="5">
      <t>キゲン</t>
    </rPh>
    <rPh sb="6" eb="7">
      <t>レイ</t>
    </rPh>
    <rPh sb="7" eb="8">
      <t>ワ</t>
    </rPh>
    <rPh sb="10" eb="11">
      <t>ネン</t>
    </rPh>
    <rPh sb="13" eb="14">
      <t>ガツ</t>
    </rPh>
    <rPh sb="17" eb="18">
      <t>ニチ</t>
    </rPh>
    <rPh sb="19" eb="20">
      <t>モク</t>
    </rPh>
    <phoneticPr fontId="1"/>
  </si>
  <si>
    <t>（様式２）令和５年度クラブ児童数等報告書</t>
    <rPh sb="1" eb="3">
      <t>ヨウシキ</t>
    </rPh>
    <rPh sb="5" eb="7">
      <t>レイワ</t>
    </rPh>
    <rPh sb="8" eb="10">
      <t>ネンド</t>
    </rPh>
    <rPh sb="15" eb="16">
      <t>スウ</t>
    </rPh>
    <rPh sb="16" eb="17">
      <t>トウ</t>
    </rPh>
    <rPh sb="17" eb="20">
      <t>ホウコクショ</t>
    </rPh>
    <phoneticPr fontId="1"/>
  </si>
  <si>
    <t>(様式３)
●職員名簿および各種加算等一覧</t>
    <rPh sb="1" eb="3">
      <t>ヨウシキ</t>
    </rPh>
    <rPh sb="7" eb="9">
      <t>ショクイン</t>
    </rPh>
    <rPh sb="9" eb="11">
      <t>メイボ</t>
    </rPh>
    <rPh sb="14" eb="16">
      <t>カクシュ</t>
    </rPh>
    <rPh sb="16" eb="18">
      <t>カサン</t>
    </rPh>
    <rPh sb="18" eb="19">
      <t>トウ</t>
    </rPh>
    <rPh sb="19" eb="21">
      <t>イチラン</t>
    </rPh>
    <phoneticPr fontId="1"/>
  </si>
  <si>
    <t>(様式４)年間開所カレンダー</t>
    <rPh sb="1" eb="3">
      <t>ヨウシキ</t>
    </rPh>
    <rPh sb="5" eb="7">
      <t>ネンカン</t>
    </rPh>
    <rPh sb="7" eb="9">
      <t>カイショ</t>
    </rPh>
    <phoneticPr fontId="1"/>
  </si>
  <si>
    <t>（様式５）</t>
    <rPh sb="1" eb="3">
      <t>ヨウシキ</t>
    </rPh>
    <phoneticPr fontId="1"/>
  </si>
  <si>
    <t>（様式６）</t>
    <rPh sb="1" eb="3">
      <t>ヨウシキ</t>
    </rPh>
    <phoneticPr fontId="1"/>
  </si>
  <si>
    <t>（様式１）</t>
    <rPh sb="1" eb="3">
      <t>ヨウシキ</t>
    </rPh>
    <phoneticPr fontId="1"/>
  </si>
  <si>
    <t>（様式７）</t>
    <rPh sb="1" eb="3">
      <t>ヨウシキ</t>
    </rPh>
    <phoneticPr fontId="1"/>
  </si>
  <si>
    <t>（様式８）</t>
    <rPh sb="1" eb="3">
      <t>ヨウシキ</t>
    </rPh>
    <phoneticPr fontId="1"/>
  </si>
  <si>
    <t>キャリアアップ
区分</t>
    <rPh sb="8" eb="10">
      <t>クブン</t>
    </rPh>
    <phoneticPr fontId="1"/>
  </si>
  <si>
    <t>放課後児童支援員等処遇改善（月額9,000円相当賃金改善）加算）</t>
    <rPh sb="29" eb="31">
      <t>カサン</t>
    </rPh>
    <phoneticPr fontId="1"/>
  </si>
  <si>
    <t>(6)-③放課後児童支援員等処遇改善（月9,000円相当賃金改善）加算</t>
    <rPh sb="5" eb="14">
      <t>ホウカゴジドウシエンイントウ</t>
    </rPh>
    <rPh sb="14" eb="16">
      <t>ショグウ</t>
    </rPh>
    <rPh sb="16" eb="18">
      <t>カイゼン</t>
    </rPh>
    <rPh sb="19" eb="20">
      <t>ツキ</t>
    </rPh>
    <rPh sb="21" eb="26">
      <t>０００エン</t>
    </rPh>
    <rPh sb="26" eb="28">
      <t>ソウトウ</t>
    </rPh>
    <rPh sb="28" eb="30">
      <t>チンギン</t>
    </rPh>
    <rPh sb="30" eb="32">
      <t>カイゼン</t>
    </rPh>
    <phoneticPr fontId="24"/>
  </si>
  <si>
    <t>支援員
資格研修
終了年度</t>
    <rPh sb="0" eb="2">
      <t>シエン</t>
    </rPh>
    <rPh sb="2" eb="3">
      <t>イン</t>
    </rPh>
    <rPh sb="4" eb="6">
      <t>シカク</t>
    </rPh>
    <rPh sb="6" eb="8">
      <t>ケンシュウ</t>
    </rPh>
    <rPh sb="9" eb="11">
      <t>シュウリョウ</t>
    </rPh>
    <rPh sb="11" eb="13">
      <t>ネンド</t>
    </rPh>
    <phoneticPr fontId="1"/>
  </si>
  <si>
    <t>事務員等</t>
    <rPh sb="0" eb="3">
      <t>ジムイン</t>
    </rPh>
    <rPh sb="3" eb="4">
      <t>ナド</t>
    </rPh>
    <phoneticPr fontId="1"/>
  </si>
  <si>
    <t>R5</t>
    <phoneticPr fontId="1"/>
  </si>
  <si>
    <t>運営規程で定めている開所時間を満たさずに開所した場合や、平日３時間以上、平日以外は８時間以上開所していない場合は、返金となることを承知している。</t>
    <rPh sb="0" eb="2">
      <t>ウンエイ</t>
    </rPh>
    <rPh sb="2" eb="4">
      <t>キテイ</t>
    </rPh>
    <rPh sb="5" eb="6">
      <t>サダ</t>
    </rPh>
    <rPh sb="10" eb="12">
      <t>カイショ</t>
    </rPh>
    <rPh sb="12" eb="14">
      <t>ジカン</t>
    </rPh>
    <rPh sb="15" eb="16">
      <t>ミ</t>
    </rPh>
    <rPh sb="20" eb="22">
      <t>カイショ</t>
    </rPh>
    <rPh sb="24" eb="26">
      <t>バアイ</t>
    </rPh>
    <rPh sb="28" eb="30">
      <t>ヘイジツ</t>
    </rPh>
    <rPh sb="31" eb="33">
      <t>ジカン</t>
    </rPh>
    <rPh sb="33" eb="35">
      <t>イジョウ</t>
    </rPh>
    <rPh sb="36" eb="38">
      <t>ヘイジツ</t>
    </rPh>
    <rPh sb="38" eb="40">
      <t>イガイ</t>
    </rPh>
    <rPh sb="42" eb="44">
      <t>ジカン</t>
    </rPh>
    <rPh sb="44" eb="46">
      <t>イジョウ</t>
    </rPh>
    <rPh sb="46" eb="48">
      <t>カイショ</t>
    </rPh>
    <rPh sb="53" eb="55">
      <t>バアイ</t>
    </rPh>
    <rPh sb="57" eb="59">
      <t>ヘンキン</t>
    </rPh>
    <rPh sb="65" eb="67">
      <t>ショウチ</t>
    </rPh>
    <phoneticPr fontId="1"/>
  </si>
  <si>
    <t>運営規程で定めている開所時間</t>
    <rPh sb="0" eb="2">
      <t>ウンエイ</t>
    </rPh>
    <rPh sb="2" eb="4">
      <t>キテイ</t>
    </rPh>
    <rPh sb="5" eb="6">
      <t>サダ</t>
    </rPh>
    <rPh sb="10" eb="12">
      <t>カイショ</t>
    </rPh>
    <rPh sb="12" eb="14">
      <t>ジカン</t>
    </rPh>
    <phoneticPr fontId="1"/>
  </si>
  <si>
    <t>障害児６名以上で、障害児受入加算の職員配置に加え２名加配</t>
    <rPh sb="0" eb="3">
      <t>ショウガイジ</t>
    </rPh>
    <rPh sb="4" eb="7">
      <t>メイイジョウ</t>
    </rPh>
    <rPh sb="9" eb="12">
      <t>ショウガイジ</t>
    </rPh>
    <rPh sb="12" eb="14">
      <t>ウケイレ</t>
    </rPh>
    <rPh sb="14" eb="16">
      <t>カサン</t>
    </rPh>
    <rPh sb="17" eb="19">
      <t>ショクイン</t>
    </rPh>
    <rPh sb="19" eb="21">
      <t>ハイチ</t>
    </rPh>
    <rPh sb="22" eb="23">
      <t>クワ</t>
    </rPh>
    <rPh sb="25" eb="26">
      <t>メイ</t>
    </rPh>
    <rPh sb="26" eb="28">
      <t>カハイ</t>
    </rPh>
    <phoneticPr fontId="1"/>
  </si>
  <si>
    <t>4,000,000円×在籍月数÷12月</t>
    <rPh sb="9" eb="10">
      <t>エン</t>
    </rPh>
    <rPh sb="11" eb="13">
      <t>ザイセキ</t>
    </rPh>
    <rPh sb="13" eb="15">
      <t>ツキスウ</t>
    </rPh>
    <rPh sb="18" eb="19">
      <t>ツキ</t>
    </rPh>
    <phoneticPr fontId="1"/>
  </si>
  <si>
    <t>障害児９名以上で、障害児受入加算の職員配置に加え３名加配</t>
    <rPh sb="0" eb="3">
      <t>ショウガイジ</t>
    </rPh>
    <rPh sb="4" eb="7">
      <t>メイイジョウ</t>
    </rPh>
    <rPh sb="9" eb="12">
      <t>ショウガイジ</t>
    </rPh>
    <rPh sb="12" eb="14">
      <t>ウケイレ</t>
    </rPh>
    <rPh sb="14" eb="16">
      <t>カサン</t>
    </rPh>
    <rPh sb="17" eb="19">
      <t>ショクイン</t>
    </rPh>
    <rPh sb="19" eb="21">
      <t>ハイチ</t>
    </rPh>
    <rPh sb="22" eb="23">
      <t>クワ</t>
    </rPh>
    <rPh sb="25" eb="26">
      <t>メイ</t>
    </rPh>
    <rPh sb="26" eb="28">
      <t>カハイ</t>
    </rPh>
    <phoneticPr fontId="1"/>
  </si>
  <si>
    <t>6,000,000円×在籍月数÷12月</t>
    <rPh sb="9" eb="10">
      <t>エン</t>
    </rPh>
    <rPh sb="11" eb="13">
      <t>ザイセキ</t>
    </rPh>
    <rPh sb="13" eb="15">
      <t>ツキスウ</t>
    </rPh>
    <rPh sb="18" eb="19">
      <t>ツキ</t>
    </rPh>
    <phoneticPr fontId="1"/>
  </si>
  <si>
    <t>（年間開所日数－250日）×19,000円</t>
    <rPh sb="1" eb="3">
      <t>ネンカン</t>
    </rPh>
    <rPh sb="3" eb="5">
      <t>カイショ</t>
    </rPh>
    <rPh sb="5" eb="7">
      <t>ニッスウ</t>
    </rPh>
    <rPh sb="11" eb="12">
      <t>ニチ</t>
    </rPh>
    <rPh sb="20" eb="21">
      <t>エン</t>
    </rPh>
    <phoneticPr fontId="1"/>
  </si>
  <si>
    <t>「１日８時間を超える時間」の年間平均時間×184,000円</t>
    <rPh sb="2" eb="3">
      <t>ニチ</t>
    </rPh>
    <rPh sb="4" eb="6">
      <t>ジカン</t>
    </rPh>
    <rPh sb="7" eb="8">
      <t>コ</t>
    </rPh>
    <rPh sb="10" eb="12">
      <t>ジカン</t>
    </rPh>
    <rPh sb="14" eb="16">
      <t>ネンカン</t>
    </rPh>
    <rPh sb="16" eb="18">
      <t>ヘイキン</t>
    </rPh>
    <rPh sb="18" eb="20">
      <t>ジカン</t>
    </rPh>
    <rPh sb="28" eb="29">
      <t>エン</t>
    </rPh>
    <phoneticPr fontId="1"/>
  </si>
  <si>
    <t>障害児１名以上で、２名以上の支援員等に１名加配</t>
    <rPh sb="0" eb="3">
      <t>ショウガイジ</t>
    </rPh>
    <rPh sb="4" eb="7">
      <t>メイイジョウ</t>
    </rPh>
    <rPh sb="10" eb="13">
      <t>メイイジョウ</t>
    </rPh>
    <rPh sb="14" eb="16">
      <t>シエン</t>
    </rPh>
    <rPh sb="16" eb="18">
      <t>イントウ</t>
    </rPh>
    <rPh sb="20" eb="21">
      <t>メイ</t>
    </rPh>
    <rPh sb="21" eb="23">
      <t>カハイ</t>
    </rPh>
    <phoneticPr fontId="1"/>
  </si>
  <si>
    <t>年額上限1,678,000円or3,158,000円</t>
    <rPh sb="0" eb="2">
      <t>ネンガク</t>
    </rPh>
    <rPh sb="2" eb="4">
      <t>ジョウゲン</t>
    </rPh>
    <rPh sb="13" eb="14">
      <t>エン</t>
    </rPh>
    <rPh sb="25" eb="26">
      <t>エン</t>
    </rPh>
    <phoneticPr fontId="1"/>
  </si>
  <si>
    <r>
      <t xml:space="preserve">①放課後児童支援員　　　　　　　　　　　　　　　　　　（１人当たり年額上限131,000円） 
②経験年数概ね５年以上の放課後児童支援員で、市が指定する研修を受講した者
　　　　　　　　　　　　　　　　　　　　　　　　　　　　　　　（１人当たり年額上限263,000円）　
③経験年数概ね10年以上の放課後児童支援員で、市が指定する研修を受講した事
　 業所長的立場にある者    　　　　　　　　　　（原則１名とし、１人当たり年額上限　394,000円）　
　                                                             　　　 </t>
    </r>
    <r>
      <rPr>
        <u/>
        <sz val="10"/>
        <rFont val="ＭＳ Ｐゴシック"/>
        <family val="3"/>
        <charset val="128"/>
        <scheme val="minor"/>
      </rPr>
      <t xml:space="preserve"> １クラブ当たり 上限919,000円</t>
    </r>
    <rPh sb="1" eb="4">
      <t>ホウカゴ</t>
    </rPh>
    <rPh sb="4" eb="6">
      <t>ジドウ</t>
    </rPh>
    <rPh sb="6" eb="8">
      <t>シエン</t>
    </rPh>
    <rPh sb="8" eb="9">
      <t>イン</t>
    </rPh>
    <rPh sb="29" eb="30">
      <t>ニン</t>
    </rPh>
    <rPh sb="30" eb="31">
      <t>ア</t>
    </rPh>
    <rPh sb="33" eb="35">
      <t>ネンガク</t>
    </rPh>
    <rPh sb="35" eb="37">
      <t>ジョウゲン</t>
    </rPh>
    <rPh sb="44" eb="45">
      <t>エン</t>
    </rPh>
    <rPh sb="49" eb="51">
      <t>ケイケン</t>
    </rPh>
    <rPh sb="51" eb="53">
      <t>ネンスウ</t>
    </rPh>
    <rPh sb="53" eb="54">
      <t>オオム</t>
    </rPh>
    <rPh sb="56" eb="59">
      <t>ネンイジョウ</t>
    </rPh>
    <rPh sb="60" eb="63">
      <t>ホウカゴ</t>
    </rPh>
    <rPh sb="63" eb="65">
      <t>ジドウ</t>
    </rPh>
    <rPh sb="65" eb="67">
      <t>シエン</t>
    </rPh>
    <rPh sb="67" eb="68">
      <t>イン</t>
    </rPh>
    <rPh sb="70" eb="71">
      <t>シ</t>
    </rPh>
    <rPh sb="72" eb="74">
      <t>シテイ</t>
    </rPh>
    <rPh sb="76" eb="78">
      <t>ケンシュウ</t>
    </rPh>
    <rPh sb="79" eb="81">
      <t>ジュコウ</t>
    </rPh>
    <rPh sb="83" eb="84">
      <t>モノ</t>
    </rPh>
    <rPh sb="118" eb="119">
      <t>ニン</t>
    </rPh>
    <rPh sb="119" eb="120">
      <t>ア</t>
    </rPh>
    <rPh sb="122" eb="124">
      <t>ネンガク</t>
    </rPh>
    <rPh sb="124" eb="126">
      <t>ジョウゲン</t>
    </rPh>
    <rPh sb="133" eb="134">
      <t>エン</t>
    </rPh>
    <rPh sb="138" eb="140">
      <t>ケイケン</t>
    </rPh>
    <rPh sb="140" eb="142">
      <t>ネンスウ</t>
    </rPh>
    <rPh sb="142" eb="143">
      <t>オオム</t>
    </rPh>
    <rPh sb="146" eb="149">
      <t>ネンイジョウ</t>
    </rPh>
    <rPh sb="150" eb="153">
      <t>ホウカゴ</t>
    </rPh>
    <rPh sb="153" eb="155">
      <t>ジドウ</t>
    </rPh>
    <rPh sb="155" eb="157">
      <t>シエン</t>
    </rPh>
    <rPh sb="157" eb="158">
      <t>イン</t>
    </rPh>
    <rPh sb="180" eb="181">
      <t>テキ</t>
    </rPh>
    <rPh sb="181" eb="183">
      <t>タチバ</t>
    </rPh>
    <rPh sb="186" eb="187">
      <t>モノ</t>
    </rPh>
    <rPh sb="202" eb="204">
      <t>ゲンソク</t>
    </rPh>
    <rPh sb="205" eb="206">
      <t>メイ</t>
    </rPh>
    <rPh sb="210" eb="211">
      <t>ニン</t>
    </rPh>
    <rPh sb="211" eb="212">
      <t>ア</t>
    </rPh>
    <rPh sb="214" eb="216">
      <t>ネンガク</t>
    </rPh>
    <rPh sb="216" eb="218">
      <t>ジョウゲン</t>
    </rPh>
    <rPh sb="226" eb="227">
      <t>エン</t>
    </rPh>
    <rPh sb="301" eb="302">
      <t>ア</t>
    </rPh>
    <rPh sb="305" eb="307">
      <t>ジョウゲン</t>
    </rPh>
    <rPh sb="314" eb="315">
      <t>エン</t>
    </rPh>
    <phoneticPr fontId="1"/>
  </si>
  <si>
    <t>年額上限1,451,000円</t>
    <rPh sb="0" eb="2">
      <t>ネンガク</t>
    </rPh>
    <rPh sb="2" eb="4">
      <t>ジョウゲン</t>
    </rPh>
    <rPh sb="13" eb="14">
      <t>エン</t>
    </rPh>
    <phoneticPr fontId="1"/>
  </si>
  <si>
    <t>年額上限10,000円</t>
    <rPh sb="0" eb="2">
      <t>ネンガク</t>
    </rPh>
    <rPh sb="2" eb="4">
      <t>ジョウゲン</t>
    </rPh>
    <rPh sb="10" eb="11">
      <t>エン</t>
    </rPh>
    <phoneticPr fontId="1"/>
  </si>
  <si>
    <t>障害児２名で、２名以上の支援員等に１名加配（放課後児童支援員等の職員配置は受入加算時と同様）</t>
    <rPh sb="0" eb="3">
      <t>ショウガイジ</t>
    </rPh>
    <rPh sb="4" eb="5">
      <t>メイ</t>
    </rPh>
    <rPh sb="22" eb="25">
      <t>ホウカゴ</t>
    </rPh>
    <rPh sb="25" eb="27">
      <t>ジドウ</t>
    </rPh>
    <rPh sb="27" eb="29">
      <t>シエン</t>
    </rPh>
    <rPh sb="29" eb="30">
      <t>イン</t>
    </rPh>
    <rPh sb="30" eb="31">
      <t>トウ</t>
    </rPh>
    <rPh sb="32" eb="34">
      <t>ショクイン</t>
    </rPh>
    <rPh sb="34" eb="36">
      <t>ハイチ</t>
    </rPh>
    <rPh sb="37" eb="38">
      <t>ウ</t>
    </rPh>
    <rPh sb="38" eb="39">
      <t>イ</t>
    </rPh>
    <rPh sb="39" eb="41">
      <t>カサン</t>
    </rPh>
    <rPh sb="41" eb="42">
      <t>ジ</t>
    </rPh>
    <rPh sb="43" eb="45">
      <t>ドウヨウ</t>
    </rPh>
    <phoneticPr fontId="1"/>
  </si>
  <si>
    <t>※各補助項目千円未満切り捨てです（11は除く）。</t>
    <rPh sb="1" eb="2">
      <t>カク</t>
    </rPh>
    <rPh sb="2" eb="4">
      <t>ホジョ</t>
    </rPh>
    <rPh sb="4" eb="6">
      <t>コウモク</t>
    </rPh>
    <rPh sb="6" eb="8">
      <t>センエン</t>
    </rPh>
    <rPh sb="8" eb="10">
      <t>ミマン</t>
    </rPh>
    <rPh sb="10" eb="11">
      <t>キ</t>
    </rPh>
    <rPh sb="12" eb="13">
      <t>ス</t>
    </rPh>
    <rPh sb="20" eb="21">
      <t>ノゾ</t>
    </rPh>
    <phoneticPr fontId="1"/>
  </si>
  <si>
    <t>●●　●●</t>
    <phoneticPr fontId="1"/>
  </si>
  <si>
    <t>横須賀</t>
    <rPh sb="0" eb="3">
      <t>ヨコスカ</t>
    </rPh>
    <phoneticPr fontId="1"/>
  </si>
  <si>
    <t>小川</t>
    <rPh sb="0" eb="2">
      <t>オガワ</t>
    </rPh>
    <phoneticPr fontId="1"/>
  </si>
  <si>
    <t>●●町０－０</t>
    <rPh sb="2" eb="3">
      <t>マチ</t>
    </rPh>
    <phoneticPr fontId="1"/>
  </si>
  <si>
    <t>○</t>
  </si>
  <si>
    <t>　</t>
    <phoneticPr fontId="1"/>
  </si>
  <si>
    <t>AA　AA</t>
  </si>
  <si>
    <t>AA　AA</t>
    <phoneticPr fontId="1"/>
  </si>
  <si>
    <t>R2</t>
  </si>
  <si>
    <t>R5</t>
  </si>
  <si>
    <t>２年０か月</t>
    <rPh sb="1" eb="2">
      <t>ネン</t>
    </rPh>
    <rPh sb="4" eb="5">
      <t>ゲツ</t>
    </rPh>
    <phoneticPr fontId="1"/>
  </si>
  <si>
    <t>５か月</t>
    <rPh sb="2" eb="3">
      <t>ゲツ</t>
    </rPh>
    <phoneticPr fontId="1"/>
  </si>
  <si>
    <t>１年９か月</t>
    <rPh sb="1" eb="2">
      <t>ネン</t>
    </rPh>
    <rPh sb="4" eb="5">
      <t>ゲツ</t>
    </rPh>
    <phoneticPr fontId="1"/>
  </si>
  <si>
    <t>２か月</t>
    <rPh sb="2" eb="3">
      <t>ゲツ</t>
    </rPh>
    <phoneticPr fontId="1"/>
  </si>
  <si>
    <t>③</t>
  </si>
  <si>
    <t>②</t>
  </si>
  <si>
    <t>〇</t>
  </si>
  <si>
    <t>R4</t>
  </si>
  <si>
    <t>R1</t>
  </si>
  <si>
    <t>８年６か月</t>
    <rPh sb="1" eb="2">
      <t>ネン</t>
    </rPh>
    <rPh sb="4" eb="5">
      <t>ゲツ</t>
    </rPh>
    <phoneticPr fontId="1"/>
  </si>
  <si>
    <t>５年５か月</t>
    <rPh sb="1" eb="2">
      <t>ネン</t>
    </rPh>
    <rPh sb="4" eb="5">
      <t>ゲツ</t>
    </rPh>
    <phoneticPr fontId="1"/>
  </si>
  <si>
    <t>６か月</t>
    <rPh sb="2" eb="3">
      <t>ゲツ</t>
    </rPh>
    <phoneticPr fontId="1"/>
  </si>
  <si>
    <t>BB　BB</t>
    <phoneticPr fontId="1"/>
  </si>
  <si>
    <t>CC　CC</t>
    <phoneticPr fontId="1"/>
  </si>
  <si>
    <t>DD　DD</t>
    <phoneticPr fontId="1"/>
  </si>
  <si>
    <t>EE　EE</t>
    <phoneticPr fontId="1"/>
  </si>
  <si>
    <t>FF　FF</t>
    <phoneticPr fontId="1"/>
  </si>
  <si>
    <t>GG GG（10月～３月）</t>
    <rPh sb="8" eb="9">
      <t>ガツ</t>
    </rPh>
    <rPh sb="11" eb="12">
      <t>ガツ</t>
    </rPh>
    <phoneticPr fontId="1"/>
  </si>
  <si>
    <t>GG　GG（４月～９月）</t>
    <rPh sb="7" eb="8">
      <t>ガツ</t>
    </rPh>
    <rPh sb="10" eb="11">
      <t>ガツ</t>
    </rPh>
    <phoneticPr fontId="1"/>
  </si>
  <si>
    <t>BB　BB</t>
  </si>
  <si>
    <t>EE　EE</t>
  </si>
  <si>
    <t>支援員</t>
  </si>
  <si>
    <t>対象</t>
  </si>
  <si>
    <t>補助員</t>
  </si>
  <si>
    <t>FF　FF</t>
  </si>
  <si>
    <t>CC　CC</t>
  </si>
  <si>
    <t>DD　DD</t>
  </si>
  <si>
    <t>平日は、14時～19時
土曜は、９時～18時
日曜は、閉所日です。
祝日は、９時～18時
長期休暇は、９時～18時</t>
    <rPh sb="0" eb="2">
      <t>ヘイジツ</t>
    </rPh>
    <rPh sb="6" eb="7">
      <t>ジ</t>
    </rPh>
    <rPh sb="10" eb="11">
      <t>ジ</t>
    </rPh>
    <rPh sb="12" eb="13">
      <t>ツチ</t>
    </rPh>
    <rPh sb="13" eb="14">
      <t>ヨウ</t>
    </rPh>
    <rPh sb="17" eb="18">
      <t>ジ</t>
    </rPh>
    <rPh sb="21" eb="22">
      <t>ジ</t>
    </rPh>
    <rPh sb="23" eb="24">
      <t>ニチ</t>
    </rPh>
    <rPh sb="24" eb="25">
      <t>ヨウ</t>
    </rPh>
    <rPh sb="27" eb="29">
      <t>ヘイショ</t>
    </rPh>
    <rPh sb="29" eb="30">
      <t>ビ</t>
    </rPh>
    <rPh sb="34" eb="35">
      <t>シュク</t>
    </rPh>
    <rPh sb="35" eb="36">
      <t>ヒ</t>
    </rPh>
    <rPh sb="39" eb="40">
      <t>ジ</t>
    </rPh>
    <rPh sb="43" eb="44">
      <t>ジ</t>
    </rPh>
    <rPh sb="45" eb="47">
      <t>チョウキ</t>
    </rPh>
    <rPh sb="47" eb="49">
      <t>キュウカ</t>
    </rPh>
    <rPh sb="52" eb="53">
      <t>ジ</t>
    </rPh>
    <rPh sb="56" eb="57">
      <t>ジ</t>
    </rPh>
    <phoneticPr fontId="1"/>
  </si>
  <si>
    <t>４月10日　コロナによる閉所</t>
    <rPh sb="1" eb="2">
      <t>ガツ</t>
    </rPh>
    <rPh sb="4" eb="5">
      <t>ニチ</t>
    </rPh>
    <rPh sb="12" eb="14">
      <t>ヘイショ</t>
    </rPh>
    <phoneticPr fontId="1"/>
  </si>
  <si>
    <t>２月10日　利用予定が１名あったが、当日朝に欠席連絡があったため</t>
    <rPh sb="1" eb="2">
      <t>ガツ</t>
    </rPh>
    <rPh sb="4" eb="5">
      <t>ニチ</t>
    </rPh>
    <rPh sb="6" eb="8">
      <t>リヨウ</t>
    </rPh>
    <rPh sb="8" eb="10">
      <t>ヨテイ</t>
    </rPh>
    <rPh sb="12" eb="13">
      <t>メイ</t>
    </rPh>
    <rPh sb="18" eb="20">
      <t>トウジツ</t>
    </rPh>
    <rPh sb="20" eb="21">
      <t>アサ</t>
    </rPh>
    <rPh sb="22" eb="24">
      <t>ケッセキ</t>
    </rPh>
    <rPh sb="24" eb="26">
      <t>レンラク</t>
    </rPh>
    <phoneticPr fontId="1"/>
  </si>
  <si>
    <t>AA AA</t>
    <phoneticPr fontId="1"/>
  </si>
  <si>
    <t>●●●-●●●●</t>
    <phoneticPr fontId="1"/>
  </si>
  <si>
    <t>BB　BB</t>
    <phoneticPr fontId="1"/>
  </si>
  <si>
    <t>同上</t>
    <rPh sb="0" eb="2">
      <t>ドウジョウ</t>
    </rPh>
    <phoneticPr fontId="1"/>
  </si>
  <si>
    <t>横須賀市小川町●●</t>
    <rPh sb="0" eb="4">
      <t>ヨコスカシ</t>
    </rPh>
    <rPh sb="4" eb="7">
      <t>オガワチョウ</t>
    </rPh>
    <phoneticPr fontId="1"/>
  </si>
  <si>
    <t>●●法人　●●●●</t>
    <rPh sb="2" eb="4">
      <t>ホウジン</t>
    </rPh>
    <phoneticPr fontId="1"/>
  </si>
  <si>
    <t>理事長　</t>
    <rPh sb="0" eb="3">
      <t>リジチョウ</t>
    </rPh>
    <phoneticPr fontId="1"/>
  </si>
  <si>
    <t>●●　●●</t>
    <phoneticPr fontId="1"/>
  </si>
  <si>
    <t>周知している</t>
  </si>
  <si>
    <t>継続する</t>
  </si>
  <si>
    <t>AA　AA</t>
    <phoneticPr fontId="1"/>
  </si>
  <si>
    <t>CC　CC</t>
    <phoneticPr fontId="1"/>
  </si>
  <si>
    <t>DD　DD</t>
    <phoneticPr fontId="1"/>
  </si>
  <si>
    <t>EE　EE</t>
    <phoneticPr fontId="1"/>
  </si>
  <si>
    <t>FF　FF</t>
    <phoneticPr fontId="1"/>
  </si>
  <si>
    <t>放課後児童支援員</t>
  </si>
  <si>
    <t>育成支援の周辺業務を行う職員</t>
  </si>
  <si>
    <t>常勤職員</t>
  </si>
  <si>
    <t>非常勤職員</t>
  </si>
  <si>
    <t>理事長　●●　●●</t>
    <rPh sb="0" eb="3">
      <t>リジチョウ</t>
    </rPh>
    <phoneticPr fontId="1"/>
  </si>
  <si>
    <t>●●●－●●●●</t>
    <phoneticPr fontId="1"/>
  </si>
  <si>
    <t>メールアドレスは●●＠●●</t>
    <phoneticPr fontId="1"/>
  </si>
  <si>
    <t>＠●●●円×●人</t>
    <rPh sb="4" eb="5">
      <t>エン</t>
    </rPh>
    <rPh sb="7" eb="8">
      <t>ヒト</t>
    </rPh>
    <phoneticPr fontId="1"/>
  </si>
  <si>
    <t>　　</t>
    <phoneticPr fontId="1"/>
  </si>
  <si>
    <t>前年度からの繰越金</t>
    <rPh sb="0" eb="3">
      <t>ゼンネンド</t>
    </rPh>
    <rPh sb="6" eb="8">
      <t>クリコシ</t>
    </rPh>
    <rPh sb="8" eb="9">
      <t>キン</t>
    </rPh>
    <phoneticPr fontId="1"/>
  </si>
  <si>
    <t>積立金からの取崩額</t>
    <rPh sb="0" eb="2">
      <t>ツミタテ</t>
    </rPh>
    <rPh sb="2" eb="3">
      <t>キン</t>
    </rPh>
    <phoneticPr fontId="1"/>
  </si>
  <si>
    <t>積立金への繰入金</t>
    <rPh sb="0" eb="2">
      <t>ツミタテ</t>
    </rPh>
    <rPh sb="2" eb="3">
      <t>キン</t>
    </rPh>
    <rPh sb="5" eb="8">
      <t>クリイレキン</t>
    </rPh>
    <phoneticPr fontId="24"/>
  </si>
  <si>
    <t>次年度への繰越金</t>
    <rPh sb="0" eb="3">
      <t>ジネンド</t>
    </rPh>
    <rPh sb="5" eb="7">
      <t>クリコシ</t>
    </rPh>
    <rPh sb="7" eb="8">
      <t>キン</t>
    </rPh>
    <phoneticPr fontId="1"/>
  </si>
  <si>
    <t>※放課後児童クラブで勤務する職員のうち、賃金改善を行う者（職種問わず、非常勤を含み、経営に携わる法人の役員を除く。）を記載してくだささい。</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1"/>
  </si>
  <si>
    <t>※行が足りない場合は適宜追加してください。</t>
    <rPh sb="1" eb="2">
      <t>ギョウ</t>
    </rPh>
    <rPh sb="3" eb="4">
      <t>タ</t>
    </rPh>
    <rPh sb="7" eb="9">
      <t>バアイ</t>
    </rPh>
    <rPh sb="10" eb="12">
      <t>テキギ</t>
    </rPh>
    <rPh sb="12" eb="14">
      <t>ツイカ</t>
    </rPh>
    <phoneticPr fontId="1"/>
  </si>
  <si>
    <t>（様式９）</t>
    <rPh sb="1" eb="3">
      <t>ヨウシキ</t>
    </rPh>
    <phoneticPr fontId="24"/>
  </si>
  <si>
    <t>（様式10）</t>
    <rPh sb="1" eb="3">
      <t>ヨウシキ</t>
    </rPh>
    <phoneticPr fontId="1"/>
  </si>
  <si>
    <t>□　（様式７）実績報告書
□　（様式８）令和５年度事業実績内訳書
□　（様式９）令和５年度決算書
□　（様式10）令和5年度積立金等現在高報告書
□　チェックシート３</t>
    <rPh sb="52" eb="54">
      <t>ヨウシキ</t>
    </rPh>
    <phoneticPr fontId="1"/>
  </si>
  <si>
    <t>チェックシート３</t>
    <phoneticPr fontId="1"/>
  </si>
  <si>
    <t>（確認シート）</t>
    <rPh sb="1" eb="3">
      <t>カクニン</t>
    </rPh>
    <phoneticPr fontId="1"/>
  </si>
  <si>
    <t>法人名・団体名</t>
    <phoneticPr fontId="1"/>
  </si>
  <si>
    <t>№</t>
    <phoneticPr fontId="1"/>
  </si>
  <si>
    <t>確認項目</t>
    <rPh sb="0" eb="2">
      <t>カクニン</t>
    </rPh>
    <rPh sb="2" eb="4">
      <t>コウモク</t>
    </rPh>
    <phoneticPr fontId="1"/>
  </si>
  <si>
    <t>ﾁｴｯｸ</t>
    <phoneticPr fontId="1"/>
  </si>
  <si>
    <r>
      <rPr>
        <b/>
        <u val="double"/>
        <sz val="11"/>
        <color rgb="FFFF0000"/>
        <rFont val="ＭＳ Ｐゴシック"/>
        <family val="3"/>
        <charset val="128"/>
      </rPr>
      <t>●障害児受入関係加算を申請するクラブのみ回答</t>
    </r>
    <r>
      <rPr>
        <sz val="11"/>
        <color theme="1"/>
        <rFont val="ＭＳ Ｐゴシック"/>
        <family val="3"/>
        <charset val="128"/>
      </rPr>
      <t xml:space="preserve">
障害児受入関係加算（障害児受入加算、障害児受入特別加算、障害児受入強化加算）は、障害児を受け入れるために必要な専門的知識等を有する放課後児童支援員等（放課後児童支援員、補助員）を配置するために、掛かった費用を申請している。
【以下具体例】
</t>
    </r>
    <r>
      <rPr>
        <b/>
        <u/>
        <sz val="11"/>
        <color theme="1"/>
        <rFont val="ＭＳ Ｐゴシック"/>
        <family val="3"/>
        <charset val="128"/>
      </rPr>
      <t>障害児受入加算の加配職員として時給1,500円の支援員が年間800時間勤務した分を申請する場合</t>
    </r>
    <r>
      <rPr>
        <sz val="11"/>
        <color theme="1"/>
        <rFont val="ＭＳ Ｐゴシック"/>
        <family val="3"/>
        <charset val="128"/>
      </rPr>
      <t xml:space="preserve">
1,500円×800時間＝1,200,000円と上限額2,009,000円（12か月分の場合）を比較して低い額で申請する必要がある。
</t>
    </r>
    <rPh sb="1" eb="3">
      <t>ショウガイ</t>
    </rPh>
    <rPh sb="3" eb="4">
      <t>ジ</t>
    </rPh>
    <rPh sb="4" eb="6">
      <t>ウケイ</t>
    </rPh>
    <rPh sb="6" eb="8">
      <t>カンケイ</t>
    </rPh>
    <rPh sb="8" eb="10">
      <t>カサン</t>
    </rPh>
    <rPh sb="11" eb="13">
      <t>シンセイ</t>
    </rPh>
    <rPh sb="20" eb="22">
      <t>カイトウ</t>
    </rPh>
    <rPh sb="23" eb="25">
      <t>ショウガイ</t>
    </rPh>
    <rPh sb="25" eb="26">
      <t>ジ</t>
    </rPh>
    <rPh sb="26" eb="28">
      <t>ウケイ</t>
    </rPh>
    <rPh sb="28" eb="30">
      <t>カンケイ</t>
    </rPh>
    <rPh sb="30" eb="32">
      <t>カサン</t>
    </rPh>
    <rPh sb="33" eb="35">
      <t>ショウガイ</t>
    </rPh>
    <rPh sb="51" eb="53">
      <t>ショウガイ</t>
    </rPh>
    <rPh sb="53" eb="54">
      <t>ジ</t>
    </rPh>
    <rPh sb="54" eb="56">
      <t>ウケイ</t>
    </rPh>
    <rPh sb="56" eb="58">
      <t>キョウカ</t>
    </rPh>
    <rPh sb="58" eb="60">
      <t>カサン</t>
    </rPh>
    <rPh sb="63" eb="65">
      <t>ショウガイ</t>
    </rPh>
    <rPh sb="65" eb="66">
      <t>ジ</t>
    </rPh>
    <rPh sb="67" eb="68">
      <t>ウ</t>
    </rPh>
    <rPh sb="69" eb="70">
      <t>イ</t>
    </rPh>
    <rPh sb="75" eb="77">
      <t>ヒツヨウ</t>
    </rPh>
    <rPh sb="78" eb="80">
      <t>センモン</t>
    </rPh>
    <rPh sb="80" eb="81">
      <t>テキ</t>
    </rPh>
    <rPh sb="81" eb="83">
      <t>チシキ</t>
    </rPh>
    <rPh sb="83" eb="84">
      <t>トウ</t>
    </rPh>
    <rPh sb="85" eb="86">
      <t>ユウ</t>
    </rPh>
    <rPh sb="88" eb="91">
      <t>ホウカゴ</t>
    </rPh>
    <rPh sb="91" eb="93">
      <t>ジドウ</t>
    </rPh>
    <rPh sb="93" eb="95">
      <t>シエン</t>
    </rPh>
    <rPh sb="95" eb="96">
      <t>イン</t>
    </rPh>
    <rPh sb="96" eb="97">
      <t>トウ</t>
    </rPh>
    <rPh sb="98" eb="101">
      <t>ホウカゴ</t>
    </rPh>
    <rPh sb="101" eb="103">
      <t>ジドウ</t>
    </rPh>
    <rPh sb="103" eb="105">
      <t>シエン</t>
    </rPh>
    <rPh sb="105" eb="106">
      <t>イン</t>
    </rPh>
    <rPh sb="107" eb="110">
      <t>ホジョイン</t>
    </rPh>
    <rPh sb="112" eb="114">
      <t>ハイチ</t>
    </rPh>
    <rPh sb="120" eb="121">
      <t>カ</t>
    </rPh>
    <rPh sb="124" eb="126">
      <t>ヒヨウ</t>
    </rPh>
    <rPh sb="137" eb="139">
      <t>イカ</t>
    </rPh>
    <rPh sb="139" eb="141">
      <t>グタイ</t>
    </rPh>
    <rPh sb="141" eb="142">
      <t>レイ</t>
    </rPh>
    <rPh sb="152" eb="154">
      <t>カハイ</t>
    </rPh>
    <rPh sb="154" eb="156">
      <t>ショクイン</t>
    </rPh>
    <rPh sb="159" eb="161">
      <t>ジキュウ</t>
    </rPh>
    <rPh sb="166" eb="167">
      <t>エン</t>
    </rPh>
    <rPh sb="168" eb="170">
      <t>シエン</t>
    </rPh>
    <rPh sb="170" eb="171">
      <t>イン</t>
    </rPh>
    <rPh sb="172" eb="174">
      <t>ネンカン</t>
    </rPh>
    <rPh sb="177" eb="179">
      <t>ジカン</t>
    </rPh>
    <rPh sb="179" eb="181">
      <t>キンム</t>
    </rPh>
    <rPh sb="183" eb="184">
      <t>ブン</t>
    </rPh>
    <rPh sb="185" eb="187">
      <t>シンセイ</t>
    </rPh>
    <rPh sb="189" eb="191">
      <t>バアイ</t>
    </rPh>
    <rPh sb="197" eb="198">
      <t>エン</t>
    </rPh>
    <rPh sb="202" eb="204">
      <t>ジカン</t>
    </rPh>
    <rPh sb="214" eb="215">
      <t>エン</t>
    </rPh>
    <rPh sb="216" eb="219">
      <t>ジョウゲンガク</t>
    </rPh>
    <rPh sb="228" eb="229">
      <t>エン</t>
    </rPh>
    <rPh sb="233" eb="234">
      <t>ゲツ</t>
    </rPh>
    <rPh sb="234" eb="235">
      <t>ブン</t>
    </rPh>
    <rPh sb="236" eb="238">
      <t>バアイ</t>
    </rPh>
    <rPh sb="240" eb="242">
      <t>ヒカク</t>
    </rPh>
    <rPh sb="244" eb="245">
      <t>ヒク</t>
    </rPh>
    <rPh sb="246" eb="247">
      <t>ガク</t>
    </rPh>
    <rPh sb="248" eb="250">
      <t>シンセイ</t>
    </rPh>
    <rPh sb="252" eb="254">
      <t>ヒツヨウ</t>
    </rPh>
    <phoneticPr fontId="1"/>
  </si>
  <si>
    <r>
      <rPr>
        <b/>
        <u val="double"/>
        <sz val="11"/>
        <color rgb="FFFF0000"/>
        <rFont val="ＭＳ Ｐゴシック"/>
        <family val="3"/>
        <charset val="128"/>
      </rPr>
      <t>●育成支援体制強化加算を申請するクラブのみ回答（委託の場合は回答不要）</t>
    </r>
    <r>
      <rPr>
        <sz val="11"/>
        <color theme="1"/>
        <rFont val="ＭＳ Ｐゴシック"/>
        <family val="3"/>
        <charset val="128"/>
      </rPr>
      <t xml:space="preserve">
放課後児童支援員等が、育成支援体制の周辺業務を行う場合、雇用契約等の中で、放課後児童支援員等としての業務と周辺業務のすみ分けができおり、周辺業務に要した時間が明確になっているため申請している。</t>
    </r>
    <rPh sb="1" eb="3">
      <t>イクセイ</t>
    </rPh>
    <rPh sb="3" eb="5">
      <t>シエン</t>
    </rPh>
    <rPh sb="5" eb="7">
      <t>タイセイ</t>
    </rPh>
    <rPh sb="7" eb="9">
      <t>キョウカ</t>
    </rPh>
    <rPh sb="9" eb="11">
      <t>カサン</t>
    </rPh>
    <rPh sb="12" eb="14">
      <t>シンセイ</t>
    </rPh>
    <rPh sb="21" eb="23">
      <t>カイトウ</t>
    </rPh>
    <rPh sb="24" eb="26">
      <t>イタク</t>
    </rPh>
    <rPh sb="27" eb="29">
      <t>バアイ</t>
    </rPh>
    <rPh sb="30" eb="32">
      <t>カイトウ</t>
    </rPh>
    <rPh sb="32" eb="34">
      <t>フヨウ</t>
    </rPh>
    <rPh sb="36" eb="39">
      <t>ホウカゴ</t>
    </rPh>
    <rPh sb="39" eb="41">
      <t>ジドウ</t>
    </rPh>
    <rPh sb="41" eb="43">
      <t>シエン</t>
    </rPh>
    <rPh sb="43" eb="44">
      <t>イン</t>
    </rPh>
    <rPh sb="44" eb="45">
      <t>トウ</t>
    </rPh>
    <rPh sb="47" eb="49">
      <t>イクセイ</t>
    </rPh>
    <rPh sb="49" eb="51">
      <t>シエン</t>
    </rPh>
    <rPh sb="51" eb="53">
      <t>タイセイ</t>
    </rPh>
    <rPh sb="54" eb="56">
      <t>シュウヘン</t>
    </rPh>
    <rPh sb="56" eb="58">
      <t>ギョウム</t>
    </rPh>
    <rPh sb="59" eb="60">
      <t>オコナ</t>
    </rPh>
    <rPh sb="61" eb="63">
      <t>バアイ</t>
    </rPh>
    <rPh sb="64" eb="66">
      <t>コヨウ</t>
    </rPh>
    <rPh sb="66" eb="68">
      <t>ケイヤク</t>
    </rPh>
    <rPh sb="68" eb="69">
      <t>トウ</t>
    </rPh>
    <rPh sb="70" eb="71">
      <t>ナカ</t>
    </rPh>
    <rPh sb="73" eb="76">
      <t>ホウカゴ</t>
    </rPh>
    <rPh sb="76" eb="78">
      <t>ジドウ</t>
    </rPh>
    <rPh sb="78" eb="80">
      <t>シエン</t>
    </rPh>
    <rPh sb="80" eb="81">
      <t>イン</t>
    </rPh>
    <rPh sb="81" eb="82">
      <t>トウ</t>
    </rPh>
    <rPh sb="86" eb="88">
      <t>ギョウム</t>
    </rPh>
    <rPh sb="89" eb="91">
      <t>シュウヘン</t>
    </rPh>
    <rPh sb="91" eb="93">
      <t>ギョウム</t>
    </rPh>
    <rPh sb="96" eb="97">
      <t>ワ</t>
    </rPh>
    <rPh sb="104" eb="106">
      <t>シュウヘン</t>
    </rPh>
    <rPh sb="106" eb="108">
      <t>ギョウム</t>
    </rPh>
    <rPh sb="109" eb="110">
      <t>ヨウ</t>
    </rPh>
    <rPh sb="112" eb="114">
      <t>ジカン</t>
    </rPh>
    <rPh sb="115" eb="117">
      <t>メイカク</t>
    </rPh>
    <rPh sb="125" eb="127">
      <t>シンセイ</t>
    </rPh>
    <phoneticPr fontId="1"/>
  </si>
  <si>
    <t>支援員等以外を雇用</t>
    <rPh sb="0" eb="2">
      <t>シエン</t>
    </rPh>
    <rPh sb="2" eb="3">
      <t>イン</t>
    </rPh>
    <rPh sb="3" eb="4">
      <t>トウ</t>
    </rPh>
    <rPh sb="4" eb="6">
      <t>イガイ</t>
    </rPh>
    <rPh sb="7" eb="9">
      <t>コヨウ</t>
    </rPh>
    <phoneticPr fontId="1"/>
  </si>
  <si>
    <r>
      <rPr>
        <b/>
        <u val="double"/>
        <sz val="11"/>
        <color rgb="FFFF0000"/>
        <rFont val="ＭＳ Ｐゴシック"/>
        <family val="3"/>
        <charset val="128"/>
      </rPr>
      <t>●処遇改善関係加算（放課後児童支援員等処遇改善等加算、放課後児童支援員キャリアアップ処遇改善改善、放課後児童支援員等処遇改善等加算（月額9,000円相当賃金改善））を申請するクラブのみ回答</t>
    </r>
    <r>
      <rPr>
        <sz val="11"/>
        <color theme="1"/>
        <rFont val="ＭＳ Ｐゴシック"/>
        <family val="3"/>
        <charset val="128"/>
      </rPr>
      <t xml:space="preserve">
令和５年９月26日付通知「神奈川県最低賃金の改正及び放課後児童支援員等処遇改善加算等の注意点について」の内容を理解したため、処遇改善関係加算の申請額に、最低賃金の上昇等に伴う賃金改善分（ベースアップ分）は除いて申請している。</t>
    </r>
    <phoneticPr fontId="1"/>
  </si>
  <si>
    <r>
      <t xml:space="preserve">●処遇改善関係加算を時給に上乗せしており、かつ障害児受入関係加算や育成支援体制強化加算を申請するクラブのみ回答
</t>
    </r>
    <r>
      <rPr>
        <sz val="11"/>
        <rFont val="ＭＳ Ｐゴシック"/>
        <family val="3"/>
        <charset val="128"/>
      </rPr>
      <t xml:space="preserve">障害児受入関係加算、育成支援体制強化加算は、処遇改善加算の時給の上乗せ分を除いて申請している。
【以下具体例】
</t>
    </r>
    <r>
      <rPr>
        <b/>
        <u/>
        <sz val="11"/>
        <rFont val="ＭＳ Ｐゴシック"/>
        <family val="3"/>
        <charset val="128"/>
      </rPr>
      <t xml:space="preserve">支援員等として勤務40時間、育成支援体制職員としての勤務５時間、時給1,200円（基本時給1,100円＋処遇改善分100円）の職員分を申請する場合
</t>
    </r>
    <r>
      <rPr>
        <sz val="11"/>
        <rFont val="ＭＳ Ｐゴシック"/>
        <family val="3"/>
        <charset val="128"/>
      </rPr>
      <t>処遇改善加算100円×45時間＝4,500円分、育成支援体制強化加算1,200円×５時間＝6,000円分を申請すると、処遇改善加算の５時間分が、育成支援体制強化加算と２重で申請していることなるため除いて申請する必要がある。</t>
    </r>
    <rPh sb="1" eb="3">
      <t>ショグウ</t>
    </rPh>
    <rPh sb="3" eb="5">
      <t>カイゼン</t>
    </rPh>
    <rPh sb="5" eb="7">
      <t>カンケイ</t>
    </rPh>
    <rPh sb="7" eb="9">
      <t>カサン</t>
    </rPh>
    <rPh sb="10" eb="12">
      <t>ジキュウ</t>
    </rPh>
    <rPh sb="13" eb="15">
      <t>ウワノ</t>
    </rPh>
    <rPh sb="23" eb="25">
      <t>ショウガイ</t>
    </rPh>
    <rPh sb="25" eb="26">
      <t>ジ</t>
    </rPh>
    <rPh sb="26" eb="28">
      <t>ウケイ</t>
    </rPh>
    <rPh sb="28" eb="30">
      <t>カンケイ</t>
    </rPh>
    <rPh sb="30" eb="32">
      <t>カサン</t>
    </rPh>
    <rPh sb="33" eb="35">
      <t>イクセイ</t>
    </rPh>
    <rPh sb="35" eb="37">
      <t>シエン</t>
    </rPh>
    <rPh sb="37" eb="39">
      <t>タイセイ</t>
    </rPh>
    <rPh sb="39" eb="41">
      <t>キョウカ</t>
    </rPh>
    <rPh sb="41" eb="43">
      <t>カサン</t>
    </rPh>
    <rPh sb="44" eb="46">
      <t>シンセイ</t>
    </rPh>
    <rPh sb="53" eb="55">
      <t>カイトウ</t>
    </rPh>
    <rPh sb="56" eb="58">
      <t>ショウガイ</t>
    </rPh>
    <rPh sb="58" eb="59">
      <t>ジ</t>
    </rPh>
    <rPh sb="59" eb="61">
      <t>ウケイ</t>
    </rPh>
    <rPh sb="61" eb="63">
      <t>カンケイ</t>
    </rPh>
    <rPh sb="63" eb="65">
      <t>カサン</t>
    </rPh>
    <rPh sb="66" eb="68">
      <t>イクセイ</t>
    </rPh>
    <rPh sb="68" eb="70">
      <t>シエン</t>
    </rPh>
    <rPh sb="70" eb="72">
      <t>タイセイ</t>
    </rPh>
    <rPh sb="72" eb="74">
      <t>キョウカ</t>
    </rPh>
    <rPh sb="74" eb="76">
      <t>カサン</t>
    </rPh>
    <rPh sb="78" eb="80">
      <t>ショグウ</t>
    </rPh>
    <rPh sb="80" eb="82">
      <t>カイゼン</t>
    </rPh>
    <rPh sb="82" eb="84">
      <t>カサン</t>
    </rPh>
    <rPh sb="85" eb="87">
      <t>ジキュウ</t>
    </rPh>
    <rPh sb="88" eb="90">
      <t>ウワノ</t>
    </rPh>
    <rPh sb="91" eb="92">
      <t>ブン</t>
    </rPh>
    <rPh sb="93" eb="94">
      <t>ノゾ</t>
    </rPh>
    <rPh sb="96" eb="98">
      <t>シンセイ</t>
    </rPh>
    <rPh sb="106" eb="108">
      <t>イカ</t>
    </rPh>
    <rPh sb="108" eb="110">
      <t>グタイ</t>
    </rPh>
    <rPh sb="110" eb="111">
      <t>レイ</t>
    </rPh>
    <rPh sb="113" eb="115">
      <t>シエン</t>
    </rPh>
    <rPh sb="115" eb="116">
      <t>イン</t>
    </rPh>
    <rPh sb="116" eb="117">
      <t>トウ</t>
    </rPh>
    <rPh sb="131" eb="133">
      <t>タイセイ</t>
    </rPh>
    <rPh sb="139" eb="141">
      <t>キンム</t>
    </rPh>
    <rPh sb="145" eb="147">
      <t>ジキュウ</t>
    </rPh>
    <rPh sb="152" eb="153">
      <t>エン</t>
    </rPh>
    <rPh sb="154" eb="156">
      <t>キホン</t>
    </rPh>
    <rPh sb="156" eb="158">
      <t>ジキュウ</t>
    </rPh>
    <rPh sb="163" eb="164">
      <t>エン</t>
    </rPh>
    <rPh sb="165" eb="167">
      <t>ショグウ</t>
    </rPh>
    <rPh sb="167" eb="169">
      <t>カイゼン</t>
    </rPh>
    <rPh sb="169" eb="170">
      <t>ブン</t>
    </rPh>
    <rPh sb="173" eb="174">
      <t>エン</t>
    </rPh>
    <rPh sb="176" eb="178">
      <t>ショクイン</t>
    </rPh>
    <rPh sb="178" eb="179">
      <t>ブン</t>
    </rPh>
    <rPh sb="180" eb="182">
      <t>シンセイ</t>
    </rPh>
    <rPh sb="184" eb="186">
      <t>バアイ</t>
    </rPh>
    <rPh sb="187" eb="189">
      <t>ショグウ</t>
    </rPh>
    <rPh sb="189" eb="191">
      <t>カイゼン</t>
    </rPh>
    <rPh sb="191" eb="193">
      <t>カサン</t>
    </rPh>
    <rPh sb="196" eb="197">
      <t>エン</t>
    </rPh>
    <rPh sb="200" eb="202">
      <t>ジカン</t>
    </rPh>
    <rPh sb="208" eb="209">
      <t>エン</t>
    </rPh>
    <rPh sb="209" eb="210">
      <t>ブン</t>
    </rPh>
    <rPh sb="211" eb="213">
      <t>イクセイ</t>
    </rPh>
    <rPh sb="213" eb="215">
      <t>シエン</t>
    </rPh>
    <rPh sb="215" eb="217">
      <t>タイセイ</t>
    </rPh>
    <rPh sb="217" eb="219">
      <t>キョウカ</t>
    </rPh>
    <rPh sb="219" eb="221">
      <t>カサン</t>
    </rPh>
    <rPh sb="226" eb="227">
      <t>エン</t>
    </rPh>
    <rPh sb="229" eb="231">
      <t>ジカン</t>
    </rPh>
    <rPh sb="237" eb="238">
      <t>エン</t>
    </rPh>
    <rPh sb="238" eb="239">
      <t>ブン</t>
    </rPh>
    <rPh sb="240" eb="242">
      <t>シンセイ</t>
    </rPh>
    <rPh sb="246" eb="248">
      <t>ショグウ</t>
    </rPh>
    <rPh sb="248" eb="250">
      <t>カイゼン</t>
    </rPh>
    <rPh sb="250" eb="252">
      <t>カサン</t>
    </rPh>
    <rPh sb="254" eb="256">
      <t>ジカン</t>
    </rPh>
    <rPh sb="256" eb="257">
      <t>ブン</t>
    </rPh>
    <rPh sb="259" eb="261">
      <t>イクセイ</t>
    </rPh>
    <rPh sb="261" eb="263">
      <t>シエン</t>
    </rPh>
    <rPh sb="263" eb="265">
      <t>タイセイ</t>
    </rPh>
    <rPh sb="265" eb="267">
      <t>キョウカ</t>
    </rPh>
    <rPh sb="267" eb="269">
      <t>カサン</t>
    </rPh>
    <rPh sb="271" eb="272">
      <t>ジュウ</t>
    </rPh>
    <rPh sb="273" eb="275">
      <t>シンセイ</t>
    </rPh>
    <rPh sb="284" eb="285">
      <t>ノゾ</t>
    </rPh>
    <rPh sb="287" eb="289">
      <t>シンセイ</t>
    </rPh>
    <rPh sb="291" eb="293">
      <t>ヒツヨウ</t>
    </rPh>
    <phoneticPr fontId="1"/>
  </si>
  <si>
    <t>（内訳）</t>
    <rPh sb="1" eb="3">
      <t>ウチワケ</t>
    </rPh>
    <phoneticPr fontId="1"/>
  </si>
  <si>
    <t>基本時給</t>
    <rPh sb="0" eb="2">
      <t>キホン</t>
    </rPh>
    <rPh sb="2" eb="4">
      <t>ジキュウ</t>
    </rPh>
    <phoneticPr fontId="1"/>
  </si>
  <si>
    <t>処遇改善加算</t>
    <rPh sb="2" eb="4">
      <t>カイゼン</t>
    </rPh>
    <rPh sb="4" eb="6">
      <t>カサン</t>
    </rPh>
    <phoneticPr fontId="1"/>
  </si>
  <si>
    <t>キャリアアップ処遇改善加算</t>
    <rPh sb="7" eb="9">
      <t>ショグウ</t>
    </rPh>
    <rPh sb="9" eb="11">
      <t>カイゼン</t>
    </rPh>
    <rPh sb="11" eb="13">
      <t>カサン</t>
    </rPh>
    <phoneticPr fontId="1"/>
  </si>
  <si>
    <t>処遇改善（月9,000円相当賃金改善）加算</t>
    <rPh sb="0" eb="2">
      <t>ショグウ</t>
    </rPh>
    <rPh sb="2" eb="4">
      <t>カイゼン</t>
    </rPh>
    <rPh sb="5" eb="6">
      <t>ツキ</t>
    </rPh>
    <rPh sb="11" eb="12">
      <t>エン</t>
    </rPh>
    <rPh sb="12" eb="14">
      <t>ソウトウ</t>
    </rPh>
    <rPh sb="14" eb="16">
      <t>チンギン</t>
    </rPh>
    <rPh sb="16" eb="18">
      <t>カイゼン</t>
    </rPh>
    <rPh sb="19" eb="21">
      <t>カサン</t>
    </rPh>
    <phoneticPr fontId="1"/>
  </si>
  <si>
    <t>４～９月</t>
    <rPh sb="3" eb="4">
      <t>ガツ</t>
    </rPh>
    <phoneticPr fontId="1"/>
  </si>
  <si>
    <t>10～３月</t>
    <rPh sb="4" eb="5">
      <t>ガツ</t>
    </rPh>
    <phoneticPr fontId="1"/>
  </si>
  <si>
    <r>
      <t xml:space="preserve">□　（様式１）放課後児童名簿・利用料割引者名簿
□　（様式２）クラブ児童数等報告書
□　（様式３）職員名簿及び各種加算等一覧
□　（様式４）年間開所カレンダー
□　（様式５）請求書
□　（様式６）事業計画変更申請書
□　●常勤職員の処遇改善の対象額計算シート（該当クラブのみ）
□　●確認シート
□　（別紙様式２）事業実績報告書
□　（別紙様式２別添１）賃金改善内訳
□　チェックシート１
【以下、添付資料】
□　研修受講費の領収書（氏名がわかるもの）
□　送迎支援・育成支援体制強化の委託料・燃料費等の領収書
□　令和５年度賃金台帳の写し
□　家賃の支払いが確認できる書類（領収書など）
□　振込口座通帳の写し（令和６年４月までに変更ある場合）
□　ひとり親の証明書類、障害児証明書類(未提出者分)
</t>
    </r>
    <r>
      <rPr>
        <sz val="14"/>
        <rFont val="BIZ UDPゴシック"/>
        <family val="3"/>
        <charset val="128"/>
      </rPr>
      <t xml:space="preserve">□　団体の役員(代表者を含む)が放課後児童支援員等を兼務している場合、
     賃金体系・処遇等を決定した理事会等の議事録（該当クラブのみ）	
</t>
    </r>
    <rPh sb="142" eb="144">
      <t>カクニン</t>
    </rPh>
    <rPh sb="230" eb="232">
      <t>ソウゲイ</t>
    </rPh>
    <rPh sb="232" eb="234">
      <t>シエン</t>
    </rPh>
    <rPh sb="235" eb="237">
      <t>イクセイ</t>
    </rPh>
    <rPh sb="237" eb="239">
      <t>シエン</t>
    </rPh>
    <rPh sb="239" eb="241">
      <t>タイセイ</t>
    </rPh>
    <rPh sb="241" eb="243">
      <t>キョウカ</t>
    </rPh>
    <rPh sb="244" eb="247">
      <t>イタクリョウ</t>
    </rPh>
    <rPh sb="248" eb="251">
      <t>ネンリョウヒ</t>
    </rPh>
    <rPh sb="251" eb="252">
      <t>トウ</t>
    </rPh>
    <rPh sb="253" eb="256">
      <t>リョウシュウショ</t>
    </rPh>
    <rPh sb="337" eb="339">
      <t>ショウガイ</t>
    </rPh>
    <rPh sb="339" eb="340">
      <t>ジ</t>
    </rPh>
    <rPh sb="340" eb="342">
      <t>ショウメイ</t>
    </rPh>
    <rPh sb="342" eb="344">
      <t>ショルイ</t>
    </rPh>
    <rPh sb="415" eb="417">
      <t>ガイトウ</t>
    </rPh>
    <phoneticPr fontId="1"/>
  </si>
  <si>
    <t>令和５年度</t>
    <rPh sb="0" eb="2">
      <t>レイワ</t>
    </rPh>
    <rPh sb="3" eb="5">
      <t>ネンド</t>
    </rPh>
    <phoneticPr fontId="1"/>
  </si>
  <si>
    <t>修繕費等のため</t>
    <rPh sb="0" eb="3">
      <t>シュウゼンヒ</t>
    </rPh>
    <rPh sb="3" eb="4">
      <t>トウ</t>
    </rPh>
    <phoneticPr fontId="1"/>
  </si>
  <si>
    <r>
      <t xml:space="preserve">※●処遇改善関係加算を時給に上乗せしており、賃金台帳等から時給の内訳が確認できない場合は、以下のクリーム色のセルを入力してください。
</t>
    </r>
    <r>
      <rPr>
        <b/>
        <u val="double"/>
        <sz val="11"/>
        <color rgb="FFFF0000"/>
        <rFont val="ＭＳ Ｐゴシック"/>
        <family val="3"/>
        <charset val="128"/>
        <scheme val="minor"/>
      </rPr>
      <t>クラブが独自に作成した時給の内訳がわかる資料を提出する場合は不要です。</t>
    </r>
    <r>
      <rPr>
        <b/>
        <sz val="11"/>
        <color theme="1"/>
        <rFont val="ＭＳ Ｐゴシック"/>
        <family val="3"/>
        <charset val="128"/>
        <scheme val="minor"/>
      </rPr>
      <t>全職員時給が同じ場合は、№１の氏名欄に「全職員」と入力で構いません。</t>
    </r>
    <rPh sb="22" eb="24">
      <t>チンギン</t>
    </rPh>
    <rPh sb="24" eb="26">
      <t>ダイチョウ</t>
    </rPh>
    <rPh sb="26" eb="27">
      <t>トウ</t>
    </rPh>
    <rPh sb="29" eb="31">
      <t>ジキュウ</t>
    </rPh>
    <rPh sb="32" eb="34">
      <t>ウチワケ</t>
    </rPh>
    <rPh sb="35" eb="37">
      <t>カクニン</t>
    </rPh>
    <rPh sb="41" eb="43">
      <t>バアイ</t>
    </rPh>
    <rPh sb="45" eb="47">
      <t>イカ</t>
    </rPh>
    <rPh sb="52" eb="53">
      <t>イロ</t>
    </rPh>
    <rPh sb="57" eb="59">
      <t>ニュウリョク</t>
    </rPh>
    <rPh sb="78" eb="80">
      <t>ジキュウ</t>
    </rPh>
    <rPh sb="81" eb="83">
      <t>ウチワケ</t>
    </rPh>
    <rPh sb="87" eb="89">
      <t>シリョウ</t>
    </rPh>
    <rPh sb="90" eb="92">
      <t>テイシュツ</t>
    </rPh>
    <rPh sb="94" eb="96">
      <t>バアイ</t>
    </rPh>
    <rPh sb="97" eb="99">
      <t>フヨウ</t>
    </rPh>
    <rPh sb="127" eb="129">
      <t>ニュウリョク</t>
    </rPh>
    <rPh sb="130" eb="131">
      <t>カマ</t>
    </rPh>
    <phoneticPr fontId="1"/>
  </si>
  <si>
    <t>BB　BB</t>
    <phoneticPr fontId="1"/>
  </si>
  <si>
    <t>CC　CC</t>
    <phoneticPr fontId="1"/>
  </si>
  <si>
    <t>　</t>
    <phoneticPr fontId="1"/>
  </si>
  <si>
    <t>様式１</t>
    <rPh sb="0" eb="2">
      <t>ヨウシキ</t>
    </rPh>
    <phoneticPr fontId="1"/>
  </si>
  <si>
    <t>「ひとり親割引額」</t>
    <rPh sb="4" eb="5">
      <t>オヤ</t>
    </rPh>
    <rPh sb="5" eb="7">
      <t>ワリビキ</t>
    </rPh>
    <rPh sb="7" eb="8">
      <t>ガク</t>
    </rPh>
    <phoneticPr fontId="1"/>
  </si>
  <si>
    <t>「多子世帯割引額」</t>
    <rPh sb="1" eb="3">
      <t>タシ</t>
    </rPh>
    <rPh sb="3" eb="5">
      <t>セタイ</t>
    </rPh>
    <rPh sb="5" eb="8">
      <t>ワリビキガク</t>
    </rPh>
    <phoneticPr fontId="1"/>
  </si>
  <si>
    <t>様式２</t>
    <rPh sb="0" eb="2">
      <t>ヨウシキ</t>
    </rPh>
    <phoneticPr fontId="1"/>
  </si>
  <si>
    <t>「クラブ児童報告書」</t>
    <rPh sb="4" eb="6">
      <t>ジドウ</t>
    </rPh>
    <rPh sb="6" eb="9">
      <t>ホウコクショ</t>
    </rPh>
    <phoneticPr fontId="1"/>
  </si>
  <si>
    <t>様式３</t>
    <rPh sb="0" eb="2">
      <t>ヨウシキ</t>
    </rPh>
    <phoneticPr fontId="1"/>
  </si>
  <si>
    <t>「処遇改善の種類」</t>
    <rPh sb="1" eb="3">
      <t>ショグウ</t>
    </rPh>
    <rPh sb="3" eb="5">
      <t>カイゼン</t>
    </rPh>
    <rPh sb="6" eb="8">
      <t>シュルイ</t>
    </rPh>
    <phoneticPr fontId="1"/>
  </si>
  <si>
    <t>「職員名簿」</t>
    <rPh sb="1" eb="3">
      <t>ショクイン</t>
    </rPh>
    <rPh sb="3" eb="5">
      <t>メイボ</t>
    </rPh>
    <phoneticPr fontId="1"/>
  </si>
  <si>
    <t>「実施した業務」</t>
    <rPh sb="1" eb="3">
      <t>ジッシ</t>
    </rPh>
    <rPh sb="5" eb="7">
      <t>ギョウム</t>
    </rPh>
    <phoneticPr fontId="1"/>
  </si>
  <si>
    <t>「支給した額のチェック欄」</t>
    <rPh sb="1" eb="3">
      <t>シキュウ</t>
    </rPh>
    <rPh sb="5" eb="6">
      <t>ガク</t>
    </rPh>
    <rPh sb="11" eb="12">
      <t>ラン</t>
    </rPh>
    <phoneticPr fontId="1"/>
  </si>
  <si>
    <t>「誤りがないことを確認した」</t>
    <rPh sb="1" eb="2">
      <t>アヤマ</t>
    </rPh>
    <rPh sb="9" eb="11">
      <t>カクニン</t>
    </rPh>
    <phoneticPr fontId="1"/>
  </si>
  <si>
    <t>「処遇改善事業の従事内容」</t>
    <rPh sb="1" eb="3">
      <t>ショグウ</t>
    </rPh>
    <rPh sb="3" eb="5">
      <t>カイゼン</t>
    </rPh>
    <rPh sb="5" eb="7">
      <t>ジギョウ</t>
    </rPh>
    <rPh sb="8" eb="10">
      <t>ジュウジ</t>
    </rPh>
    <rPh sb="10" eb="12">
      <t>ナイヨウ</t>
    </rPh>
    <phoneticPr fontId="1"/>
  </si>
  <si>
    <t>様式５</t>
    <rPh sb="0" eb="2">
      <t>ヨウシキ</t>
    </rPh>
    <phoneticPr fontId="1"/>
  </si>
  <si>
    <t>「請求書の申請者」</t>
    <rPh sb="1" eb="4">
      <t>セイキュウショ</t>
    </rPh>
    <rPh sb="5" eb="8">
      <t>シンセイシャ</t>
    </rPh>
    <phoneticPr fontId="1"/>
  </si>
  <si>
    <t>様式６</t>
    <rPh sb="0" eb="2">
      <t>ヨウシキ</t>
    </rPh>
    <phoneticPr fontId="1"/>
  </si>
  <si>
    <t>「交付済額」</t>
    <rPh sb="1" eb="3">
      <t>コウフ</t>
    </rPh>
    <rPh sb="3" eb="4">
      <t>ズ</t>
    </rPh>
    <rPh sb="4" eb="5">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</si>
</sst>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176" formatCode="#&quot;年&quot;"/>
    <numFmt numFmtId="177" formatCode="#,##0&quot;円&quot;"/>
    <numFmt numFmtId="178" formatCode="###&quot;年3月31日&quot;\ "/>
    <numFmt numFmtId="179" formatCode="&quot;平成&quot;###&quot;年度末&quot;\ "/>
    <numFmt numFmtId="180" formatCode="#,##0&quot;月&quot;"/>
    <numFmt numFmtId="181" formatCode="&quot;令和&quot;###\ "/>
    <numFmt numFmtId="182" formatCode="###&quot;年４月１日　至　令和&quot;\ "/>
    <numFmt numFmtId="183" formatCode="&quot;令和&quot;###&quot;年度中　増減額&quot;\ "/>
    <numFmt numFmtId="184" formatCode="&quot;令和&quot;###&quot;年度末&quot;\ "/>
    <numFmt numFmtId="185" formatCode="h:mm;@"/>
    <numFmt numFmtId="186" formatCode="[h]:mm"/>
    <numFmt numFmtId="187" formatCode="#,##0_ "/>
    <numFmt numFmtId="188" formatCode="0&quot;月&quot;"/>
    <numFmt numFmtId="189" formatCode="#&quot;&quot;&quot;月&quot;"/>
    <numFmt numFmtId="190" formatCode="\(0.0%\)"/>
    <numFmt numFmtId="191" formatCode="0.0&quot;時間&quot;\ "/>
    <numFmt numFmtId="192" formatCode="#,##0&quot;円&quot;;[Red]\-#,##0"/>
    <numFmt numFmtId="193" formatCode="0.0&quot;人&quot;\ "/>
    <numFmt numFmtId="194" formatCode="#,##0&quot;月&quot;;[Red]\-#,##0"/>
    <numFmt numFmtId="195" formatCode="#,##0_);[Red]\(#,##0\)"/>
    <numFmt numFmtId="196" formatCode="#,##0_ ;[Red]\-#,##0\ "/>
    <numFmt numFmtId="197" formatCode="#&quot;人目&quot;"/>
    <numFmt numFmtId="198" formatCode="0.00_ "/>
    <numFmt numFmtId="199" formatCode="&quot;（&quot;#&quot;人)&quot;"/>
    <numFmt numFmtId="200" formatCode="&quot;（月額&quot;#&quot;円)&quot;"/>
    <numFmt numFmtId="201" formatCode="&quot;（&quot;#&quot;月)&quot;"/>
    <numFmt numFmtId="202" formatCode="&quot;（&quot;#&quot;円)&quot;"/>
    <numFmt numFmtId="203" formatCode="#,###&quot;円&quot;"/>
  </numFmts>
  <fonts count="8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9"/>
      <color indexed="81"/>
      <name val="ＭＳ Ｐゴシック"/>
      <family val="3"/>
      <charset val="128"/>
    </font>
    <font>
      <sz val="14"/>
      <color theme="1"/>
      <name val="ＭＳ Ｐゴシック"/>
      <family val="3"/>
      <charset val="128"/>
      <scheme val="minor"/>
    </font>
    <font>
      <sz val="18"/>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scheme val="minor"/>
    </font>
    <font>
      <sz val="11"/>
      <color indexed="8"/>
      <name val="ＭＳ Ｐゴシック"/>
      <family val="3"/>
      <charset val="128"/>
    </font>
    <font>
      <b/>
      <sz val="12"/>
      <color theme="1"/>
      <name val="ＭＳ Ｐゴシック"/>
      <family val="3"/>
      <charset val="128"/>
      <scheme val="minor"/>
    </font>
    <font>
      <sz val="10"/>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14"/>
      <color rgb="FFFF0000"/>
      <name val="ＭＳ Ｐゴシック"/>
      <family val="2"/>
      <charset val="128"/>
      <scheme val="minor"/>
    </font>
    <font>
      <sz val="11"/>
      <color rgb="FFFF0000"/>
      <name val="ＭＳ Ｐゴシック"/>
      <family val="2"/>
      <charset val="128"/>
      <scheme val="minor"/>
    </font>
    <font>
      <sz val="8"/>
      <color theme="1"/>
      <name val="ＭＳ Ｐゴシック"/>
      <family val="2"/>
      <charset val="128"/>
      <scheme val="minor"/>
    </font>
    <font>
      <sz val="18"/>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b/>
      <sz val="14"/>
      <color theme="1"/>
      <name val="BIZ UDPゴシック"/>
      <family val="3"/>
      <charset val="128"/>
    </font>
    <font>
      <sz val="14"/>
      <color theme="1"/>
      <name val="BIZ UDPゴシック"/>
      <family val="3"/>
      <charset val="128"/>
    </font>
    <font>
      <b/>
      <sz val="15"/>
      <color theme="3"/>
      <name val="ＭＳ Ｐゴシック"/>
      <family val="2"/>
      <charset val="128"/>
      <scheme val="minor"/>
    </font>
    <font>
      <sz val="11"/>
      <color theme="1"/>
      <name val="BIZ UDPゴシック"/>
      <family val="3"/>
      <charset val="128"/>
    </font>
    <font>
      <sz val="10"/>
      <color theme="1"/>
      <name val="BIZ UDPゴシック"/>
      <family val="3"/>
      <charset val="128"/>
    </font>
    <font>
      <sz val="10"/>
      <color rgb="FFFF0000"/>
      <name val="BIZ UDPゴシック"/>
      <family val="3"/>
      <charset val="128"/>
    </font>
    <font>
      <sz val="10"/>
      <name val="BIZ UDPゴシック"/>
      <family val="3"/>
      <charset val="128"/>
    </font>
    <font>
      <sz val="9"/>
      <color theme="1"/>
      <name val="BIZ UDPゴシック"/>
      <family val="3"/>
      <charset val="128"/>
    </font>
    <font>
      <sz val="11"/>
      <color rgb="FFFF0000"/>
      <name val="Arial"/>
      <family val="2"/>
    </font>
    <font>
      <b/>
      <sz val="14"/>
      <color rgb="FFFF0000"/>
      <name val="BIZ UDPゴシック"/>
      <family val="3"/>
      <charset val="128"/>
    </font>
    <font>
      <sz val="14"/>
      <name val="BIZ UDPゴシック"/>
      <family val="3"/>
      <charset val="128"/>
    </font>
    <font>
      <sz val="14"/>
      <name val="ＭＳ Ｐゴシック"/>
      <family val="2"/>
      <charset val="128"/>
      <scheme val="minor"/>
    </font>
    <font>
      <b/>
      <sz val="18"/>
      <color theme="1"/>
      <name val="ＭＳ Ｐゴシック"/>
      <family val="3"/>
      <charset val="128"/>
      <scheme val="minor"/>
    </font>
    <font>
      <b/>
      <sz val="14"/>
      <color rgb="FFFF0000"/>
      <name val="ＭＳ Ｐゴシック"/>
      <family val="3"/>
      <charset val="128"/>
      <scheme val="minor"/>
    </font>
    <font>
      <sz val="11"/>
      <name val="ＭＳ Ｐゴシック"/>
      <family val="2"/>
      <charset val="128"/>
      <scheme val="minor"/>
    </font>
    <font>
      <sz val="14"/>
      <color rgb="FFFF0000"/>
      <name val="ＭＳ Ｐゴシック"/>
      <family val="3"/>
      <charset val="128"/>
      <scheme val="minor"/>
    </font>
    <font>
      <b/>
      <sz val="11"/>
      <color theme="1"/>
      <name val="HGｺﾞｼｯｸM"/>
      <family val="3"/>
      <charset val="128"/>
    </font>
    <font>
      <sz val="11"/>
      <color theme="1"/>
      <name val="HGｺﾞｼｯｸM"/>
      <family val="3"/>
      <charset val="128"/>
    </font>
    <font>
      <sz val="12"/>
      <color theme="1"/>
      <name val="ＤＦ特太ゴシック体"/>
      <family val="3"/>
      <charset val="128"/>
    </font>
    <font>
      <sz val="20"/>
      <color theme="1"/>
      <name val="ＤＦ特太ゴシック体"/>
      <family val="3"/>
      <charset val="128"/>
    </font>
    <font>
      <b/>
      <sz val="10"/>
      <color theme="1"/>
      <name val="HGｺﾞｼｯｸM"/>
      <family val="3"/>
      <charset val="128"/>
    </font>
    <font>
      <b/>
      <sz val="8"/>
      <color theme="1"/>
      <name val="HGｺﾞｼｯｸM"/>
      <family val="3"/>
      <charset val="128"/>
    </font>
    <font>
      <b/>
      <sz val="14"/>
      <color theme="1"/>
      <name val="HGｺﾞｼｯｸM"/>
      <family val="3"/>
      <charset val="128"/>
    </font>
    <font>
      <sz val="16"/>
      <color theme="1"/>
      <name val="HGSｺﾞｼｯｸM"/>
      <family val="3"/>
      <charset val="128"/>
    </font>
    <font>
      <b/>
      <sz val="9"/>
      <name val="ＭＳ Ｐゴシック"/>
      <family val="3"/>
      <charset val="128"/>
    </font>
    <font>
      <sz val="18"/>
      <name val="ＭＳ Ｐゴシック"/>
      <family val="3"/>
      <charset val="128"/>
      <scheme val="minor"/>
    </font>
    <font>
      <sz val="18"/>
      <color rgb="FFFF0000"/>
      <name val="ＭＳ Ｐゴシック"/>
      <family val="3"/>
      <charset val="128"/>
      <scheme val="minor"/>
    </font>
    <font>
      <sz val="11"/>
      <color rgb="FF000000"/>
      <name val="Arial"/>
      <family val="2"/>
    </font>
    <font>
      <sz val="14"/>
      <name val="游ゴシック"/>
      <family val="3"/>
      <charset val="128"/>
    </font>
    <font>
      <sz val="11"/>
      <color rgb="FF000000"/>
      <name val="BIZ UDPゴシック"/>
      <family val="3"/>
      <charset val="128"/>
    </font>
    <font>
      <sz val="12"/>
      <color theme="1"/>
      <name val="HGSｺﾞｼｯｸM"/>
      <family val="3"/>
      <charset val="128"/>
    </font>
    <font>
      <sz val="13"/>
      <color theme="1"/>
      <name val="BIZ UDPゴシック"/>
      <family val="3"/>
      <charset val="128"/>
    </font>
    <font>
      <b/>
      <sz val="13"/>
      <color theme="1"/>
      <name val="BIZ UDPゴシック"/>
      <family val="3"/>
      <charset val="128"/>
    </font>
    <font>
      <sz val="9"/>
      <color theme="1"/>
      <name val="ＭＳ Ｐゴシック"/>
      <family val="2"/>
      <charset val="128"/>
      <scheme val="minor"/>
    </font>
    <font>
      <sz val="12"/>
      <name val="HGSｺﾞｼｯｸM"/>
      <family val="3"/>
      <charset val="128"/>
    </font>
    <font>
      <sz val="10"/>
      <name val="ＭＳ Ｐゴシック"/>
      <family val="2"/>
      <charset val="128"/>
      <scheme val="minor"/>
    </font>
    <font>
      <u/>
      <sz val="10"/>
      <name val="ＭＳ Ｐゴシック"/>
      <family val="3"/>
      <charset val="128"/>
      <scheme val="minor"/>
    </font>
    <font>
      <sz val="14"/>
      <color rgb="FFFF0000"/>
      <name val="ＭＳ Ｐゴシック"/>
      <family val="2"/>
      <scheme val="minor"/>
    </font>
    <font>
      <sz val="11"/>
      <color theme="1"/>
      <name val="ＭＳ Ｐゴシック"/>
      <family val="3"/>
      <charset val="128"/>
    </font>
    <font>
      <b/>
      <u val="double"/>
      <sz val="11"/>
      <color rgb="FFFF0000"/>
      <name val="ＭＳ Ｐゴシック"/>
      <family val="3"/>
      <charset val="128"/>
    </font>
    <font>
      <b/>
      <u/>
      <sz val="11"/>
      <color theme="1"/>
      <name val="ＭＳ Ｐゴシック"/>
      <family val="3"/>
      <charset val="128"/>
    </font>
    <font>
      <b/>
      <u/>
      <sz val="11"/>
      <name val="ＭＳ Ｐゴシック"/>
      <family val="3"/>
      <charset val="128"/>
    </font>
    <font>
      <b/>
      <u val="double"/>
      <sz val="11"/>
      <color rgb="FFFF0000"/>
      <name val="ＭＳ Ｐゴシック"/>
      <family val="3"/>
      <charset val="128"/>
      <scheme val="minor"/>
    </font>
    <font>
      <sz val="11"/>
      <name val="HGｺﾞｼｯｸM"/>
      <family val="3"/>
      <charset val="128"/>
    </font>
  </fonts>
  <fills count="10">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thin">
        <color indexed="64"/>
      </left>
      <right style="dotted">
        <color indexed="64"/>
      </right>
      <top style="thin">
        <color indexed="64"/>
      </top>
      <bottom/>
      <diagonal/>
    </border>
    <border>
      <left/>
      <right style="medium">
        <color indexed="64"/>
      </right>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style="medium">
        <color indexed="64"/>
      </bottom>
      <diagonal/>
    </border>
    <border>
      <left style="dotted">
        <color indexed="64"/>
      </left>
      <right style="thin">
        <color indexed="64"/>
      </right>
      <top/>
      <bottom/>
      <diagonal/>
    </border>
    <border>
      <left style="dotted">
        <color indexed="64"/>
      </left>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ck">
        <color indexed="64"/>
      </left>
      <right style="thick">
        <color indexed="64"/>
      </right>
      <top style="thick">
        <color indexed="64"/>
      </top>
      <bottom style="thick">
        <color indexed="64"/>
      </bottom>
      <diagonal/>
    </border>
    <border>
      <left/>
      <right style="hair">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dotted">
        <color indexed="64"/>
      </left>
      <right style="dotted">
        <color indexed="64"/>
      </right>
      <top style="medium">
        <color indexed="64"/>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right style="dotted">
        <color indexed="64"/>
      </right>
      <top style="medium">
        <color indexed="64"/>
      </top>
      <bottom style="thin">
        <color indexed="64"/>
      </bottom>
      <diagonal/>
    </border>
  </borders>
  <cellStyleXfs count="25">
    <xf numFmtId="0" fontId="0" fillId="0" borderId="0">
      <alignment vertical="center"/>
    </xf>
    <xf numFmtId="38" fontId="2" fillId="0" borderId="0" applyFont="0" applyFill="0" applyBorder="0" applyAlignment="0" applyProtection="0">
      <alignment vertical="center"/>
    </xf>
    <xf numFmtId="0" fontId="13" fillId="0" borderId="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1" fillId="0" borderId="0" applyFont="0" applyFill="0" applyBorder="0" applyAlignment="0" applyProtection="0">
      <alignment vertical="center"/>
    </xf>
    <xf numFmtId="6" fontId="13" fillId="0" borderId="0" applyFont="0" applyFill="0" applyBorder="0" applyAlignment="0" applyProtection="0"/>
    <xf numFmtId="0" fontId="11"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0" fillId="0" borderId="0"/>
    <xf numFmtId="0" fontId="13" fillId="0" borderId="0">
      <alignment vertical="center"/>
    </xf>
    <xf numFmtId="0" fontId="11" fillId="0" borderId="0">
      <alignment vertical="center"/>
    </xf>
    <xf numFmtId="0" fontId="13" fillId="0" borderId="0"/>
    <xf numFmtId="0" fontId="23" fillId="0" borderId="0"/>
    <xf numFmtId="38" fontId="23" fillId="0" borderId="0" applyFont="0" applyFill="0" applyBorder="0" applyAlignment="0" applyProtection="0">
      <alignment vertical="center"/>
    </xf>
    <xf numFmtId="0" fontId="13" fillId="0" borderId="0"/>
    <xf numFmtId="0" fontId="2" fillId="0" borderId="0">
      <alignment vertical="center"/>
    </xf>
    <xf numFmtId="0" fontId="13" fillId="0" borderId="0"/>
    <xf numFmtId="0" fontId="23" fillId="0" borderId="0"/>
    <xf numFmtId="38" fontId="23" fillId="0" borderId="0" applyFont="0" applyFill="0" applyBorder="0" applyAlignment="0" applyProtection="0">
      <alignment vertical="center"/>
    </xf>
    <xf numFmtId="0" fontId="13" fillId="0" borderId="0"/>
    <xf numFmtId="9" fontId="2" fillId="0" borderId="0" applyFont="0" applyFill="0" applyBorder="0" applyAlignment="0" applyProtection="0">
      <alignment vertical="center"/>
    </xf>
  </cellStyleXfs>
  <cellXfs count="1428">
    <xf numFmtId="0" fontId="0" fillId="0" borderId="0" xfId="0">
      <alignment vertical="center"/>
    </xf>
    <xf numFmtId="38" fontId="0" fillId="0" borderId="0" xfId="1" applyFont="1">
      <alignment vertical="center"/>
    </xf>
    <xf numFmtId="0" fontId="0" fillId="0" borderId="0" xfId="0" applyAlignment="1">
      <alignment vertical="center" shrinkToFit="1"/>
    </xf>
    <xf numFmtId="0" fontId="13" fillId="3" borderId="33" xfId="15" applyFill="1" applyBorder="1" applyAlignment="1">
      <alignment horizontal="center" vertical="center" shrinkToFit="1"/>
    </xf>
    <xf numFmtId="0" fontId="13" fillId="0" borderId="0" xfId="15" applyAlignment="1">
      <alignment vertical="center" shrinkToFit="1"/>
    </xf>
    <xf numFmtId="0" fontId="3" fillId="0" borderId="0" xfId="0" applyFont="1" applyProtection="1">
      <alignment vertical="center"/>
    </xf>
    <xf numFmtId="0" fontId="3" fillId="0" borderId="31" xfId="0" applyFont="1" applyBorder="1" applyProtection="1">
      <alignment vertical="center"/>
    </xf>
    <xf numFmtId="0" fontId="3" fillId="0" borderId="32" xfId="0" applyFont="1" applyBorder="1" applyProtection="1">
      <alignment vertical="center"/>
    </xf>
    <xf numFmtId="0" fontId="3" fillId="0" borderId="33" xfId="0" applyFont="1" applyBorder="1" applyProtection="1">
      <alignment vertical="center"/>
    </xf>
    <xf numFmtId="0" fontId="3" fillId="0" borderId="34" xfId="0" applyFont="1" applyBorder="1" applyProtection="1">
      <alignment vertical="center"/>
    </xf>
    <xf numFmtId="0" fontId="3" fillId="0" borderId="0" xfId="0" applyFont="1" applyBorder="1" applyProtection="1">
      <alignment vertical="center"/>
    </xf>
    <xf numFmtId="0" fontId="3" fillId="0" borderId="35" xfId="0" applyFont="1" applyBorder="1" applyProtection="1">
      <alignment vertical="center"/>
    </xf>
    <xf numFmtId="0" fontId="3" fillId="0" borderId="36" xfId="0" applyFont="1" applyBorder="1" applyProtection="1">
      <alignment vertical="center"/>
    </xf>
    <xf numFmtId="0" fontId="0" fillId="0" borderId="0" xfId="0" applyProtection="1">
      <alignment vertical="center"/>
    </xf>
    <xf numFmtId="0" fontId="4" fillId="0" borderId="0" xfId="0" applyFont="1" applyProtection="1">
      <alignment vertical="center"/>
    </xf>
    <xf numFmtId="0" fontId="4" fillId="0" borderId="0" xfId="0" applyFont="1" applyFill="1" applyProtection="1">
      <alignment vertical="center"/>
    </xf>
    <xf numFmtId="0" fontId="4" fillId="0" borderId="0" xfId="0" applyFont="1" applyBorder="1" applyAlignment="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7" fillId="0" borderId="0" xfId="0" applyFont="1" applyBorder="1" applyAlignment="1" applyProtection="1">
      <alignment horizontal="center" vertical="center"/>
    </xf>
    <xf numFmtId="0" fontId="3" fillId="0" borderId="0" xfId="0" applyFont="1" applyFill="1" applyProtection="1">
      <alignment vertical="center"/>
    </xf>
    <xf numFmtId="0" fontId="4" fillId="0" borderId="0" xfId="0" applyFont="1" applyFill="1" applyAlignment="1" applyProtection="1">
      <alignment vertical="center"/>
    </xf>
    <xf numFmtId="0" fontId="26" fillId="0" borderId="0" xfId="16" applyFont="1" applyFill="1" applyProtection="1"/>
    <xf numFmtId="0" fontId="26" fillId="0" borderId="0" xfId="16" applyFont="1" applyFill="1" applyAlignment="1" applyProtection="1">
      <alignment horizontal="right"/>
    </xf>
    <xf numFmtId="0" fontId="26" fillId="0" borderId="34" xfId="16" applyFont="1" applyFill="1" applyBorder="1" applyAlignment="1" applyProtection="1">
      <alignment shrinkToFit="1"/>
    </xf>
    <xf numFmtId="0" fontId="26" fillId="0" borderId="34" xfId="16" applyFont="1" applyFill="1" applyBorder="1" applyProtection="1"/>
    <xf numFmtId="0" fontId="26" fillId="0" borderId="36" xfId="16" applyFont="1" applyFill="1" applyBorder="1" applyProtection="1"/>
    <xf numFmtId="0" fontId="26" fillId="0" borderId="0" xfId="16" applyFont="1" applyFill="1" applyAlignment="1" applyProtection="1">
      <alignment shrinkToFit="1"/>
    </xf>
    <xf numFmtId="38" fontId="26" fillId="0" borderId="0" xfId="17" applyFont="1" applyFill="1" applyAlignment="1" applyProtection="1">
      <alignment shrinkToFit="1"/>
    </xf>
    <xf numFmtId="0" fontId="26" fillId="0" borderId="0" xfId="16" applyFont="1" applyFill="1" applyAlignment="1" applyProtection="1"/>
    <xf numFmtId="38" fontId="18" fillId="0" borderId="69" xfId="3" applyFont="1" applyFill="1" applyBorder="1" applyAlignment="1" applyProtection="1">
      <alignment horizontal="right" vertical="center" indent="1"/>
    </xf>
    <xf numFmtId="38" fontId="18" fillId="2" borderId="17" xfId="3" applyFont="1" applyFill="1" applyBorder="1" applyAlignment="1" applyProtection="1">
      <alignment horizontal="right" vertical="center" indent="1"/>
      <protection locked="0"/>
    </xf>
    <xf numFmtId="38" fontId="18" fillId="2" borderId="24" xfId="3" applyFont="1" applyFill="1" applyBorder="1" applyAlignment="1" applyProtection="1">
      <alignment horizontal="right" vertical="center" indent="1"/>
      <protection locked="0"/>
    </xf>
    <xf numFmtId="38" fontId="30" fillId="0" borderId="0" xfId="1" applyFont="1">
      <alignment vertical="center"/>
    </xf>
    <xf numFmtId="38" fontId="0" fillId="0" borderId="37" xfId="1" applyFont="1" applyBorder="1">
      <alignment vertical="center"/>
    </xf>
    <xf numFmtId="38" fontId="0" fillId="0" borderId="1" xfId="1" applyFont="1" applyBorder="1">
      <alignment vertical="center"/>
    </xf>
    <xf numFmtId="38" fontId="0" fillId="0" borderId="1" xfId="1" applyFont="1" applyFill="1" applyBorder="1" applyAlignment="1">
      <alignment horizontal="center" vertical="center"/>
    </xf>
    <xf numFmtId="38" fontId="0" fillId="0" borderId="70" xfId="1" applyFont="1" applyBorder="1" applyAlignment="1">
      <alignment horizontal="center" vertical="center"/>
    </xf>
    <xf numFmtId="38" fontId="0" fillId="0" borderId="5" xfId="1" applyFont="1" applyBorder="1">
      <alignment vertical="center"/>
    </xf>
    <xf numFmtId="38" fontId="0" fillId="0" borderId="2" xfId="1" applyFont="1" applyBorder="1">
      <alignment vertical="center"/>
    </xf>
    <xf numFmtId="38" fontId="0" fillId="0" borderId="70" xfId="1" applyFont="1" applyBorder="1">
      <alignment vertical="center"/>
    </xf>
    <xf numFmtId="38" fontId="0" fillId="0" borderId="31" xfId="1" applyFont="1" applyBorder="1">
      <alignment vertical="center"/>
    </xf>
    <xf numFmtId="38" fontId="0" fillId="0" borderId="25" xfId="1" applyFont="1" applyBorder="1">
      <alignment vertical="center"/>
    </xf>
    <xf numFmtId="38" fontId="0" fillId="0" borderId="84" xfId="1" applyFont="1" applyBorder="1">
      <alignment vertical="center"/>
    </xf>
    <xf numFmtId="38" fontId="0" fillId="0" borderId="0" xfId="1" applyFont="1" applyBorder="1">
      <alignment vertical="center"/>
    </xf>
    <xf numFmtId="38" fontId="0" fillId="0" borderId="26" xfId="1" applyFont="1" applyBorder="1">
      <alignment vertical="center"/>
    </xf>
    <xf numFmtId="38" fontId="0" fillId="0" borderId="27" xfId="1" applyFont="1" applyBorder="1">
      <alignment vertical="center"/>
    </xf>
    <xf numFmtId="38" fontId="28" fillId="0" borderId="27" xfId="1" applyFont="1" applyBorder="1">
      <alignment vertical="center"/>
    </xf>
    <xf numFmtId="38" fontId="0" fillId="0" borderId="4" xfId="1" applyFont="1" applyBorder="1">
      <alignment vertical="center"/>
    </xf>
    <xf numFmtId="38" fontId="0" fillId="0" borderId="3" xfId="1" applyFont="1" applyBorder="1">
      <alignment vertical="center"/>
    </xf>
    <xf numFmtId="38" fontId="11" fillId="0" borderId="0" xfId="1" applyFont="1" applyFill="1" applyBorder="1" applyAlignment="1">
      <alignment vertical="center"/>
    </xf>
    <xf numFmtId="38" fontId="0" fillId="0" borderId="0" xfId="1" applyFont="1" applyBorder="1" applyAlignment="1">
      <alignment vertical="center"/>
    </xf>
    <xf numFmtId="38" fontId="11" fillId="0" borderId="0" xfId="1" applyFont="1" applyBorder="1" applyAlignment="1">
      <alignment vertical="center"/>
    </xf>
    <xf numFmtId="38" fontId="0" fillId="0" borderId="3" xfId="1" applyFont="1" applyBorder="1" applyAlignment="1">
      <alignment vertical="center"/>
    </xf>
    <xf numFmtId="38" fontId="0" fillId="0" borderId="39" xfId="1" applyFont="1" applyBorder="1">
      <alignment vertical="center"/>
    </xf>
    <xf numFmtId="38" fontId="0" fillId="0" borderId="46" xfId="1" applyFont="1" applyBorder="1">
      <alignment vertical="center"/>
    </xf>
    <xf numFmtId="38" fontId="0" fillId="0" borderId="80" xfId="1" applyFont="1" applyBorder="1">
      <alignment vertical="center"/>
    </xf>
    <xf numFmtId="38" fontId="0" fillId="0" borderId="79" xfId="1" applyFont="1" applyFill="1" applyBorder="1">
      <alignment vertical="center"/>
    </xf>
    <xf numFmtId="38" fontId="0" fillId="0" borderId="81" xfId="1" applyFont="1" applyFill="1" applyBorder="1">
      <alignment vertical="center"/>
    </xf>
    <xf numFmtId="38" fontId="0" fillId="0" borderId="90" xfId="1" applyFont="1" applyBorder="1">
      <alignment vertical="center"/>
    </xf>
    <xf numFmtId="38" fontId="0" fillId="0" borderId="47" xfId="1" applyFont="1" applyFill="1" applyBorder="1" applyAlignment="1">
      <alignment horizontal="right" vertical="center"/>
    </xf>
    <xf numFmtId="38" fontId="0" fillId="0" borderId="1" xfId="1" applyFont="1" applyFill="1" applyBorder="1" applyAlignment="1">
      <alignment horizontal="right" vertical="center"/>
    </xf>
    <xf numFmtId="38" fontId="0" fillId="0" borderId="25" xfId="1" applyFont="1" applyBorder="1" applyAlignment="1">
      <alignment vertical="center"/>
    </xf>
    <xf numFmtId="38" fontId="0" fillId="0" borderId="26" xfId="1" applyFont="1" applyBorder="1" applyAlignment="1">
      <alignment vertical="center"/>
    </xf>
    <xf numFmtId="38" fontId="0" fillId="0" borderId="4" xfId="1" applyFont="1" applyBorder="1" applyAlignment="1">
      <alignment vertical="center"/>
    </xf>
    <xf numFmtId="0" fontId="4" fillId="0" borderId="0" xfId="0" applyFont="1" applyFill="1" applyBorder="1" applyAlignment="1" applyProtection="1">
      <alignment vertical="center" shrinkToFit="1"/>
    </xf>
    <xf numFmtId="38" fontId="39" fillId="0" borderId="0" xfId="1" applyFont="1">
      <alignment vertical="center"/>
    </xf>
    <xf numFmtId="0" fontId="10" fillId="0" borderId="0" xfId="0" applyFont="1" applyAlignment="1" applyProtection="1">
      <alignment vertical="center"/>
    </xf>
    <xf numFmtId="38" fontId="33" fillId="0" borderId="5" xfId="1" applyFont="1" applyBorder="1">
      <alignment vertical="center"/>
    </xf>
    <xf numFmtId="38" fontId="0" fillId="0" borderId="24" xfId="1" applyFont="1" applyFill="1" applyBorder="1">
      <alignment vertical="center"/>
    </xf>
    <xf numFmtId="38" fontId="0" fillId="0" borderId="71" xfId="1" applyFont="1" applyBorder="1">
      <alignment vertical="center"/>
    </xf>
    <xf numFmtId="38" fontId="0" fillId="0" borderId="92" xfId="1" applyFont="1" applyBorder="1">
      <alignment vertical="center"/>
    </xf>
    <xf numFmtId="38" fontId="0" fillId="0" borderId="91" xfId="1" applyFont="1" applyBorder="1">
      <alignment vertical="center"/>
    </xf>
    <xf numFmtId="38" fontId="0" fillId="0" borderId="22" xfId="1" applyFont="1" applyFill="1" applyBorder="1">
      <alignment vertical="center"/>
    </xf>
    <xf numFmtId="38" fontId="0" fillId="0" borderId="67" xfId="1" applyFont="1" applyBorder="1">
      <alignment vertical="center"/>
    </xf>
    <xf numFmtId="38" fontId="33" fillId="0" borderId="69" xfId="1" applyFont="1" applyBorder="1">
      <alignment vertical="center"/>
    </xf>
    <xf numFmtId="38" fontId="0" fillId="0" borderId="65" xfId="1" applyFont="1" applyFill="1" applyBorder="1">
      <alignment vertical="center"/>
    </xf>
    <xf numFmtId="0" fontId="0" fillId="0" borderId="59" xfId="1" applyNumberFormat="1" applyFont="1" applyBorder="1">
      <alignment vertical="center"/>
    </xf>
    <xf numFmtId="0" fontId="0" fillId="0" borderId="82" xfId="1" applyNumberFormat="1" applyFont="1" applyBorder="1">
      <alignment vertical="center"/>
    </xf>
    <xf numFmtId="0" fontId="0" fillId="0" borderId="58" xfId="1" applyNumberFormat="1" applyFont="1" applyBorder="1">
      <alignment vertical="center"/>
    </xf>
    <xf numFmtId="0" fontId="3" fillId="0" borderId="103" xfId="0" applyFont="1" applyFill="1" applyBorder="1" applyAlignment="1" applyProtection="1">
      <alignment vertical="center" textRotation="255"/>
    </xf>
    <xf numFmtId="38" fontId="0" fillId="0" borderId="0" xfId="1" applyFont="1" applyBorder="1" applyAlignment="1">
      <alignment horizontal="right" vertical="center"/>
    </xf>
    <xf numFmtId="0" fontId="3" fillId="0" borderId="35" xfId="0" applyFont="1" applyFill="1" applyBorder="1" applyAlignment="1" applyProtection="1">
      <alignment vertical="center"/>
    </xf>
    <xf numFmtId="0" fontId="3" fillId="0" borderId="30" xfId="0" applyFont="1" applyFill="1" applyBorder="1" applyAlignment="1" applyProtection="1">
      <alignment vertical="center"/>
    </xf>
    <xf numFmtId="0" fontId="11" fillId="0" borderId="0" xfId="0" applyFont="1" applyProtection="1">
      <alignment vertical="center"/>
    </xf>
    <xf numFmtId="0" fontId="7" fillId="0" borderId="0" xfId="0" applyFont="1" applyFill="1" applyBorder="1" applyAlignment="1" applyProtection="1">
      <alignment vertical="center"/>
    </xf>
    <xf numFmtId="0" fontId="0" fillId="0" borderId="0" xfId="0" applyFill="1" applyProtection="1">
      <alignment vertical="center"/>
    </xf>
    <xf numFmtId="0" fontId="37" fillId="0" borderId="0" xfId="0" applyFont="1" applyAlignment="1" applyProtection="1">
      <alignment vertical="center" shrinkToFit="1"/>
    </xf>
    <xf numFmtId="185" fontId="0" fillId="0" borderId="0" xfId="0" applyNumberFormat="1" applyFill="1" applyProtection="1">
      <alignment vertical="center"/>
    </xf>
    <xf numFmtId="0" fontId="0" fillId="0" borderId="0" xfId="0" applyNumberFormat="1" applyFill="1" applyProtection="1">
      <alignment vertical="center"/>
    </xf>
    <xf numFmtId="185" fontId="0" fillId="0" borderId="0" xfId="0" applyNumberFormat="1" applyProtection="1">
      <alignment vertical="center"/>
    </xf>
    <xf numFmtId="0" fontId="0" fillId="0" borderId="0" xfId="0" applyNumberFormat="1" applyProtection="1">
      <alignment vertical="center"/>
    </xf>
    <xf numFmtId="0" fontId="0" fillId="0" borderId="0" xfId="0" applyAlignment="1" applyProtection="1">
      <alignment horizontal="center" vertical="center"/>
    </xf>
    <xf numFmtId="0" fontId="0" fillId="0" borderId="20" xfId="0" applyBorder="1" applyProtection="1">
      <alignment vertical="center"/>
    </xf>
    <xf numFmtId="0" fontId="0" fillId="0" borderId="38" xfId="0" applyFill="1" applyBorder="1" applyProtection="1">
      <alignment vertical="center"/>
    </xf>
    <xf numFmtId="185" fontId="0" fillId="0" borderId="23" xfId="0" applyNumberFormat="1" applyFill="1" applyBorder="1" applyProtection="1">
      <alignment vertical="center"/>
    </xf>
    <xf numFmtId="185" fontId="0" fillId="0" borderId="1" xfId="0" applyNumberFormat="1" applyFill="1" applyBorder="1" applyProtection="1">
      <alignment vertical="center"/>
    </xf>
    <xf numFmtId="0" fontId="0" fillId="0" borderId="23" xfId="0" applyNumberFormat="1" applyBorder="1" applyProtection="1">
      <alignment vertical="center"/>
    </xf>
    <xf numFmtId="0" fontId="38" fillId="0" borderId="0" xfId="0" applyFont="1" applyProtection="1">
      <alignment vertical="center"/>
    </xf>
    <xf numFmtId="0" fontId="0" fillId="0" borderId="21" xfId="0" applyBorder="1" applyProtection="1">
      <alignment vertical="center"/>
    </xf>
    <xf numFmtId="0" fontId="0" fillId="0" borderId="1" xfId="0" applyNumberFormat="1" applyBorder="1" applyProtection="1">
      <alignment vertical="center"/>
    </xf>
    <xf numFmtId="0" fontId="0" fillId="0" borderId="22" xfId="0" applyBorder="1" applyProtection="1">
      <alignment vertical="center"/>
    </xf>
    <xf numFmtId="0" fontId="0" fillId="0" borderId="40" xfId="0" applyFill="1" applyBorder="1" applyProtection="1">
      <alignment vertical="center"/>
    </xf>
    <xf numFmtId="185" fontId="0" fillId="0" borderId="24" xfId="0" applyNumberFormat="1" applyFill="1" applyBorder="1" applyProtection="1">
      <alignment vertical="center"/>
    </xf>
    <xf numFmtId="0" fontId="0" fillId="0" borderId="24" xfId="0" applyNumberFormat="1" applyBorder="1" applyProtection="1">
      <alignment vertical="center"/>
    </xf>
    <xf numFmtId="0" fontId="37" fillId="3" borderId="0" xfId="0" applyFont="1" applyFill="1" applyAlignment="1" applyProtection="1">
      <alignment vertical="center" shrinkToFit="1"/>
    </xf>
    <xf numFmtId="186" fontId="0" fillId="0" borderId="0" xfId="0" applyNumberFormat="1" applyProtection="1">
      <alignment vertical="center"/>
    </xf>
    <xf numFmtId="186" fontId="0" fillId="5" borderId="28" xfId="0" applyNumberFormat="1" applyFill="1" applyBorder="1" applyProtection="1">
      <alignment vertical="center"/>
    </xf>
    <xf numFmtId="186" fontId="0" fillId="0" borderId="90" xfId="0" applyNumberFormat="1" applyFill="1" applyBorder="1" applyProtection="1">
      <alignment vertical="center"/>
    </xf>
    <xf numFmtId="186" fontId="37" fillId="5" borderId="90" xfId="0" applyNumberFormat="1" applyFont="1" applyFill="1" applyBorder="1" applyAlignment="1" applyProtection="1">
      <alignment vertical="center" shrinkToFit="1"/>
    </xf>
    <xf numFmtId="186" fontId="0" fillId="5" borderId="90" xfId="0" applyNumberFormat="1" applyFill="1" applyBorder="1" applyProtection="1">
      <alignment vertical="center"/>
    </xf>
    <xf numFmtId="0" fontId="0" fillId="0" borderId="90" xfId="0" applyNumberFormat="1" applyFill="1" applyBorder="1" applyProtection="1">
      <alignment vertical="center"/>
    </xf>
    <xf numFmtId="0" fontId="0" fillId="5" borderId="90" xfId="0" applyNumberFormat="1" applyFill="1" applyBorder="1" applyProtection="1">
      <alignment vertical="center"/>
    </xf>
    <xf numFmtId="0" fontId="0" fillId="5" borderId="85" xfId="0" applyNumberFormat="1" applyFill="1" applyBorder="1" applyProtection="1">
      <alignment vertical="center"/>
    </xf>
    <xf numFmtId="0" fontId="0" fillId="0" borderId="0" xfId="0" applyNumberFormat="1" applyFill="1" applyBorder="1" applyAlignment="1" applyProtection="1">
      <alignment vertical="center"/>
    </xf>
    <xf numFmtId="185" fontId="38" fillId="0" borderId="38" xfId="0" applyNumberFormat="1" applyFont="1" applyFill="1" applyBorder="1" applyProtection="1">
      <alignment vertical="center"/>
    </xf>
    <xf numFmtId="0" fontId="33" fillId="0" borderId="0" xfId="0" applyNumberFormat="1" applyFont="1" applyFill="1" applyAlignment="1" applyProtection="1">
      <alignment horizontal="center" vertical="center"/>
    </xf>
    <xf numFmtId="185" fontId="38" fillId="0" borderId="40" xfId="0" applyNumberFormat="1" applyFont="1" applyFill="1" applyBorder="1" applyProtection="1">
      <alignment vertical="center"/>
    </xf>
    <xf numFmtId="185" fontId="0" fillId="0" borderId="0" xfId="0" applyNumberFormat="1" applyFill="1" applyBorder="1" applyProtection="1">
      <alignment vertical="center"/>
    </xf>
    <xf numFmtId="185" fontId="38" fillId="0" borderId="0" xfId="0" applyNumberFormat="1" applyFont="1" applyFill="1" applyBorder="1" applyProtection="1">
      <alignment vertical="center"/>
    </xf>
    <xf numFmtId="2" fontId="38" fillId="0" borderId="0" xfId="0" applyNumberFormat="1" applyFont="1" applyFill="1" applyBorder="1" applyProtection="1">
      <alignment vertical="center"/>
    </xf>
    <xf numFmtId="0" fontId="0" fillId="0" borderId="0" xfId="0" applyFill="1" applyBorder="1" applyProtection="1">
      <alignment vertical="center"/>
    </xf>
    <xf numFmtId="38" fontId="0" fillId="0" borderId="0" xfId="1" applyFont="1" applyFill="1" applyBorder="1" applyProtection="1">
      <alignment vertical="center"/>
    </xf>
    <xf numFmtId="0" fontId="36" fillId="2" borderId="23" xfId="0" applyFont="1" applyFill="1" applyBorder="1" applyAlignment="1" applyProtection="1">
      <alignment vertical="center" shrinkToFit="1"/>
      <protection locked="0"/>
    </xf>
    <xf numFmtId="185" fontId="0" fillId="2" borderId="23" xfId="0" applyNumberFormat="1" applyFill="1" applyBorder="1" applyProtection="1">
      <alignment vertical="center"/>
      <protection locked="0"/>
    </xf>
    <xf numFmtId="0" fontId="36" fillId="2" borderId="1" xfId="0" applyFont="1" applyFill="1" applyBorder="1" applyAlignment="1" applyProtection="1">
      <alignment vertical="center" shrinkToFit="1"/>
      <protection locked="0"/>
    </xf>
    <xf numFmtId="185" fontId="0" fillId="2" borderId="1" xfId="0" applyNumberFormat="1" applyFill="1" applyBorder="1" applyProtection="1">
      <alignment vertical="center"/>
      <protection locked="0"/>
    </xf>
    <xf numFmtId="185" fontId="0" fillId="2" borderId="24" xfId="0" applyNumberFormat="1" applyFill="1" applyBorder="1" applyProtection="1">
      <alignment vertical="center"/>
      <protection locked="0"/>
    </xf>
    <xf numFmtId="0" fontId="36" fillId="2" borderId="24" xfId="0" applyFont="1" applyFill="1" applyBorder="1" applyAlignment="1" applyProtection="1">
      <alignment vertical="center" shrinkToFit="1"/>
      <protection locked="0"/>
    </xf>
    <xf numFmtId="38" fontId="0" fillId="2" borderId="90" xfId="1" applyFont="1" applyFill="1" applyBorder="1" applyAlignment="1" applyProtection="1">
      <alignment horizontal="center" vertical="center"/>
      <protection locked="0"/>
    </xf>
    <xf numFmtId="38" fontId="0" fillId="2" borderId="85" xfId="1" applyFont="1" applyFill="1" applyBorder="1" applyAlignment="1" applyProtection="1">
      <alignment horizontal="center" vertical="center"/>
      <protection locked="0"/>
    </xf>
    <xf numFmtId="38" fontId="0" fillId="2" borderId="38" xfId="1" applyFont="1" applyFill="1" applyBorder="1" applyProtection="1">
      <alignment vertical="center"/>
      <protection locked="0"/>
    </xf>
    <xf numFmtId="38" fontId="0" fillId="2" borderId="23" xfId="1" applyFont="1" applyFill="1" applyBorder="1" applyProtection="1">
      <alignment vertical="center"/>
      <protection locked="0"/>
    </xf>
    <xf numFmtId="38" fontId="0" fillId="2" borderId="45" xfId="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40" xfId="1" applyFont="1" applyFill="1" applyBorder="1" applyProtection="1">
      <alignment vertical="center"/>
      <protection locked="0"/>
    </xf>
    <xf numFmtId="38" fontId="0" fillId="2" borderId="24" xfId="1" applyFont="1" applyFill="1" applyBorder="1" applyProtection="1">
      <alignment vertical="center"/>
      <protection locked="0"/>
    </xf>
    <xf numFmtId="38" fontId="0" fillId="2" borderId="28" xfId="1" applyFont="1" applyFill="1" applyBorder="1" applyAlignment="1" applyProtection="1">
      <alignment horizontal="center" vertical="center"/>
      <protection locked="0"/>
    </xf>
    <xf numFmtId="38" fontId="0" fillId="2" borderId="29" xfId="1" applyFont="1" applyFill="1" applyBorder="1" applyAlignment="1" applyProtection="1">
      <alignment horizontal="center" vertical="center"/>
      <protection locked="0"/>
    </xf>
    <xf numFmtId="38" fontId="0" fillId="2" borderId="82" xfId="1" applyFont="1" applyFill="1" applyBorder="1" applyAlignment="1" applyProtection="1">
      <alignment horizontal="center" vertical="center"/>
      <protection locked="0"/>
    </xf>
    <xf numFmtId="38" fontId="0" fillId="2" borderId="83" xfId="1" applyFont="1" applyFill="1" applyBorder="1" applyAlignment="1" applyProtection="1">
      <alignment horizontal="center" vertical="center"/>
      <protection locked="0"/>
    </xf>
    <xf numFmtId="38" fontId="0" fillId="2" borderId="28" xfId="1" applyFont="1" applyFill="1" applyBorder="1" applyProtection="1">
      <alignment vertical="center"/>
      <protection locked="0"/>
    </xf>
    <xf numFmtId="38" fontId="0" fillId="2" borderId="84" xfId="1" applyFont="1" applyFill="1" applyBorder="1" applyProtection="1">
      <alignment vertical="center"/>
      <protection locked="0"/>
    </xf>
    <xf numFmtId="38" fontId="0" fillId="2" borderId="90" xfId="1" applyFont="1" applyFill="1" applyBorder="1" applyProtection="1">
      <alignment vertical="center"/>
      <protection locked="0"/>
    </xf>
    <xf numFmtId="38" fontId="0" fillId="2" borderId="85" xfId="1" applyFont="1" applyFill="1" applyBorder="1" applyProtection="1">
      <alignment vertical="center"/>
      <protection locked="0"/>
    </xf>
    <xf numFmtId="0" fontId="0" fillId="0" borderId="0" xfId="0" applyAlignment="1" applyProtection="1">
      <alignment vertical="center"/>
    </xf>
    <xf numFmtId="0" fontId="0" fillId="0" borderId="32" xfId="0" applyFill="1" applyBorder="1" applyAlignment="1" applyProtection="1">
      <alignment vertical="center"/>
    </xf>
    <xf numFmtId="0" fontId="0" fillId="0" borderId="33" xfId="0" applyFill="1" applyBorder="1" applyAlignment="1" applyProtection="1">
      <alignment vertical="center"/>
    </xf>
    <xf numFmtId="0" fontId="0" fillId="0" borderId="0" xfId="0" applyFill="1" applyBorder="1" applyAlignment="1" applyProtection="1">
      <alignment vertical="center"/>
    </xf>
    <xf numFmtId="0" fontId="0" fillId="0" borderId="35" xfId="0" applyFill="1" applyBorder="1" applyAlignment="1" applyProtection="1">
      <alignment vertical="center"/>
    </xf>
    <xf numFmtId="0" fontId="0" fillId="0" borderId="30" xfId="0" applyFill="1" applyBorder="1" applyAlignment="1" applyProtection="1">
      <alignment vertical="center"/>
    </xf>
    <xf numFmtId="0" fontId="0" fillId="0" borderId="37" xfId="0" applyFill="1" applyBorder="1" applyAlignment="1" applyProtection="1">
      <alignment vertical="center"/>
    </xf>
    <xf numFmtId="0" fontId="10" fillId="0" borderId="0" xfId="0" applyFont="1" applyBorder="1" applyAlignment="1" applyProtection="1">
      <alignment horizontal="center" vertical="top"/>
    </xf>
    <xf numFmtId="0" fontId="10" fillId="0" borderId="0" xfId="0" applyFont="1" applyAlignment="1" applyProtection="1">
      <alignment horizontal="center" vertical="center"/>
    </xf>
    <xf numFmtId="0" fontId="10" fillId="0" borderId="35" xfId="0" applyFont="1" applyBorder="1" applyAlignment="1" applyProtection="1">
      <alignment horizontal="center" vertical="center"/>
    </xf>
    <xf numFmtId="0" fontId="3" fillId="0" borderId="0"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Alignment="1" applyProtection="1">
      <alignment vertical="top"/>
    </xf>
    <xf numFmtId="0" fontId="13" fillId="0" borderId="0" xfId="2" applyFont="1" applyProtection="1"/>
    <xf numFmtId="0" fontId="13" fillId="0" borderId="0" xfId="2" applyFont="1" applyAlignment="1" applyProtection="1">
      <alignment vertical="center"/>
    </xf>
    <xf numFmtId="181" fontId="14" fillId="0" borderId="0" xfId="2" applyNumberFormat="1" applyFont="1" applyAlignment="1" applyProtection="1">
      <alignment horizontal="right" vertical="center"/>
    </xf>
    <xf numFmtId="0" fontId="14" fillId="0" borderId="0" xfId="2" applyFont="1" applyAlignment="1" applyProtection="1">
      <alignment vertical="center"/>
    </xf>
    <xf numFmtId="0" fontId="13" fillId="0" borderId="0" xfId="2" applyAlignment="1" applyProtection="1">
      <alignment horizontal="right"/>
    </xf>
    <xf numFmtId="182" fontId="13" fillId="0" borderId="0" xfId="2" applyNumberFormat="1" applyFont="1" applyAlignment="1" applyProtection="1">
      <alignment horizontal="center"/>
    </xf>
    <xf numFmtId="178" fontId="13" fillId="0" borderId="0" xfId="2" applyNumberFormat="1" applyFont="1" applyAlignment="1" applyProtection="1">
      <alignment horizontal="left"/>
    </xf>
    <xf numFmtId="0" fontId="16" fillId="0" borderId="0" xfId="2" applyFont="1" applyBorder="1" applyProtection="1"/>
    <xf numFmtId="0" fontId="16" fillId="0" borderId="0" xfId="2" applyFont="1" applyProtection="1"/>
    <xf numFmtId="0" fontId="16" fillId="0" borderId="0" xfId="2" applyFont="1" applyAlignment="1" applyProtection="1">
      <alignment horizontal="right"/>
    </xf>
    <xf numFmtId="184" fontId="17" fillId="0" borderId="67" xfId="2" applyNumberFormat="1" applyFont="1" applyBorder="1" applyAlignment="1" applyProtection="1">
      <alignment horizontal="center" vertical="center"/>
    </xf>
    <xf numFmtId="179" fontId="17" fillId="0" borderId="0" xfId="2" applyNumberFormat="1" applyFont="1" applyBorder="1" applyAlignment="1" applyProtection="1">
      <alignment vertical="center"/>
    </xf>
    <xf numFmtId="0" fontId="16" fillId="0" borderId="55" xfId="2" applyFont="1" applyBorder="1" applyAlignment="1" applyProtection="1">
      <alignment horizontal="center" vertical="center"/>
    </xf>
    <xf numFmtId="0" fontId="16" fillId="0" borderId="43" xfId="2" applyFont="1" applyBorder="1" applyAlignment="1" applyProtection="1">
      <alignment horizontal="center" vertical="center"/>
    </xf>
    <xf numFmtId="0" fontId="16" fillId="0" borderId="66" xfId="2" applyFont="1" applyBorder="1" applyAlignment="1" applyProtection="1">
      <alignment horizontal="center" vertical="center"/>
    </xf>
    <xf numFmtId="0" fontId="16" fillId="0" borderId="68" xfId="2" applyFont="1" applyBorder="1" applyAlignment="1" applyProtection="1">
      <alignment horizontal="center" vertical="center"/>
    </xf>
    <xf numFmtId="0" fontId="16" fillId="0" borderId="0" xfId="2" applyFont="1" applyBorder="1" applyAlignment="1" applyProtection="1">
      <alignment horizontal="center" vertical="center"/>
    </xf>
    <xf numFmtId="0" fontId="13" fillId="0" borderId="0" xfId="2" applyFont="1" applyBorder="1" applyProtection="1"/>
    <xf numFmtId="0" fontId="13" fillId="0" borderId="0" xfId="2" applyProtection="1"/>
    <xf numFmtId="0" fontId="0" fillId="0" borderId="0" xfId="0" applyAlignment="1" applyProtection="1">
      <alignment horizontal="center" vertical="center"/>
    </xf>
    <xf numFmtId="0" fontId="0" fillId="0" borderId="0" xfId="0" applyNumberFormat="1" applyAlignment="1" applyProtection="1">
      <alignment vertical="center" shrinkToFit="1"/>
    </xf>
    <xf numFmtId="0" fontId="22" fillId="0" borderId="0" xfId="0" applyFont="1" applyAlignment="1" applyProtection="1">
      <alignment vertical="center" shrinkToFit="1"/>
    </xf>
    <xf numFmtId="0" fontId="22" fillId="0" borderId="0" xfId="0" applyFont="1" applyFill="1" applyAlignment="1" applyProtection="1">
      <alignment vertical="center" shrinkToFit="1"/>
    </xf>
    <xf numFmtId="0" fontId="22" fillId="0" borderId="0" xfId="0" applyFont="1" applyBorder="1" applyAlignment="1" applyProtection="1">
      <alignment vertical="center" shrinkToFit="1"/>
    </xf>
    <xf numFmtId="0" fontId="22"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0" fillId="0" borderId="0" xfId="0" applyFill="1" applyAlignment="1" applyProtection="1">
      <alignment vertical="center" shrinkToFit="1"/>
    </xf>
    <xf numFmtId="185" fontId="42" fillId="0" borderId="39" xfId="0" applyNumberFormat="1" applyFont="1" applyFill="1" applyBorder="1" applyAlignment="1" applyProtection="1">
      <alignment vertical="center" shrinkToFit="1"/>
    </xf>
    <xf numFmtId="0" fontId="43" fillId="0" borderId="4" xfId="0" applyFont="1" applyBorder="1" applyAlignment="1" applyProtection="1">
      <alignment horizontal="center" vertical="center" shrinkToFit="1"/>
    </xf>
    <xf numFmtId="0" fontId="43" fillId="0" borderId="0" xfId="0" applyFont="1" applyAlignment="1" applyProtection="1">
      <alignment horizontal="left" vertical="center" wrapText="1" shrinkToFit="1"/>
    </xf>
    <xf numFmtId="0" fontId="43" fillId="0" borderId="40" xfId="0" applyFont="1" applyFill="1" applyBorder="1" applyAlignment="1" applyProtection="1">
      <alignment horizontal="left" vertical="center" wrapText="1" shrinkToFit="1"/>
    </xf>
    <xf numFmtId="0" fontId="44" fillId="0" borderId="24" xfId="0" applyFont="1" applyFill="1" applyBorder="1" applyAlignment="1" applyProtection="1">
      <alignment horizontal="left" vertical="center" wrapText="1" shrinkToFit="1"/>
    </xf>
    <xf numFmtId="185" fontId="43" fillId="0" borderId="24" xfId="0" applyNumberFormat="1" applyFont="1" applyFill="1" applyBorder="1" applyAlignment="1" applyProtection="1">
      <alignment horizontal="left" vertical="center" wrapText="1" shrinkToFit="1"/>
    </xf>
    <xf numFmtId="0" fontId="43" fillId="0" borderId="22" xfId="0" applyFont="1" applyBorder="1" applyAlignment="1" applyProtection="1">
      <alignment horizontal="left" vertical="center" wrapText="1" shrinkToFit="1"/>
    </xf>
    <xf numFmtId="0" fontId="43" fillId="0" borderId="41" xfId="0" applyNumberFormat="1" applyFont="1" applyFill="1" applyBorder="1" applyAlignment="1" applyProtection="1">
      <alignment horizontal="left" vertical="center" wrapText="1" shrinkToFit="1"/>
    </xf>
    <xf numFmtId="0" fontId="45" fillId="0" borderId="40" xfId="0" applyFont="1" applyBorder="1" applyAlignment="1" applyProtection="1">
      <alignment horizontal="left" vertical="center" wrapText="1" shrinkToFit="1"/>
    </xf>
    <xf numFmtId="0" fontId="45" fillId="0" borderId="24" xfId="0" applyNumberFormat="1" applyFont="1" applyBorder="1" applyAlignment="1" applyProtection="1">
      <alignment horizontal="left" vertical="center" wrapText="1" shrinkToFit="1"/>
    </xf>
    <xf numFmtId="0" fontId="45" fillId="0" borderId="41" xfId="0" applyNumberFormat="1" applyFont="1" applyBorder="1" applyAlignment="1" applyProtection="1">
      <alignment horizontal="left" vertical="center" wrapText="1" shrinkToFit="1"/>
    </xf>
    <xf numFmtId="185" fontId="43" fillId="0" borderId="65" xfId="0" applyNumberFormat="1" applyFont="1" applyBorder="1" applyAlignment="1" applyProtection="1">
      <alignment horizontal="left" vertical="center" wrapText="1" shrinkToFit="1"/>
    </xf>
    <xf numFmtId="0" fontId="43" fillId="0" borderId="40" xfId="0" applyFont="1" applyBorder="1" applyAlignment="1" applyProtection="1">
      <alignment vertical="center" wrapText="1" shrinkToFit="1"/>
    </xf>
    <xf numFmtId="0" fontId="43" fillId="0" borderId="24" xfId="0" applyFont="1" applyBorder="1" applyAlignment="1" applyProtection="1">
      <alignment vertical="center" wrapText="1" shrinkToFit="1"/>
    </xf>
    <xf numFmtId="0" fontId="43" fillId="0" borderId="41" xfId="0" applyFont="1" applyBorder="1" applyAlignment="1" applyProtection="1">
      <alignment vertical="center" wrapText="1" shrinkToFit="1"/>
    </xf>
    <xf numFmtId="0" fontId="42" fillId="0" borderId="17" xfId="0" applyFont="1" applyBorder="1" applyAlignment="1" applyProtection="1">
      <alignment horizontal="left" vertical="center" wrapText="1" shrinkToFit="1"/>
    </xf>
    <xf numFmtId="0" fontId="42" fillId="0" borderId="115" xfId="0" applyFont="1" applyFill="1" applyBorder="1" applyAlignment="1" applyProtection="1">
      <alignment horizontal="left" vertical="center" shrinkToFit="1"/>
    </xf>
    <xf numFmtId="0" fontId="42" fillId="0" borderId="18" xfId="0" applyFont="1" applyFill="1" applyBorder="1" applyAlignment="1" applyProtection="1">
      <alignment horizontal="left" vertical="center" shrinkToFit="1"/>
    </xf>
    <xf numFmtId="0" fontId="42" fillId="0" borderId="22" xfId="0" applyFont="1" applyBorder="1" applyAlignment="1" applyProtection="1">
      <alignment horizontal="left" vertical="center" shrinkToFit="1"/>
    </xf>
    <xf numFmtId="0" fontId="45" fillId="0" borderId="0" xfId="0" applyFont="1" applyAlignment="1" applyProtection="1">
      <alignment vertical="center" shrinkToFit="1"/>
    </xf>
    <xf numFmtId="0" fontId="43" fillId="0" borderId="0" xfId="0" applyFont="1" applyAlignment="1" applyProtection="1">
      <alignment vertical="center" shrinkToFit="1"/>
    </xf>
    <xf numFmtId="185" fontId="0" fillId="0" borderId="20" xfId="0" applyNumberFormat="1" applyBorder="1" applyProtection="1">
      <alignment vertical="center"/>
    </xf>
    <xf numFmtId="185" fontId="0" fillId="0" borderId="38" xfId="0" applyNumberFormat="1" applyFill="1" applyBorder="1" applyProtection="1">
      <alignment vertical="center"/>
    </xf>
    <xf numFmtId="0" fontId="0" fillId="0" borderId="39" xfId="0" applyNumberFormat="1" applyFill="1" applyBorder="1" applyProtection="1">
      <alignment vertical="center"/>
    </xf>
    <xf numFmtId="185" fontId="0" fillId="0" borderId="38" xfId="0" applyNumberFormat="1" applyBorder="1" applyProtection="1">
      <alignment vertical="center"/>
    </xf>
    <xf numFmtId="0" fontId="0" fillId="0" borderId="39" xfId="0" applyNumberFormat="1" applyBorder="1" applyAlignment="1" applyProtection="1">
      <alignment vertical="center" shrinkToFit="1"/>
    </xf>
    <xf numFmtId="0" fontId="0" fillId="0" borderId="64" xfId="0" applyBorder="1" applyProtection="1">
      <alignment vertical="center"/>
    </xf>
    <xf numFmtId="0" fontId="33" fillId="0" borderId="20" xfId="0" applyFont="1" applyBorder="1" applyProtection="1">
      <alignment vertical="center"/>
    </xf>
    <xf numFmtId="0" fontId="0" fillId="7" borderId="5" xfId="0" applyFill="1" applyBorder="1" applyProtection="1">
      <alignment vertical="center"/>
    </xf>
    <xf numFmtId="0" fontId="22" fillId="0" borderId="116" xfId="0" applyFont="1" applyFill="1" applyBorder="1" applyAlignment="1" applyProtection="1">
      <alignment vertical="center" shrinkToFit="1"/>
    </xf>
    <xf numFmtId="0" fontId="22" fillId="0" borderId="12" xfId="0" applyFont="1" applyFill="1" applyBorder="1" applyAlignment="1" applyProtection="1">
      <alignment vertical="center" shrinkToFit="1"/>
    </xf>
    <xf numFmtId="185" fontId="0" fillId="0" borderId="21" xfId="0" applyNumberFormat="1" applyBorder="1" applyProtection="1">
      <alignment vertical="center"/>
    </xf>
    <xf numFmtId="185" fontId="0" fillId="0" borderId="45" xfId="0" applyNumberFormat="1" applyFill="1" applyBorder="1" applyProtection="1">
      <alignment vertical="center"/>
    </xf>
    <xf numFmtId="0" fontId="0" fillId="0" borderId="46" xfId="0" applyNumberFormat="1" applyFill="1" applyBorder="1" applyProtection="1">
      <alignment vertical="center"/>
    </xf>
    <xf numFmtId="185" fontId="0" fillId="0" borderId="45" xfId="0" applyNumberFormat="1" applyBorder="1" applyProtection="1">
      <alignment vertical="center"/>
    </xf>
    <xf numFmtId="0" fontId="0" fillId="0" borderId="44" xfId="0" applyNumberFormat="1" applyBorder="1" applyAlignment="1" applyProtection="1">
      <alignment vertical="center" shrinkToFit="1"/>
    </xf>
    <xf numFmtId="0" fontId="0" fillId="0" borderId="47" xfId="0" applyBorder="1" applyProtection="1">
      <alignment vertical="center"/>
    </xf>
    <xf numFmtId="0" fontId="33" fillId="0" borderId="21" xfId="0" applyFont="1" applyBorder="1" applyProtection="1">
      <alignment vertical="center"/>
    </xf>
    <xf numFmtId="0" fontId="0" fillId="7" borderId="7" xfId="0" applyFill="1" applyBorder="1" applyProtection="1">
      <alignment vertical="center"/>
    </xf>
    <xf numFmtId="0" fontId="22" fillId="0" borderId="117" xfId="0" applyFont="1" applyFill="1" applyBorder="1" applyAlignment="1" applyProtection="1">
      <alignment vertical="center" shrinkToFit="1"/>
    </xf>
    <xf numFmtId="0" fontId="22" fillId="0" borderId="30" xfId="0" applyFont="1" applyFill="1" applyBorder="1" applyAlignment="1" applyProtection="1">
      <alignment vertical="center" shrinkToFit="1"/>
    </xf>
    <xf numFmtId="185" fontId="0" fillId="0" borderId="22" xfId="0" applyNumberFormat="1" applyBorder="1" applyProtection="1">
      <alignment vertical="center"/>
    </xf>
    <xf numFmtId="185" fontId="0" fillId="0" borderId="40" xfId="0" applyNumberFormat="1" applyFill="1" applyBorder="1" applyProtection="1">
      <alignment vertical="center"/>
    </xf>
    <xf numFmtId="0" fontId="0" fillId="0" borderId="41" xfId="0" applyNumberFormat="1" applyFill="1" applyBorder="1" applyProtection="1">
      <alignment vertical="center"/>
    </xf>
    <xf numFmtId="185" fontId="0" fillId="0" borderId="40" xfId="0" applyNumberFormat="1" applyBorder="1" applyProtection="1">
      <alignment vertical="center"/>
    </xf>
    <xf numFmtId="0" fontId="0" fillId="0" borderId="81" xfId="0" applyNumberFormat="1" applyBorder="1" applyAlignment="1" applyProtection="1">
      <alignment vertical="center" shrinkToFit="1"/>
    </xf>
    <xf numFmtId="0" fontId="0" fillId="0" borderId="65" xfId="0" applyBorder="1" applyProtection="1">
      <alignment vertical="center"/>
    </xf>
    <xf numFmtId="0" fontId="33" fillId="0" borderId="22" xfId="0" applyFont="1" applyBorder="1" applyProtection="1">
      <alignment vertical="center"/>
    </xf>
    <xf numFmtId="0" fontId="0" fillId="0" borderId="41" xfId="0" applyBorder="1" applyProtection="1">
      <alignment vertical="center"/>
    </xf>
    <xf numFmtId="0" fontId="22" fillId="0" borderId="9" xfId="0" applyFont="1" applyFill="1" applyBorder="1" applyAlignment="1" applyProtection="1">
      <alignment vertical="center" shrinkToFit="1"/>
    </xf>
    <xf numFmtId="0" fontId="0" fillId="0" borderId="19" xfId="0" applyBorder="1" applyProtection="1">
      <alignment vertical="center"/>
    </xf>
    <xf numFmtId="185" fontId="48" fillId="5" borderId="0" xfId="0" applyNumberFormat="1" applyFont="1" applyFill="1" applyProtection="1">
      <alignment vertical="center"/>
    </xf>
    <xf numFmtId="185" fontId="0" fillId="5" borderId="0" xfId="0" applyNumberFormat="1" applyFill="1" applyProtection="1">
      <alignment vertical="center"/>
    </xf>
    <xf numFmtId="0" fontId="0" fillId="5" borderId="90" xfId="0" applyNumberFormat="1" applyFill="1" applyBorder="1" applyAlignment="1" applyProtection="1">
      <alignment vertical="center" shrinkToFit="1"/>
    </xf>
    <xf numFmtId="186" fontId="22" fillId="0" borderId="0" xfId="0" applyNumberFormat="1" applyFont="1" applyAlignment="1" applyProtection="1">
      <alignment vertical="center" shrinkToFit="1"/>
    </xf>
    <xf numFmtId="186" fontId="22" fillId="0" borderId="0" xfId="0" applyNumberFormat="1" applyFont="1" applyFill="1" applyAlignment="1" applyProtection="1">
      <alignment vertical="center" shrinkToFit="1"/>
    </xf>
    <xf numFmtId="186" fontId="0" fillId="0" borderId="0" xfId="0" applyNumberFormat="1" applyFill="1" applyAlignment="1" applyProtection="1">
      <alignment vertical="center" shrinkToFit="1"/>
    </xf>
    <xf numFmtId="0" fontId="0" fillId="0" borderId="38" xfId="0" applyFill="1" applyBorder="1" applyAlignment="1" applyProtection="1">
      <alignment vertical="center" wrapText="1"/>
    </xf>
    <xf numFmtId="0" fontId="0" fillId="0" borderId="45" xfId="0" applyFill="1" applyBorder="1" applyAlignment="1" applyProtection="1">
      <alignment vertical="center" wrapText="1"/>
    </xf>
    <xf numFmtId="0" fontId="0" fillId="0" borderId="40" xfId="0" applyFill="1" applyBorder="1" applyAlignment="1" applyProtection="1">
      <alignment vertical="center" wrapText="1"/>
    </xf>
    <xf numFmtId="185" fontId="0" fillId="0" borderId="2" xfId="0" applyNumberFormat="1" applyFill="1" applyBorder="1" applyAlignment="1" applyProtection="1">
      <alignment vertical="center" wrapText="1" shrinkToFit="1"/>
    </xf>
    <xf numFmtId="0" fontId="3" fillId="0" borderId="0" xfId="23" applyFont="1" applyAlignment="1" applyProtection="1">
      <alignment vertical="center"/>
    </xf>
    <xf numFmtId="0" fontId="3" fillId="0" borderId="0" xfId="23" applyFont="1" applyAlignment="1" applyProtection="1">
      <alignment vertical="center" shrinkToFit="1"/>
    </xf>
    <xf numFmtId="177" fontId="3" fillId="0" borderId="0" xfId="23" applyNumberFormat="1" applyFont="1" applyAlignment="1" applyProtection="1">
      <alignment vertical="center"/>
    </xf>
    <xf numFmtId="0" fontId="10" fillId="0" borderId="0" xfId="23" applyFont="1" applyAlignment="1" applyProtection="1">
      <alignment vertical="center"/>
    </xf>
    <xf numFmtId="0" fontId="10" fillId="0" borderId="0" xfId="23" applyFont="1" applyAlignment="1" applyProtection="1">
      <alignment horizontal="right" vertical="center"/>
    </xf>
    <xf numFmtId="0" fontId="10" fillId="0" borderId="0" xfId="23" applyFont="1" applyFill="1" applyBorder="1" applyAlignment="1" applyProtection="1">
      <alignment vertical="center" shrinkToFit="1"/>
    </xf>
    <xf numFmtId="0" fontId="3" fillId="0" borderId="0" xfId="23" applyFont="1" applyBorder="1" applyAlignment="1" applyProtection="1">
      <alignment vertical="center"/>
    </xf>
    <xf numFmtId="0" fontId="10" fillId="0" borderId="1" xfId="23" applyFont="1" applyFill="1" applyBorder="1" applyAlignment="1" applyProtection="1">
      <alignment horizontal="center" vertical="center" shrinkToFit="1"/>
    </xf>
    <xf numFmtId="0" fontId="7" fillId="0" borderId="1" xfId="23" applyFont="1" applyFill="1" applyBorder="1" applyAlignment="1" applyProtection="1">
      <alignment horizontal="center" vertical="center" shrinkToFit="1"/>
    </xf>
    <xf numFmtId="0" fontId="10" fillId="0" borderId="1" xfId="23" applyFont="1" applyFill="1" applyBorder="1" applyAlignment="1" applyProtection="1">
      <alignment horizontal="center" vertical="center" wrapText="1" shrinkToFit="1"/>
    </xf>
    <xf numFmtId="0" fontId="11" fillId="0" borderId="1" xfId="23" applyFont="1" applyFill="1" applyBorder="1" applyAlignment="1" applyProtection="1">
      <alignment horizontal="center" vertical="center" wrapText="1" shrinkToFit="1"/>
    </xf>
    <xf numFmtId="0" fontId="28" fillId="0" borderId="21" xfId="23" applyFont="1" applyFill="1" applyBorder="1" applyAlignment="1" applyProtection="1">
      <alignment horizontal="center" vertical="center" wrapText="1" shrinkToFit="1"/>
    </xf>
    <xf numFmtId="0" fontId="12" fillId="0" borderId="21" xfId="23" applyFont="1" applyFill="1" applyBorder="1" applyAlignment="1" applyProtection="1">
      <alignment horizontal="center" vertical="center" wrapText="1" shrinkToFit="1"/>
    </xf>
    <xf numFmtId="0" fontId="12" fillId="0" borderId="47" xfId="23" applyFont="1" applyFill="1" applyBorder="1" applyAlignment="1" applyProtection="1">
      <alignment horizontal="center" vertical="center" wrapText="1" shrinkToFit="1"/>
    </xf>
    <xf numFmtId="177" fontId="10" fillId="0" borderId="1" xfId="23" applyNumberFormat="1" applyFont="1" applyFill="1" applyBorder="1" applyAlignment="1" applyProtection="1">
      <alignment horizontal="center" vertical="center" wrapText="1" shrinkToFit="1"/>
    </xf>
    <xf numFmtId="0" fontId="10" fillId="0" borderId="0" xfId="23" applyFont="1" applyFill="1" applyAlignment="1" applyProtection="1">
      <alignment horizontal="center" vertical="center"/>
    </xf>
    <xf numFmtId="0" fontId="10" fillId="0" borderId="0" xfId="23" applyFont="1" applyFill="1" applyBorder="1" applyAlignment="1" applyProtection="1">
      <alignment horizontal="center" vertical="center"/>
    </xf>
    <xf numFmtId="0" fontId="10" fillId="0" borderId="0" xfId="23" applyFont="1" applyBorder="1" applyAlignment="1" applyProtection="1">
      <alignment horizontal="center" vertical="center"/>
    </xf>
    <xf numFmtId="0" fontId="10" fillId="0" borderId="0" xfId="23" applyFont="1" applyAlignment="1" applyProtection="1">
      <alignment horizontal="center" vertical="center"/>
    </xf>
    <xf numFmtId="0" fontId="10" fillId="0" borderId="1" xfId="23" applyFont="1" applyFill="1" applyBorder="1" applyAlignment="1" applyProtection="1">
      <alignment vertical="center" shrinkToFit="1"/>
    </xf>
    <xf numFmtId="0" fontId="10" fillId="2" borderId="1" xfId="23" applyFont="1" applyFill="1" applyBorder="1" applyAlignment="1" applyProtection="1">
      <alignment vertical="center" shrinkToFit="1"/>
      <protection locked="0"/>
    </xf>
    <xf numFmtId="176" fontId="10" fillId="2" borderId="1" xfId="23" applyNumberFormat="1" applyFont="1" applyFill="1" applyBorder="1" applyAlignment="1" applyProtection="1">
      <alignment horizontal="center" vertical="center" shrinkToFit="1"/>
      <protection locked="0"/>
    </xf>
    <xf numFmtId="0" fontId="10" fillId="2" borderId="1" xfId="23" applyFont="1" applyFill="1" applyBorder="1" applyAlignment="1" applyProtection="1">
      <alignment horizontal="center" vertical="center" shrinkToFit="1"/>
      <protection locked="0"/>
    </xf>
    <xf numFmtId="180" fontId="3" fillId="0" borderId="0" xfId="23" applyNumberFormat="1" applyFont="1" applyFill="1" applyAlignment="1" applyProtection="1">
      <alignment vertical="center"/>
    </xf>
    <xf numFmtId="0" fontId="3" fillId="0" borderId="0" xfId="23" applyFont="1" applyFill="1" applyBorder="1" applyAlignment="1" applyProtection="1">
      <alignment vertical="center"/>
    </xf>
    <xf numFmtId="0" fontId="3" fillId="0" borderId="0" xfId="23" applyFont="1" applyFill="1" applyAlignment="1" applyProtection="1">
      <alignment vertical="center"/>
    </xf>
    <xf numFmtId="177" fontId="3" fillId="0" borderId="2" xfId="23" applyNumberFormat="1" applyFont="1" applyFill="1" applyBorder="1" applyAlignment="1" applyProtection="1">
      <alignment vertical="center"/>
      <protection locked="0"/>
    </xf>
    <xf numFmtId="177" fontId="3" fillId="0" borderId="27" xfId="23" applyNumberFormat="1" applyFont="1" applyFill="1" applyBorder="1" applyAlignment="1" applyProtection="1">
      <alignment vertical="center"/>
      <protection locked="0"/>
    </xf>
    <xf numFmtId="0" fontId="10" fillId="0" borderId="0" xfId="23" applyFont="1" applyAlignment="1" applyProtection="1">
      <alignment vertical="center" shrinkToFit="1"/>
    </xf>
    <xf numFmtId="0" fontId="8" fillId="0" borderId="0" xfId="0" applyFont="1" applyAlignment="1" applyProtection="1">
      <alignment vertical="center"/>
    </xf>
    <xf numFmtId="177" fontId="0" fillId="0" borderId="0" xfId="0" applyNumberFormat="1">
      <alignment vertical="center"/>
    </xf>
    <xf numFmtId="0" fontId="0" fillId="0" borderId="21" xfId="0" applyBorder="1">
      <alignment vertical="center"/>
    </xf>
    <xf numFmtId="0" fontId="0" fillId="0" borderId="15" xfId="0" applyBorder="1">
      <alignment vertical="center"/>
    </xf>
    <xf numFmtId="0" fontId="0" fillId="0" borderId="47" xfId="0" applyBorder="1">
      <alignment vertical="center"/>
    </xf>
    <xf numFmtId="177" fontId="0" fillId="0" borderId="47" xfId="0" applyNumberFormat="1" applyBorder="1">
      <alignment vertical="center"/>
    </xf>
    <xf numFmtId="177" fontId="0" fillId="0" borderId="47" xfId="0" applyNumberFormat="1" applyFill="1" applyBorder="1">
      <alignment vertical="center"/>
    </xf>
    <xf numFmtId="177" fontId="0" fillId="0" borderId="1" xfId="0" applyNumberFormat="1" applyFill="1" applyBorder="1">
      <alignment vertical="center"/>
    </xf>
    <xf numFmtId="177" fontId="0" fillId="0" borderId="33" xfId="0" applyNumberFormat="1" applyFill="1" applyBorder="1">
      <alignment vertical="center"/>
    </xf>
    <xf numFmtId="0" fontId="30" fillId="0" borderId="15" xfId="0" applyFont="1" applyBorder="1" applyAlignment="1">
      <alignment horizontal="right" vertical="center"/>
    </xf>
    <xf numFmtId="0" fontId="0" fillId="0" borderId="25" xfId="0" applyFill="1" applyBorder="1" applyAlignment="1" applyProtection="1">
      <alignment vertical="center" wrapText="1"/>
    </xf>
    <xf numFmtId="188" fontId="10" fillId="0" borderId="2" xfId="23" applyNumberFormat="1" applyFont="1" applyFill="1" applyBorder="1" applyAlignment="1" applyProtection="1">
      <alignment vertical="center" shrinkToFit="1"/>
    </xf>
    <xf numFmtId="0" fontId="4" fillId="0" borderId="21" xfId="0" applyFont="1" applyFill="1" applyBorder="1" applyAlignment="1" applyProtection="1">
      <alignment horizontal="left" vertical="center"/>
    </xf>
    <xf numFmtId="0" fontId="4" fillId="0" borderId="15" xfId="0" applyFont="1" applyFill="1" applyBorder="1" applyAlignment="1" applyProtection="1">
      <alignment horizontal="right" vertical="center"/>
    </xf>
    <xf numFmtId="187" fontId="8" fillId="0" borderId="0" xfId="0" applyNumberFormat="1" applyFont="1" applyAlignment="1" applyProtection="1">
      <alignment vertical="center"/>
    </xf>
    <xf numFmtId="187" fontId="4" fillId="0" borderId="0" xfId="0" applyNumberFormat="1" applyFont="1" applyProtection="1">
      <alignment vertical="center"/>
    </xf>
    <xf numFmtId="187" fontId="10" fillId="2" borderId="121" xfId="0" applyNumberFormat="1" applyFont="1" applyFill="1" applyBorder="1" applyAlignment="1" applyProtection="1">
      <alignment vertical="center" wrapText="1"/>
      <protection locked="0"/>
    </xf>
    <xf numFmtId="187" fontId="10" fillId="2" borderId="122" xfId="0" applyNumberFormat="1" applyFont="1" applyFill="1" applyBorder="1" applyAlignment="1" applyProtection="1">
      <alignment vertical="center" wrapText="1"/>
      <protection locked="0"/>
    </xf>
    <xf numFmtId="0" fontId="0" fillId="0" borderId="0" xfId="0" applyAlignment="1">
      <alignment horizontal="right" vertical="center"/>
    </xf>
    <xf numFmtId="177" fontId="0" fillId="0" borderId="67" xfId="0" applyNumberFormat="1" applyBorder="1">
      <alignment vertical="center"/>
    </xf>
    <xf numFmtId="38" fontId="0" fillId="0" borderId="40" xfId="1" applyFont="1" applyBorder="1">
      <alignment vertical="center"/>
    </xf>
    <xf numFmtId="189" fontId="10" fillId="2" borderId="47" xfId="23" applyNumberFormat="1" applyFont="1" applyFill="1" applyBorder="1" applyAlignment="1" applyProtection="1">
      <alignment horizontal="center" vertical="center" shrinkToFit="1"/>
      <protection locked="0"/>
    </xf>
    <xf numFmtId="0" fontId="26" fillId="2" borderId="52" xfId="2" applyFont="1" applyFill="1" applyBorder="1" applyAlignment="1" applyProtection="1">
      <alignment vertical="center" shrinkToFit="1"/>
      <protection locked="0"/>
    </xf>
    <xf numFmtId="38" fontId="53" fillId="0" borderId="0" xfId="1" applyFont="1">
      <alignment vertical="center"/>
    </xf>
    <xf numFmtId="38" fontId="55" fillId="0" borderId="0" xfId="1" applyFont="1">
      <alignment vertical="center"/>
    </xf>
    <xf numFmtId="38" fontId="56" fillId="0" borderId="0" xfId="1" applyFont="1">
      <alignment vertical="center"/>
    </xf>
    <xf numFmtId="38" fontId="56" fillId="0" borderId="0" xfId="1" applyFont="1" applyAlignment="1">
      <alignment horizontal="right" vertical="center"/>
    </xf>
    <xf numFmtId="38" fontId="56" fillId="0" borderId="0" xfId="1" applyFont="1" applyAlignment="1">
      <alignment horizontal="center" vertical="center"/>
    </xf>
    <xf numFmtId="38" fontId="56" fillId="0" borderId="0" xfId="1" applyFont="1" applyBorder="1" applyAlignment="1">
      <alignment horizontal="center" vertical="center"/>
    </xf>
    <xf numFmtId="38" fontId="55" fillId="0" borderId="6" xfId="1" applyFont="1" applyBorder="1">
      <alignment vertical="center"/>
    </xf>
    <xf numFmtId="38" fontId="56" fillId="0" borderId="34" xfId="1" applyFont="1" applyBorder="1">
      <alignment vertical="center"/>
    </xf>
    <xf numFmtId="38" fontId="55" fillId="0" borderId="8" xfId="1" applyFont="1" applyBorder="1">
      <alignment vertical="center"/>
    </xf>
    <xf numFmtId="38" fontId="56" fillId="0" borderId="0" xfId="1" applyFont="1" applyFill="1" applyBorder="1" applyAlignment="1">
      <alignment horizontal="left" vertical="center"/>
    </xf>
    <xf numFmtId="38" fontId="56" fillId="0" borderId="0" xfId="1" applyFont="1" applyFill="1" applyBorder="1" applyAlignment="1">
      <alignment horizontal="left" vertical="center" wrapText="1"/>
    </xf>
    <xf numFmtId="38" fontId="56" fillId="0" borderId="0" xfId="1" applyFont="1" applyFill="1" applyBorder="1" applyAlignment="1">
      <alignment horizontal="center" vertical="center"/>
    </xf>
    <xf numFmtId="38" fontId="56" fillId="0" borderId="0" xfId="1" applyFont="1" applyAlignment="1">
      <alignment vertical="center"/>
    </xf>
    <xf numFmtId="38" fontId="56" fillId="0" borderId="0" xfId="1" applyFont="1" applyFill="1">
      <alignment vertical="center"/>
    </xf>
    <xf numFmtId="0" fontId="56" fillId="0" borderId="0" xfId="0" applyFont="1">
      <alignment vertical="center"/>
    </xf>
    <xf numFmtId="0" fontId="56" fillId="0" borderId="0" xfId="0" applyFont="1" applyAlignment="1">
      <alignment horizontal="right" vertical="center"/>
    </xf>
    <xf numFmtId="0" fontId="55" fillId="0" borderId="3" xfId="0" applyFont="1" applyBorder="1">
      <alignment vertical="center"/>
    </xf>
    <xf numFmtId="0" fontId="55" fillId="0" borderId="4" xfId="0" applyFont="1" applyBorder="1">
      <alignment vertical="center"/>
    </xf>
    <xf numFmtId="0" fontId="55" fillId="0" borderId="5" xfId="0" applyFont="1" applyBorder="1">
      <alignment vertical="center"/>
    </xf>
    <xf numFmtId="0" fontId="55" fillId="0" borderId="8" xfId="0" applyFont="1" applyBorder="1">
      <alignment vertical="center"/>
    </xf>
    <xf numFmtId="0" fontId="55" fillId="0" borderId="128" xfId="0" applyFont="1" applyBorder="1" applyAlignment="1">
      <alignment horizontal="center" vertical="center"/>
    </xf>
    <xf numFmtId="0" fontId="55" fillId="0" borderId="131" xfId="0" applyFont="1" applyBorder="1" applyAlignment="1">
      <alignment horizontal="center" vertical="center"/>
    </xf>
    <xf numFmtId="0" fontId="55" fillId="0" borderId="131" xfId="0" applyFont="1" applyBorder="1" applyAlignment="1">
      <alignment vertical="center"/>
    </xf>
    <xf numFmtId="0" fontId="55" fillId="0" borderId="132" xfId="0" applyFont="1" applyBorder="1" applyAlignment="1">
      <alignment vertical="center"/>
    </xf>
    <xf numFmtId="0" fontId="59" fillId="0" borderId="133" xfId="0" applyFont="1" applyBorder="1" applyAlignment="1">
      <alignment horizontal="center" vertical="center" wrapText="1"/>
    </xf>
    <xf numFmtId="0" fontId="55" fillId="0" borderId="131" xfId="0" applyFont="1" applyBorder="1" applyAlignment="1">
      <alignment horizontal="center" vertical="center" wrapText="1"/>
    </xf>
    <xf numFmtId="0" fontId="55" fillId="0" borderId="128" xfId="0" applyFont="1" applyBorder="1">
      <alignment vertical="center"/>
    </xf>
    <xf numFmtId="0" fontId="55" fillId="0" borderId="134" xfId="0" applyFont="1" applyBorder="1" applyAlignment="1">
      <alignment horizontal="center" vertical="center" wrapText="1"/>
    </xf>
    <xf numFmtId="0" fontId="55" fillId="0" borderId="133" xfId="0" applyFont="1" applyBorder="1" applyAlignment="1">
      <alignment horizontal="center" vertical="center"/>
    </xf>
    <xf numFmtId="0" fontId="56" fillId="0" borderId="68" xfId="0" applyFont="1" applyBorder="1" applyAlignment="1">
      <alignment horizontal="center" vertical="center"/>
    </xf>
    <xf numFmtId="192" fontId="56" fillId="0" borderId="66" xfId="1" applyNumberFormat="1" applyFont="1" applyFill="1" applyBorder="1" applyAlignment="1">
      <alignment horizontal="right" vertical="center" shrinkToFit="1"/>
    </xf>
    <xf numFmtId="193" fontId="56" fillId="0" borderId="44" xfId="0" applyNumberFormat="1" applyFont="1" applyFill="1" applyBorder="1">
      <alignment vertical="center"/>
    </xf>
    <xf numFmtId="193" fontId="56" fillId="0" borderId="44" xfId="0" applyNumberFormat="1" applyFont="1" applyBorder="1">
      <alignment vertical="center"/>
    </xf>
    <xf numFmtId="192" fontId="56" fillId="0" borderId="68" xfId="0" applyNumberFormat="1" applyFont="1" applyFill="1" applyBorder="1">
      <alignment vertical="center"/>
    </xf>
    <xf numFmtId="192" fontId="56" fillId="0" borderId="68" xfId="1" applyNumberFormat="1" applyFont="1" applyFill="1" applyBorder="1">
      <alignment vertical="center"/>
    </xf>
    <xf numFmtId="0" fontId="56" fillId="0" borderId="136" xfId="0" applyFont="1" applyBorder="1" applyAlignment="1">
      <alignment horizontal="center" vertical="center"/>
    </xf>
    <xf numFmtId="193" fontId="56" fillId="0" borderId="46" xfId="0" applyNumberFormat="1" applyFont="1" applyFill="1" applyBorder="1">
      <alignment vertical="center"/>
    </xf>
    <xf numFmtId="191" fontId="56" fillId="0" borderId="1" xfId="0" applyNumberFormat="1" applyFont="1" applyFill="1" applyBorder="1">
      <alignment vertical="center"/>
    </xf>
    <xf numFmtId="193" fontId="56" fillId="0" borderId="46" xfId="0" applyNumberFormat="1" applyFont="1" applyBorder="1">
      <alignment vertical="center"/>
    </xf>
    <xf numFmtId="192" fontId="56" fillId="0" borderId="136" xfId="0" applyNumberFormat="1" applyFont="1" applyFill="1" applyBorder="1">
      <alignment vertical="center"/>
    </xf>
    <xf numFmtId="192" fontId="56" fillId="0" borderId="136" xfId="1" applyNumberFormat="1" applyFont="1" applyFill="1" applyBorder="1">
      <alignment vertical="center"/>
    </xf>
    <xf numFmtId="0" fontId="56" fillId="0" borderId="27" xfId="0" applyFont="1" applyBorder="1" applyAlignment="1">
      <alignment horizontal="center" vertical="center"/>
    </xf>
    <xf numFmtId="193" fontId="56" fillId="0" borderId="2" xfId="0" applyNumberFormat="1" applyFont="1" applyBorder="1" applyAlignment="1">
      <alignment vertical="center"/>
    </xf>
    <xf numFmtId="0" fontId="56" fillId="0" borderId="28" xfId="0" applyFont="1" applyBorder="1" applyAlignment="1">
      <alignment vertical="center"/>
    </xf>
    <xf numFmtId="0" fontId="56" fillId="0" borderId="84" xfId="0" applyFont="1" applyBorder="1" applyAlignment="1">
      <alignment vertical="center"/>
    </xf>
    <xf numFmtId="193" fontId="56" fillId="0" borderId="26" xfId="0" applyNumberFormat="1" applyFont="1" applyBorder="1" applyAlignment="1">
      <alignment vertical="center"/>
    </xf>
    <xf numFmtId="194" fontId="56" fillId="0" borderId="2" xfId="0" applyNumberFormat="1" applyFont="1" applyFill="1" applyBorder="1">
      <alignment vertical="center"/>
    </xf>
    <xf numFmtId="192" fontId="56" fillId="0" borderId="28" xfId="0" applyNumberFormat="1" applyFont="1" applyBorder="1">
      <alignment vertical="center"/>
    </xf>
    <xf numFmtId="192" fontId="56" fillId="0" borderId="90" xfId="0" applyNumberFormat="1" applyFont="1" applyBorder="1">
      <alignment vertical="center"/>
    </xf>
    <xf numFmtId="192" fontId="56" fillId="0" borderId="85" xfId="0" applyNumberFormat="1" applyFont="1" applyBorder="1">
      <alignment vertical="center"/>
    </xf>
    <xf numFmtId="192" fontId="56" fillId="0" borderId="2" xfId="0" applyNumberFormat="1" applyFont="1" applyFill="1" applyBorder="1">
      <alignment vertical="center"/>
    </xf>
    <xf numFmtId="0" fontId="56" fillId="0" borderId="2" xfId="0" applyFont="1" applyBorder="1" applyAlignment="1">
      <alignment vertical="center" wrapText="1"/>
    </xf>
    <xf numFmtId="0" fontId="56" fillId="0" borderId="0" xfId="0" applyFont="1" applyFill="1" applyBorder="1" applyAlignment="1">
      <alignment horizontal="left" vertical="center"/>
    </xf>
    <xf numFmtId="190" fontId="56" fillId="0" borderId="0" xfId="24" applyNumberFormat="1" applyFont="1" applyBorder="1" applyAlignment="1">
      <alignment vertical="center"/>
    </xf>
    <xf numFmtId="190" fontId="56" fillId="0" borderId="7" xfId="24" applyNumberFormat="1" applyFont="1" applyBorder="1" applyAlignment="1">
      <alignment vertical="center"/>
    </xf>
    <xf numFmtId="0" fontId="55" fillId="0" borderId="6" xfId="0" applyFont="1" applyBorder="1">
      <alignment vertical="center"/>
    </xf>
    <xf numFmtId="38" fontId="56" fillId="0" borderId="0" xfId="0" applyNumberFormat="1" applyFont="1">
      <alignment vertical="center"/>
    </xf>
    <xf numFmtId="0" fontId="61" fillId="0" borderId="0" xfId="0" applyFont="1" applyAlignment="1">
      <alignment vertical="center"/>
    </xf>
    <xf numFmtId="0" fontId="56" fillId="0" borderId="0" xfId="0" applyFont="1" applyAlignment="1">
      <alignment vertical="center" wrapText="1"/>
    </xf>
    <xf numFmtId="0" fontId="56" fillId="8" borderId="1" xfId="0" applyFont="1" applyFill="1" applyBorder="1" applyAlignment="1">
      <alignment vertical="center" wrapText="1"/>
    </xf>
    <xf numFmtId="0" fontId="56" fillId="0" borderId="1" xfId="0" applyFont="1" applyBorder="1" applyAlignment="1">
      <alignment vertical="center" wrapText="1"/>
    </xf>
    <xf numFmtId="177" fontId="30" fillId="0" borderId="123" xfId="0" applyNumberFormat="1" applyFont="1" applyBorder="1">
      <alignment vertical="center"/>
    </xf>
    <xf numFmtId="0" fontId="13" fillId="0" borderId="0" xfId="2" applyFont="1" applyAlignment="1" applyProtection="1">
      <alignment vertical="top"/>
    </xf>
    <xf numFmtId="195" fontId="4" fillId="0" borderId="0" xfId="0" applyNumberFormat="1" applyFont="1" applyProtection="1">
      <alignment vertical="center"/>
    </xf>
    <xf numFmtId="38" fontId="34" fillId="0" borderId="26" xfId="1" applyFont="1" applyBorder="1">
      <alignment vertical="center"/>
    </xf>
    <xf numFmtId="38" fontId="22" fillId="0" borderId="2" xfId="1" applyFont="1" applyBorder="1" applyAlignment="1">
      <alignment horizontal="center" vertical="center" wrapText="1"/>
    </xf>
    <xf numFmtId="179" fontId="63" fillId="0" borderId="55" xfId="2" applyNumberFormat="1" applyFont="1" applyBorder="1" applyAlignment="1" applyProtection="1">
      <alignment horizontal="center" vertical="center"/>
    </xf>
    <xf numFmtId="192" fontId="56" fillId="0" borderId="44" xfId="1" applyNumberFormat="1" applyFont="1" applyFill="1" applyBorder="1">
      <alignment vertical="center"/>
    </xf>
    <xf numFmtId="0" fontId="8" fillId="0" borderId="0" xfId="0" applyFont="1" applyAlignment="1" applyProtection="1">
      <alignment horizontal="center" vertical="center"/>
    </xf>
    <xf numFmtId="0" fontId="10" fillId="2" borderId="21" xfId="23"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shrinkToFit="1"/>
    </xf>
    <xf numFmtId="0" fontId="8" fillId="0" borderId="0" xfId="0" applyFont="1" applyBorder="1" applyAlignment="1" applyProtection="1">
      <alignment horizontal="center" vertical="center"/>
    </xf>
    <xf numFmtId="187" fontId="10" fillId="2" borderId="70" xfId="0" applyNumberFormat="1" applyFont="1" applyFill="1" applyBorder="1" applyAlignment="1" applyProtection="1">
      <alignment horizontal="right" vertical="center" wrapText="1"/>
      <protection locked="0"/>
    </xf>
    <xf numFmtId="0" fontId="10" fillId="2" borderId="0" xfId="0" applyFont="1" applyFill="1" applyBorder="1" applyAlignment="1" applyProtection="1">
      <alignment vertical="center"/>
      <protection locked="0"/>
    </xf>
    <xf numFmtId="0" fontId="10" fillId="2" borderId="35" xfId="0" applyFont="1" applyFill="1" applyBorder="1" applyAlignment="1" applyProtection="1">
      <alignment vertical="center"/>
      <protection locked="0"/>
    </xf>
    <xf numFmtId="0" fontId="10" fillId="2" borderId="30" xfId="0" applyFont="1" applyFill="1" applyBorder="1" applyAlignment="1" applyProtection="1">
      <alignment vertical="center"/>
      <protection locked="0"/>
    </xf>
    <xf numFmtId="0" fontId="10" fillId="2" borderId="37"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35" xfId="0" applyFont="1" applyFill="1" applyBorder="1" applyAlignment="1" applyProtection="1">
      <alignment vertical="center"/>
      <protection locked="0"/>
    </xf>
    <xf numFmtId="0" fontId="26" fillId="2" borderId="48" xfId="2" applyFont="1" applyFill="1" applyBorder="1" applyAlignment="1" applyProtection="1">
      <alignment vertical="center" shrinkToFit="1"/>
      <protection locked="0"/>
    </xf>
    <xf numFmtId="0" fontId="26" fillId="2" borderId="49" xfId="2" applyFont="1" applyFill="1" applyBorder="1" applyAlignment="1" applyProtection="1">
      <alignment vertical="center" shrinkToFit="1"/>
      <protection locked="0"/>
    </xf>
    <xf numFmtId="197" fontId="0" fillId="2" borderId="67" xfId="1" applyNumberFormat="1" applyFont="1" applyFill="1" applyBorder="1" applyAlignment="1" applyProtection="1">
      <alignment horizontal="right" vertical="center"/>
      <protection locked="0"/>
    </xf>
    <xf numFmtId="197" fontId="0" fillId="2" borderId="2" xfId="1" applyNumberFormat="1" applyFont="1" applyFill="1" applyBorder="1" applyAlignment="1" applyProtection="1">
      <alignment horizontal="right" vertical="center"/>
      <protection locked="0"/>
    </xf>
    <xf numFmtId="0" fontId="32" fillId="0" borderId="4" xfId="0" applyFont="1" applyFill="1" applyBorder="1" applyAlignment="1" applyProtection="1">
      <alignment vertical="center"/>
    </xf>
    <xf numFmtId="0" fontId="9" fillId="0" borderId="4" xfId="0" applyFont="1" applyFill="1" applyBorder="1" applyAlignment="1" applyProtection="1">
      <alignment vertical="center" wrapText="1" shrinkToFit="1"/>
    </xf>
    <xf numFmtId="0" fontId="32" fillId="0" borderId="0" xfId="0" applyFont="1" applyFill="1" applyBorder="1" applyAlignment="1" applyProtection="1">
      <alignment vertical="center"/>
    </xf>
    <xf numFmtId="0" fontId="9" fillId="0" borderId="0" xfId="0" applyFont="1" applyFill="1" applyBorder="1" applyAlignment="1" applyProtection="1">
      <alignment vertical="center" wrapText="1" shrinkToFit="1"/>
    </xf>
    <xf numFmtId="187" fontId="9" fillId="0" borderId="0" xfId="0" applyNumberFormat="1" applyFont="1" applyFill="1" applyBorder="1" applyAlignment="1" applyProtection="1">
      <alignment vertical="center" wrapText="1" shrinkToFit="1"/>
    </xf>
    <xf numFmtId="0" fontId="40" fillId="0" borderId="70" xfId="0" applyFont="1" applyFill="1" applyBorder="1" applyAlignment="1" applyProtection="1">
      <alignment horizontal="center" vertical="center" wrapText="1" shrinkToFit="1"/>
    </xf>
    <xf numFmtId="187" fontId="10" fillId="0" borderId="70" xfId="0" applyNumberFormat="1" applyFont="1" applyFill="1" applyBorder="1" applyAlignment="1" applyProtection="1">
      <alignment horizontal="right" vertical="center" wrapText="1"/>
    </xf>
    <xf numFmtId="187" fontId="10" fillId="0" borderId="139" xfId="0" applyNumberFormat="1" applyFont="1" applyFill="1" applyBorder="1" applyAlignment="1" applyProtection="1">
      <alignment horizontal="right" vertical="center" wrapText="1"/>
    </xf>
    <xf numFmtId="0" fontId="39" fillId="0" borderId="70" xfId="0" applyFont="1" applyFill="1" applyBorder="1" applyAlignment="1" applyProtection="1">
      <alignment horizontal="center" vertical="center" wrapText="1" shrinkToFit="1"/>
    </xf>
    <xf numFmtId="195" fontId="9" fillId="0" borderId="0" xfId="0" applyNumberFormat="1" applyFont="1" applyFill="1" applyBorder="1" applyAlignment="1" applyProtection="1">
      <alignment vertical="center" wrapText="1" shrinkToFit="1"/>
    </xf>
    <xf numFmtId="195" fontId="39" fillId="0" borderId="2" xfId="0" applyNumberFormat="1" applyFont="1" applyFill="1" applyBorder="1" applyAlignment="1" applyProtection="1">
      <alignment horizontal="center" vertical="center" wrapText="1" shrinkToFit="1"/>
    </xf>
    <xf numFmtId="196" fontId="10" fillId="0" borderId="2" xfId="0" applyNumberFormat="1" applyFont="1" applyFill="1" applyBorder="1" applyAlignment="1" applyProtection="1">
      <alignment horizontal="right" vertical="center" wrapText="1"/>
    </xf>
    <xf numFmtId="195" fontId="10" fillId="0" borderId="2" xfId="0" applyNumberFormat="1" applyFont="1" applyFill="1" applyBorder="1" applyAlignment="1" applyProtection="1">
      <alignment horizontal="right" vertical="center" wrapText="1"/>
    </xf>
    <xf numFmtId="187"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0" fontId="4" fillId="0" borderId="43" xfId="0" applyFont="1" applyFill="1" applyBorder="1" applyAlignment="1" applyProtection="1">
      <alignment vertical="center"/>
    </xf>
    <xf numFmtId="0" fontId="54" fillId="0" borderId="4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187" fontId="4" fillId="0" borderId="0" xfId="0" applyNumberFormat="1" applyFont="1" applyFill="1" applyBorder="1" applyAlignment="1" applyProtection="1">
      <alignment horizontal="center" vertical="center"/>
    </xf>
    <xf numFmtId="187" fontId="50" fillId="0" borderId="0" xfId="0" applyNumberFormat="1"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0" fillId="2" borderId="38" xfId="0" applyFill="1" applyBorder="1" applyProtection="1">
      <alignment vertical="center"/>
      <protection locked="0"/>
    </xf>
    <xf numFmtId="0" fontId="0" fillId="2" borderId="23" xfId="0" applyFill="1" applyBorder="1" applyProtection="1">
      <alignment vertical="center"/>
      <protection locked="0"/>
    </xf>
    <xf numFmtId="0" fontId="0" fillId="2" borderId="45" xfId="0" applyFill="1" applyBorder="1" applyProtection="1">
      <alignment vertical="center"/>
      <protection locked="0"/>
    </xf>
    <xf numFmtId="0" fontId="0" fillId="2" borderId="1" xfId="0" applyFill="1" applyBorder="1" applyProtection="1">
      <alignment vertical="center"/>
      <protection locked="0"/>
    </xf>
    <xf numFmtId="0" fontId="22" fillId="2" borderId="11" xfId="0" applyFont="1" applyFill="1" applyBorder="1" applyAlignment="1" applyProtection="1">
      <alignment vertical="center" shrinkToFit="1"/>
      <protection locked="0"/>
    </xf>
    <xf numFmtId="0" fontId="22" fillId="2" borderId="14" xfId="0" applyFont="1" applyFill="1" applyBorder="1" applyAlignment="1" applyProtection="1">
      <alignment vertical="center" shrinkToFit="1"/>
      <protection locked="0"/>
    </xf>
    <xf numFmtId="0" fontId="22" fillId="2" borderId="20" xfId="0" applyFont="1" applyFill="1" applyBorder="1" applyAlignment="1" applyProtection="1">
      <alignment vertical="center" shrinkToFit="1"/>
      <protection locked="0"/>
    </xf>
    <xf numFmtId="0" fontId="22" fillId="2" borderId="21" xfId="0" applyFont="1" applyFill="1" applyBorder="1" applyAlignment="1" applyProtection="1">
      <alignment vertical="center" shrinkToFit="1"/>
      <protection locked="0"/>
    </xf>
    <xf numFmtId="0" fontId="22" fillId="2" borderId="22" xfId="0" applyFont="1" applyFill="1" applyBorder="1" applyAlignment="1" applyProtection="1">
      <alignment vertical="center" shrinkToFit="1"/>
      <protection locked="0"/>
    </xf>
    <xf numFmtId="0" fontId="47" fillId="0" borderId="43" xfId="0" applyFont="1" applyBorder="1" applyAlignment="1">
      <alignment vertical="center" shrinkToFit="1"/>
    </xf>
    <xf numFmtId="0" fontId="47" fillId="0" borderId="1" xfId="0" applyFont="1" applyBorder="1" applyAlignment="1">
      <alignment vertical="center" shrinkToFit="1"/>
    </xf>
    <xf numFmtId="0" fontId="47" fillId="0" borderId="24" xfId="0" applyFont="1" applyBorder="1" applyAlignment="1">
      <alignment vertical="center" shrinkToFit="1"/>
    </xf>
    <xf numFmtId="0" fontId="47" fillId="0" borderId="23" xfId="0" applyFont="1" applyBorder="1" applyAlignment="1">
      <alignment vertical="center" shrinkToFit="1"/>
    </xf>
    <xf numFmtId="177" fontId="0" fillId="2" borderId="47" xfId="0" applyNumberFormat="1" applyFill="1" applyBorder="1" applyProtection="1">
      <alignment vertical="center"/>
      <protection locked="0"/>
    </xf>
    <xf numFmtId="0" fontId="0" fillId="0" borderId="120" xfId="0" applyFill="1" applyBorder="1">
      <alignment vertical="center"/>
    </xf>
    <xf numFmtId="0" fontId="0" fillId="0" borderId="15" xfId="0" applyFill="1" applyBorder="1">
      <alignment vertical="center"/>
    </xf>
    <xf numFmtId="0" fontId="56" fillId="2" borderId="68" xfId="0" applyFont="1" applyFill="1" applyBorder="1" applyAlignment="1" applyProtection="1">
      <alignment horizontal="center" vertical="center" shrinkToFit="1"/>
      <protection locked="0"/>
    </xf>
    <xf numFmtId="191" fontId="56" fillId="2" borderId="42" xfId="0" applyNumberFormat="1" applyFont="1" applyFill="1" applyBorder="1" applyProtection="1">
      <alignment vertical="center"/>
      <protection locked="0"/>
    </xf>
    <xf numFmtId="191" fontId="56" fillId="2" borderId="45" xfId="0" applyNumberFormat="1" applyFont="1" applyFill="1" applyBorder="1" applyProtection="1">
      <alignment vertical="center"/>
      <protection locked="0"/>
    </xf>
    <xf numFmtId="194" fontId="56" fillId="2" borderId="68" xfId="1" applyNumberFormat="1" applyFont="1" applyFill="1" applyBorder="1" applyProtection="1">
      <alignment vertical="center"/>
      <protection locked="0"/>
    </xf>
    <xf numFmtId="192" fontId="56" fillId="2" borderId="42" xfId="1" applyNumberFormat="1" applyFont="1" applyFill="1" applyBorder="1" applyProtection="1">
      <alignment vertical="center"/>
      <protection locked="0"/>
    </xf>
    <xf numFmtId="192" fontId="56" fillId="2" borderId="43" xfId="1" applyNumberFormat="1" applyFont="1" applyFill="1" applyBorder="1" applyProtection="1">
      <alignment vertical="center"/>
      <protection locked="0"/>
    </xf>
    <xf numFmtId="192" fontId="56" fillId="2" borderId="45" xfId="1" applyNumberFormat="1" applyFont="1" applyFill="1" applyBorder="1" applyProtection="1">
      <alignment vertical="center"/>
      <protection locked="0"/>
    </xf>
    <xf numFmtId="192" fontId="56" fillId="2" borderId="1" xfId="1" applyNumberFormat="1" applyFont="1" applyFill="1" applyBorder="1" applyProtection="1">
      <alignment vertical="center"/>
      <protection locked="0"/>
    </xf>
    <xf numFmtId="192" fontId="56" fillId="2" borderId="2" xfId="0" applyNumberFormat="1" applyFont="1" applyFill="1" applyBorder="1" applyProtection="1">
      <alignment vertical="center"/>
      <protection locked="0"/>
    </xf>
    <xf numFmtId="0" fontId="56" fillId="2" borderId="68" xfId="0" applyFont="1" applyFill="1" applyBorder="1" applyAlignment="1" applyProtection="1">
      <alignment vertical="center" wrapText="1"/>
      <protection locked="0"/>
    </xf>
    <xf numFmtId="0" fontId="56" fillId="2" borderId="136" xfId="0" applyFont="1" applyFill="1" applyBorder="1" applyAlignment="1" applyProtection="1">
      <alignment vertical="center" wrapText="1"/>
      <protection locked="0"/>
    </xf>
    <xf numFmtId="0" fontId="56" fillId="2" borderId="68" xfId="0" applyFont="1" applyFill="1" applyBorder="1" applyAlignment="1" applyProtection="1">
      <alignment horizontal="center" vertical="center"/>
      <protection locked="0"/>
    </xf>
    <xf numFmtId="0" fontId="56" fillId="2" borderId="136" xfId="0" applyFont="1" applyFill="1" applyBorder="1" applyAlignment="1" applyProtection="1">
      <alignment horizontal="center" vertical="center"/>
      <protection locked="0"/>
    </xf>
    <xf numFmtId="191" fontId="56" fillId="2" borderId="37" xfId="0" applyNumberFormat="1" applyFont="1" applyFill="1" applyBorder="1" applyProtection="1">
      <alignment vertical="center"/>
      <protection locked="0"/>
    </xf>
    <xf numFmtId="0" fontId="26" fillId="0" borderId="0" xfId="2" applyFont="1" applyAlignment="1" applyProtection="1">
      <alignment vertical="center"/>
    </xf>
    <xf numFmtId="0" fontId="26" fillId="0" borderId="34" xfId="2" applyFont="1" applyFill="1" applyBorder="1" applyAlignment="1" applyProtection="1">
      <alignment vertical="center"/>
    </xf>
    <xf numFmtId="0" fontId="26" fillId="0" borderId="111" xfId="2" applyFont="1" applyFill="1" applyBorder="1" applyAlignment="1" applyProtection="1">
      <alignment vertical="center" shrinkToFit="1"/>
    </xf>
    <xf numFmtId="0" fontId="26" fillId="0" borderId="114" xfId="2" applyFont="1" applyFill="1" applyBorder="1" applyAlignment="1" applyProtection="1">
      <alignment vertical="center"/>
    </xf>
    <xf numFmtId="0" fontId="26" fillId="0" borderId="48" xfId="2" applyFont="1" applyFill="1" applyBorder="1" applyAlignment="1" applyProtection="1">
      <alignment vertical="center" shrinkToFit="1"/>
    </xf>
    <xf numFmtId="0" fontId="26" fillId="0" borderId="49" xfId="2" applyFont="1" applyFill="1" applyBorder="1" applyAlignment="1" applyProtection="1">
      <alignment vertical="center" shrinkToFit="1"/>
    </xf>
    <xf numFmtId="0" fontId="26" fillId="0" borderId="34" xfId="2" applyFont="1" applyFill="1" applyBorder="1" applyAlignment="1" applyProtection="1">
      <alignment vertical="center" shrinkToFit="1"/>
    </xf>
    <xf numFmtId="0" fontId="26" fillId="0" borderId="88" xfId="2" applyFont="1" applyFill="1" applyBorder="1" applyAlignment="1" applyProtection="1">
      <alignment vertical="center" shrinkToFit="1"/>
    </xf>
    <xf numFmtId="0" fontId="26" fillId="0" borderId="36" xfId="2" applyFont="1" applyFill="1" applyBorder="1" applyAlignment="1" applyProtection="1">
      <alignment vertical="center" shrinkToFit="1"/>
    </xf>
    <xf numFmtId="0" fontId="26" fillId="0" borderId="36" xfId="2" applyFont="1" applyFill="1" applyBorder="1" applyAlignment="1" applyProtection="1">
      <alignment vertical="center"/>
    </xf>
    <xf numFmtId="0" fontId="26" fillId="0" borderId="31" xfId="2" applyFont="1" applyFill="1" applyBorder="1" applyAlignment="1" applyProtection="1">
      <alignment vertical="center"/>
    </xf>
    <xf numFmtId="0" fontId="26" fillId="0" borderId="32" xfId="2" applyFont="1" applyFill="1" applyBorder="1" applyAlignment="1" applyProtection="1">
      <alignment vertical="center" shrinkToFit="1"/>
    </xf>
    <xf numFmtId="0" fontId="52" fillId="0" borderId="0" xfId="2" applyFont="1" applyFill="1" applyAlignment="1" applyProtection="1">
      <alignment vertical="center"/>
    </xf>
    <xf numFmtId="0" fontId="64" fillId="0" borderId="39" xfId="0" applyFont="1" applyBorder="1" applyAlignment="1" applyProtection="1">
      <alignment vertical="center" shrinkToFit="1"/>
    </xf>
    <xf numFmtId="0" fontId="64" fillId="0" borderId="80" xfId="0" applyFont="1" applyBorder="1" applyAlignment="1" applyProtection="1">
      <alignment vertical="center" shrinkToFit="1"/>
    </xf>
    <xf numFmtId="0" fontId="65" fillId="0" borderId="46" xfId="0" applyFont="1" applyBorder="1" applyAlignment="1" applyProtection="1">
      <alignment vertical="center" shrinkToFit="1"/>
    </xf>
    <xf numFmtId="0" fontId="64" fillId="0" borderId="41" xfId="0" applyFont="1" applyBorder="1" applyAlignment="1" applyProtection="1">
      <alignment vertical="center" shrinkToFit="1"/>
    </xf>
    <xf numFmtId="0" fontId="65" fillId="0" borderId="2" xfId="0" applyFont="1" applyBorder="1" applyAlignment="1" applyProtection="1">
      <alignment vertical="center" shrinkToFit="1"/>
    </xf>
    <xf numFmtId="198" fontId="31" fillId="0" borderId="39" xfId="0" applyNumberFormat="1" applyFont="1" applyFill="1" applyBorder="1" applyAlignment="1" applyProtection="1">
      <alignment vertical="center"/>
    </xf>
    <xf numFmtId="2" fontId="31" fillId="0" borderId="41" xfId="0" applyNumberFormat="1" applyFont="1" applyFill="1" applyBorder="1" applyProtection="1">
      <alignment vertical="center"/>
    </xf>
    <xf numFmtId="0" fontId="4" fillId="0" borderId="27" xfId="0" applyNumberFormat="1" applyFont="1" applyFill="1" applyBorder="1" applyProtection="1">
      <alignment vertical="center"/>
    </xf>
    <xf numFmtId="185" fontId="3" fillId="0" borderId="2" xfId="0" applyNumberFormat="1" applyFont="1" applyFill="1" applyBorder="1" applyProtection="1">
      <alignment vertical="center"/>
    </xf>
    <xf numFmtId="38" fontId="3" fillId="0" borderId="39" xfId="1" applyFont="1" applyFill="1" applyBorder="1" applyProtection="1">
      <alignment vertical="center"/>
    </xf>
    <xf numFmtId="38" fontId="3" fillId="0" borderId="46" xfId="1" applyFont="1" applyFill="1" applyBorder="1" applyProtection="1">
      <alignment vertical="center"/>
    </xf>
    <xf numFmtId="0" fontId="66" fillId="0" borderId="0" xfId="0" applyFont="1">
      <alignment vertical="center"/>
    </xf>
    <xf numFmtId="0" fontId="0" fillId="0" borderId="38" xfId="0" applyFill="1" applyBorder="1" applyAlignment="1" applyProtection="1">
      <alignment vertical="center" shrinkToFit="1"/>
    </xf>
    <xf numFmtId="0" fontId="0" fillId="0" borderId="42" xfId="0" applyFill="1" applyBorder="1" applyAlignment="1" applyProtection="1">
      <alignment vertical="center" shrinkToFit="1"/>
    </xf>
    <xf numFmtId="0" fontId="0" fillId="0" borderId="86" xfId="0" applyFill="1" applyBorder="1" applyAlignment="1" applyProtection="1">
      <alignment vertical="center" shrinkToFit="1"/>
    </xf>
    <xf numFmtId="0" fontId="0" fillId="0" borderId="40" xfId="0" applyFill="1" applyBorder="1" applyAlignment="1" applyProtection="1">
      <alignment vertical="center" shrinkToFit="1"/>
    </xf>
    <xf numFmtId="0" fontId="70" fillId="0" borderId="0" xfId="0" applyFont="1" applyProtection="1">
      <alignment vertical="center"/>
    </xf>
    <xf numFmtId="0" fontId="0" fillId="0" borderId="45" xfId="0" applyFill="1" applyBorder="1" applyProtection="1">
      <alignment vertical="center"/>
    </xf>
    <xf numFmtId="0" fontId="0" fillId="0" borderId="36" xfId="0" applyBorder="1" applyProtection="1">
      <alignment vertical="center"/>
    </xf>
    <xf numFmtId="0" fontId="0" fillId="0" borderId="42" xfId="0" applyFill="1" applyBorder="1" applyProtection="1">
      <alignment vertical="center"/>
    </xf>
    <xf numFmtId="0" fontId="36" fillId="2" borderId="43" xfId="0" applyFont="1" applyFill="1" applyBorder="1" applyAlignment="1" applyProtection="1">
      <alignment vertical="center" shrinkToFit="1"/>
      <protection locked="0"/>
    </xf>
    <xf numFmtId="185" fontId="0" fillId="2" borderId="43" xfId="0" applyNumberFormat="1" applyFill="1" applyBorder="1" applyProtection="1">
      <alignment vertical="center"/>
      <protection locked="0"/>
    </xf>
    <xf numFmtId="38" fontId="2" fillId="0" borderId="41" xfId="1" applyFont="1" applyFill="1" applyBorder="1" applyProtection="1">
      <alignment vertical="center"/>
    </xf>
    <xf numFmtId="186" fontId="0" fillId="0" borderId="2" xfId="0" applyNumberFormat="1" applyFont="1" applyFill="1" applyBorder="1" applyProtection="1">
      <alignment vertical="center"/>
    </xf>
    <xf numFmtId="0" fontId="10" fillId="2" borderId="21" xfId="23" applyFont="1" applyFill="1" applyBorder="1" applyAlignment="1" applyProtection="1">
      <alignment horizontal="center" vertical="center" shrinkToFit="1"/>
      <protection locked="0"/>
    </xf>
    <xf numFmtId="0" fontId="10" fillId="2" borderId="15" xfId="23" applyFont="1" applyFill="1" applyBorder="1" applyAlignment="1" applyProtection="1">
      <alignment horizontal="center" vertical="center" shrinkToFit="1"/>
      <protection locked="0"/>
    </xf>
    <xf numFmtId="0" fontId="10" fillId="2" borderId="47" xfId="23" applyFont="1" applyFill="1" applyBorder="1" applyAlignment="1" applyProtection="1">
      <alignment horizontal="center" vertical="center" shrinkToFit="1"/>
      <protection locked="0"/>
    </xf>
    <xf numFmtId="38" fontId="56" fillId="0" borderId="4" xfId="1" applyFont="1" applyFill="1" applyBorder="1" applyAlignment="1" applyProtection="1">
      <alignment horizontal="center" vertical="center"/>
      <protection locked="0"/>
    </xf>
    <xf numFmtId="38" fontId="56" fillId="0" borderId="4" xfId="1" applyFont="1" applyFill="1" applyBorder="1" applyAlignment="1">
      <alignment horizontal="center" vertical="center"/>
    </xf>
    <xf numFmtId="38" fontId="56" fillId="0" borderId="5" xfId="1" applyFont="1" applyFill="1" applyBorder="1" applyAlignment="1">
      <alignment horizontal="center" vertical="center"/>
    </xf>
    <xf numFmtId="177" fontId="3" fillId="0" borderId="1" xfId="23" applyNumberFormat="1" applyFont="1" applyFill="1" applyBorder="1" applyAlignment="1" applyProtection="1">
      <alignment vertical="center"/>
      <protection locked="0"/>
    </xf>
    <xf numFmtId="177" fontId="3" fillId="0" borderId="47" xfId="23" applyNumberFormat="1" applyFont="1" applyFill="1" applyBorder="1" applyAlignment="1" applyProtection="1">
      <alignment vertical="center"/>
      <protection locked="0"/>
    </xf>
    <xf numFmtId="0" fontId="22" fillId="0" borderId="118" xfId="0" applyFont="1" applyFill="1" applyBorder="1" applyAlignment="1" applyProtection="1">
      <alignment vertical="center" shrinkToFit="1"/>
    </xf>
    <xf numFmtId="0" fontId="10" fillId="2" borderId="21" xfId="23" applyFont="1" applyFill="1" applyBorder="1" applyAlignment="1" applyProtection="1">
      <alignment horizontal="center" vertical="center" shrinkToFit="1"/>
      <protection locked="0"/>
    </xf>
    <xf numFmtId="0" fontId="10" fillId="2" borderId="0" xfId="0" applyFont="1" applyFill="1" applyBorder="1" applyAlignment="1" applyProtection="1">
      <alignment vertical="center"/>
      <protection locked="0"/>
    </xf>
    <xf numFmtId="0" fontId="10" fillId="2" borderId="35" xfId="0" applyFont="1" applyFill="1" applyBorder="1" applyAlignment="1" applyProtection="1">
      <alignment vertical="center"/>
      <protection locked="0"/>
    </xf>
    <xf numFmtId="38" fontId="0" fillId="0" borderId="0" xfId="1" applyFont="1" applyFill="1">
      <alignment vertical="center"/>
    </xf>
    <xf numFmtId="38" fontId="56" fillId="0" borderId="0" xfId="1" applyFont="1" applyBorder="1" applyAlignment="1">
      <alignment horizontal="center" vertical="center" shrinkToFit="1"/>
    </xf>
    <xf numFmtId="0" fontId="4"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10" fillId="2" borderId="1" xfId="0" applyFont="1" applyFill="1" applyBorder="1" applyAlignment="1" applyProtection="1">
      <alignment horizontal="left" vertical="center" wrapText="1" shrinkToFit="1"/>
      <protection locked="0"/>
    </xf>
    <xf numFmtId="0" fontId="10" fillId="2" borderId="70" xfId="0" applyFont="1" applyFill="1" applyBorder="1" applyAlignment="1" applyProtection="1">
      <alignment horizontal="left" vertical="center" wrapText="1" shrinkToFit="1"/>
      <protection locked="0"/>
    </xf>
    <xf numFmtId="0" fontId="10" fillId="2" borderId="138"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left" vertical="center" wrapText="1" shrinkToFit="1"/>
      <protection locked="0"/>
    </xf>
    <xf numFmtId="0" fontId="10" fillId="2" borderId="95" xfId="0" applyFont="1" applyFill="1" applyBorder="1" applyAlignment="1" applyProtection="1">
      <alignment horizontal="left" vertical="center" wrapText="1"/>
      <protection locked="0"/>
    </xf>
    <xf numFmtId="187" fontId="10" fillId="2" borderId="70" xfId="0" applyNumberFormat="1" applyFont="1" applyFill="1" applyBorder="1" applyAlignment="1" applyProtection="1">
      <alignment horizontal="right" vertical="center" wrapText="1"/>
      <protection locked="0"/>
    </xf>
    <xf numFmtId="187" fontId="10" fillId="2" borderId="71" xfId="0" applyNumberFormat="1" applyFont="1" applyFill="1" applyBorder="1" applyAlignment="1" applyProtection="1">
      <alignment horizontal="right" vertical="center" wrapText="1"/>
      <protection locked="0"/>
    </xf>
    <xf numFmtId="0" fontId="7" fillId="0" borderId="55"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10" fillId="2" borderId="144" xfId="0" applyFont="1" applyFill="1" applyBorder="1" applyAlignment="1" applyProtection="1">
      <alignment horizontal="left" vertical="center" wrapText="1"/>
      <protection locked="0"/>
    </xf>
    <xf numFmtId="0" fontId="10" fillId="2" borderId="148" xfId="0" applyFont="1" applyFill="1" applyBorder="1" applyAlignment="1" applyProtection="1">
      <alignment horizontal="left" vertical="center" wrapText="1" shrinkToFit="1"/>
      <protection locked="0"/>
    </xf>
    <xf numFmtId="187" fontId="10" fillId="2" borderId="98" xfId="0" applyNumberFormat="1" applyFont="1" applyFill="1" applyBorder="1" applyAlignment="1" applyProtection="1">
      <alignment vertical="center" wrapText="1"/>
      <protection locked="0"/>
    </xf>
    <xf numFmtId="0" fontId="10" fillId="2" borderId="149" xfId="0" applyFont="1" applyFill="1" applyBorder="1" applyAlignment="1" applyProtection="1">
      <alignment horizontal="left" vertical="center" wrapText="1"/>
      <protection locked="0"/>
    </xf>
    <xf numFmtId="187" fontId="10" fillId="2" borderId="95" xfId="0" applyNumberFormat="1" applyFont="1" applyFill="1" applyBorder="1" applyAlignment="1" applyProtection="1">
      <alignment vertical="center" wrapText="1"/>
      <protection locked="0"/>
    </xf>
    <xf numFmtId="0" fontId="10" fillId="2" borderId="137" xfId="0" applyFont="1" applyFill="1" applyBorder="1" applyAlignment="1" applyProtection="1">
      <alignment horizontal="center" vertical="center" wrapText="1"/>
      <protection locked="0"/>
    </xf>
    <xf numFmtId="0" fontId="10" fillId="2" borderId="117" xfId="0" applyFont="1" applyFill="1" applyBorder="1" applyAlignment="1" applyProtection="1">
      <alignment horizontal="center" vertical="center" wrapText="1"/>
      <protection locked="0"/>
    </xf>
    <xf numFmtId="0" fontId="10" fillId="2" borderId="98" xfId="0" applyFont="1" applyFill="1" applyBorder="1" applyAlignment="1" applyProtection="1">
      <alignment horizontal="left" vertical="center" wrapText="1"/>
      <protection locked="0"/>
    </xf>
    <xf numFmtId="0" fontId="10" fillId="2" borderId="97" xfId="0" applyFont="1" applyFill="1" applyBorder="1" applyAlignment="1" applyProtection="1">
      <alignment horizontal="left" vertical="center" wrapText="1"/>
      <protection locked="0"/>
    </xf>
    <xf numFmtId="0" fontId="10" fillId="2" borderId="101" xfId="0" applyFont="1" applyFill="1" applyBorder="1" applyAlignment="1" applyProtection="1">
      <alignment horizontal="left" vertical="center" wrapText="1"/>
      <protection locked="0"/>
    </xf>
    <xf numFmtId="187" fontId="10" fillId="2" borderId="99" xfId="0" applyNumberFormat="1" applyFont="1" applyFill="1" applyBorder="1" applyAlignment="1" applyProtection="1">
      <alignment vertical="center" wrapText="1"/>
      <protection locked="0"/>
    </xf>
    <xf numFmtId="0" fontId="10" fillId="2" borderId="150" xfId="0" applyFont="1" applyFill="1" applyBorder="1" applyAlignment="1" applyProtection="1">
      <alignment horizontal="left" vertical="center" wrapText="1"/>
      <protection locked="0"/>
    </xf>
    <xf numFmtId="0" fontId="10" fillId="2" borderId="59" xfId="0" applyFont="1" applyFill="1" applyBorder="1" applyAlignment="1" applyProtection="1">
      <alignment horizontal="left" vertical="center" wrapText="1"/>
      <protection locked="0"/>
    </xf>
    <xf numFmtId="0" fontId="10" fillId="2" borderId="37" xfId="0" applyFont="1" applyFill="1" applyBorder="1" applyAlignment="1" applyProtection="1">
      <alignment horizontal="left" vertical="center" wrapText="1"/>
      <protection locked="0"/>
    </xf>
    <xf numFmtId="0" fontId="10" fillId="2" borderId="138"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10" fillId="2" borderId="15" xfId="0" applyFont="1" applyFill="1" applyBorder="1" applyAlignment="1" applyProtection="1">
      <alignment horizontal="left" vertical="center" wrapText="1" shrinkToFit="1"/>
      <protection locked="0"/>
    </xf>
    <xf numFmtId="0" fontId="0" fillId="2" borderId="40" xfId="0" applyFill="1" applyBorder="1" applyProtection="1">
      <alignment vertical="center"/>
      <protection locked="0"/>
    </xf>
    <xf numFmtId="0" fontId="0" fillId="2" borderId="24" xfId="0" applyFill="1" applyBorder="1" applyProtection="1">
      <alignment vertical="center"/>
      <protection locked="0"/>
    </xf>
    <xf numFmtId="0" fontId="74" fillId="0" borderId="0" xfId="0" applyFont="1" applyFill="1" applyAlignment="1" applyProtection="1">
      <alignment vertical="center" shrinkToFit="1"/>
    </xf>
    <xf numFmtId="0" fontId="74" fillId="0" borderId="0" xfId="0" applyFont="1" applyAlignment="1" applyProtection="1">
      <alignment vertical="center" shrinkToFit="1"/>
    </xf>
    <xf numFmtId="0" fontId="13" fillId="0" borderId="33" xfId="15" applyFont="1" applyFill="1" applyBorder="1" applyAlignment="1">
      <alignment vertical="center" shrinkToFit="1"/>
    </xf>
    <xf numFmtId="0" fontId="13" fillId="0" borderId="34" xfId="15" applyFont="1" applyFill="1" applyBorder="1" applyAlignment="1">
      <alignment vertical="center" shrinkToFit="1"/>
    </xf>
    <xf numFmtId="0" fontId="38" fillId="0" borderId="72" xfId="15" applyFont="1" applyFill="1" applyBorder="1" applyAlignment="1">
      <alignment vertical="center" shrinkToFit="1"/>
    </xf>
    <xf numFmtId="0" fontId="38" fillId="0" borderId="73" xfId="15" applyFont="1" applyFill="1" applyBorder="1" applyAlignment="1">
      <alignment vertical="center" shrinkToFit="1"/>
    </xf>
    <xf numFmtId="0" fontId="13" fillId="0" borderId="36" xfId="15" applyFont="1" applyFill="1" applyBorder="1" applyAlignment="1">
      <alignment vertical="center" shrinkToFit="1"/>
    </xf>
    <xf numFmtId="0" fontId="38" fillId="0" borderId="74" xfId="15" applyFont="1" applyFill="1" applyBorder="1" applyAlignment="1">
      <alignment vertical="center" shrinkToFit="1"/>
    </xf>
    <xf numFmtId="0" fontId="38" fillId="0" borderId="70" xfId="15" applyFont="1" applyFill="1" applyBorder="1" applyAlignment="1">
      <alignment vertical="center" shrinkToFit="1"/>
    </xf>
    <xf numFmtId="0" fontId="13" fillId="0" borderId="1" xfId="15" applyFont="1" applyFill="1" applyBorder="1" applyAlignment="1">
      <alignment horizontal="left" vertical="center" shrinkToFit="1"/>
    </xf>
    <xf numFmtId="0" fontId="38" fillId="0" borderId="1" xfId="15" applyFont="1" applyFill="1" applyBorder="1" applyAlignment="1">
      <alignment vertical="center" shrinkToFit="1"/>
    </xf>
    <xf numFmtId="0" fontId="38" fillId="0" borderId="1" xfId="15" applyFont="1" applyFill="1" applyBorder="1" applyAlignment="1">
      <alignment horizontal="left" vertical="center" shrinkToFit="1"/>
    </xf>
    <xf numFmtId="0" fontId="38" fillId="0" borderId="1" xfId="15" applyFont="1" applyFill="1" applyBorder="1" applyAlignment="1">
      <alignment vertical="center" wrapText="1" shrinkToFit="1"/>
    </xf>
    <xf numFmtId="0" fontId="38" fillId="0" borderId="1" xfId="15" applyFont="1" applyFill="1" applyBorder="1" applyAlignment="1">
      <alignment horizontal="left" vertical="center" wrapText="1"/>
    </xf>
    <xf numFmtId="0" fontId="36" fillId="0" borderId="1" xfId="15" applyFont="1" applyFill="1" applyBorder="1" applyAlignment="1">
      <alignment vertical="center" wrapText="1" shrinkToFit="1"/>
    </xf>
    <xf numFmtId="0" fontId="38" fillId="0" borderId="1" xfId="15" applyFont="1" applyFill="1" applyBorder="1" applyAlignment="1">
      <alignment horizontal="left" vertical="center" wrapText="1" shrinkToFit="1"/>
    </xf>
    <xf numFmtId="0" fontId="13" fillId="0" borderId="1" xfId="15" applyFont="1" applyFill="1" applyBorder="1" applyAlignment="1">
      <alignment vertical="center" shrinkToFit="1"/>
    </xf>
    <xf numFmtId="0" fontId="13" fillId="0" borderId="0" xfId="15" applyFont="1" applyFill="1" applyAlignment="1">
      <alignment vertical="center" shrinkToFit="1"/>
    </xf>
    <xf numFmtId="0" fontId="19" fillId="0" borderId="0" xfId="15" applyFont="1" applyFill="1" applyAlignment="1">
      <alignment vertical="center" shrinkToFit="1"/>
    </xf>
    <xf numFmtId="0" fontId="13" fillId="0" borderId="1" xfId="15" applyBorder="1" applyAlignment="1">
      <alignment horizontal="center" vertical="center" shrinkToFit="1"/>
    </xf>
    <xf numFmtId="0" fontId="13" fillId="0" borderId="1" xfId="15" applyFill="1" applyBorder="1" applyAlignment="1">
      <alignment horizontal="center" vertical="center" shrinkToFit="1"/>
    </xf>
    <xf numFmtId="0" fontId="13" fillId="0" borderId="1" xfId="15" applyFont="1" applyFill="1" applyBorder="1" applyAlignment="1">
      <alignment horizontal="center" vertical="center" shrinkToFit="1"/>
    </xf>
    <xf numFmtId="177" fontId="30" fillId="2" borderId="47" xfId="0" applyNumberFormat="1" applyFont="1" applyFill="1" applyBorder="1">
      <alignment vertical="center"/>
    </xf>
    <xf numFmtId="177" fontId="22" fillId="0" borderId="34" xfId="1" applyNumberFormat="1" applyFont="1" applyBorder="1" applyAlignment="1">
      <alignment vertical="center"/>
    </xf>
    <xf numFmtId="177" fontId="22" fillId="0" borderId="0" xfId="1" applyNumberFormat="1" applyFont="1" applyBorder="1" applyAlignment="1">
      <alignment vertical="center"/>
    </xf>
    <xf numFmtId="0" fontId="10" fillId="2" borderId="21" xfId="23" applyFont="1" applyFill="1" applyBorder="1" applyAlignment="1" applyProtection="1">
      <alignment horizontal="center" vertical="center" shrinkToFit="1"/>
      <protection locked="0"/>
    </xf>
    <xf numFmtId="0" fontId="10" fillId="2" borderId="21" xfId="23" applyFont="1" applyFill="1" applyBorder="1" applyAlignment="1" applyProtection="1">
      <alignment horizontal="center" vertical="center" shrinkToFit="1"/>
      <protection locked="0"/>
    </xf>
    <xf numFmtId="187" fontId="10" fillId="0" borderId="1" xfId="0" applyNumberFormat="1" applyFont="1" applyFill="1" applyBorder="1" applyAlignment="1" applyProtection="1">
      <alignment horizontal="right" vertical="center" wrapText="1"/>
    </xf>
    <xf numFmtId="0" fontId="27" fillId="0" borderId="0" xfId="0" applyFont="1" applyFill="1" applyAlignment="1" applyProtection="1">
      <alignment vertical="center" wrapText="1"/>
    </xf>
    <xf numFmtId="38" fontId="18" fillId="0" borderId="40" xfId="3" applyFont="1" applyFill="1" applyBorder="1" applyAlignment="1" applyProtection="1">
      <alignment horizontal="right" vertical="center" indent="1"/>
      <protection locked="0"/>
    </xf>
    <xf numFmtId="38" fontId="18" fillId="0" borderId="41" xfId="3" applyFont="1" applyFill="1" applyBorder="1" applyAlignment="1" applyProtection="1">
      <alignment horizontal="right" vertical="center" indent="1"/>
      <protection locked="0"/>
    </xf>
    <xf numFmtId="187" fontId="10" fillId="0" borderId="23" xfId="0" applyNumberFormat="1" applyFont="1" applyFill="1" applyBorder="1" applyAlignment="1" applyProtection="1">
      <alignment horizontal="right" vertical="center" wrapText="1"/>
    </xf>
    <xf numFmtId="179" fontId="63" fillId="0" borderId="68" xfId="2" applyNumberFormat="1" applyFont="1" applyBorder="1" applyAlignment="1" applyProtection="1">
      <alignment horizontal="center" vertical="center"/>
    </xf>
    <xf numFmtId="0" fontId="77" fillId="0" borderId="0" xfId="0" applyFont="1" applyAlignment="1">
      <alignment horizontal="left" vertical="center"/>
    </xf>
    <xf numFmtId="0" fontId="77" fillId="0" borderId="0" xfId="0" applyFont="1">
      <alignment vertical="center"/>
    </xf>
    <xf numFmtId="0" fontId="77" fillId="0" borderId="0" xfId="0" applyFont="1" applyBorder="1" applyAlignment="1">
      <alignment vertical="center"/>
    </xf>
    <xf numFmtId="0" fontId="77" fillId="0" borderId="0" xfId="0" applyFont="1" applyBorder="1" applyAlignment="1">
      <alignment horizontal="right" vertical="center"/>
    </xf>
    <xf numFmtId="0" fontId="77" fillId="0" borderId="0" xfId="0" applyFont="1" applyBorder="1" applyAlignment="1">
      <alignment horizontal="center" vertical="center"/>
    </xf>
    <xf numFmtId="0" fontId="77" fillId="0" borderId="28" xfId="0" applyFont="1" applyBorder="1" applyAlignment="1">
      <alignment horizontal="center" vertical="center"/>
    </xf>
    <xf numFmtId="0" fontId="77" fillId="0" borderId="85" xfId="0" applyFont="1" applyBorder="1" applyAlignment="1">
      <alignment horizontal="center" vertical="center"/>
    </xf>
    <xf numFmtId="0" fontId="77" fillId="0" borderId="42" xfId="0" applyFont="1" applyBorder="1" applyAlignment="1">
      <alignment horizontal="center" vertical="center"/>
    </xf>
    <xf numFmtId="0" fontId="77" fillId="2" borderId="44" xfId="0" applyFont="1" applyFill="1" applyBorder="1" applyAlignment="1">
      <alignment vertical="center" wrapText="1"/>
    </xf>
    <xf numFmtId="0" fontId="77" fillId="0" borderId="0" xfId="0" applyFont="1" applyFill="1" applyBorder="1">
      <alignment vertical="center"/>
    </xf>
    <xf numFmtId="0" fontId="77" fillId="0" borderId="45" xfId="0" applyFont="1" applyBorder="1" applyAlignment="1">
      <alignment horizontal="center" vertical="center"/>
    </xf>
    <xf numFmtId="0" fontId="77" fillId="2" borderId="46" xfId="0" applyFont="1" applyFill="1" applyBorder="1" applyAlignment="1">
      <alignment vertical="center" wrapText="1"/>
    </xf>
    <xf numFmtId="0" fontId="77" fillId="0" borderId="40" xfId="0" applyFont="1" applyBorder="1" applyAlignment="1">
      <alignment horizontal="center" vertical="center"/>
    </xf>
    <xf numFmtId="0" fontId="77" fillId="2" borderId="41" xfId="0" applyFont="1" applyFill="1" applyBorder="1" applyAlignment="1">
      <alignment vertical="center" wrapText="1"/>
    </xf>
    <xf numFmtId="0" fontId="78" fillId="0" borderId="0" xfId="0" applyFont="1" applyBorder="1" applyAlignment="1">
      <alignment horizontal="left" vertical="top" wrapText="1"/>
    </xf>
    <xf numFmtId="0" fontId="77" fillId="0" borderId="0" xfId="0" applyFont="1" applyFill="1" applyBorder="1" applyAlignment="1">
      <alignment vertical="center" wrapText="1"/>
    </xf>
    <xf numFmtId="0" fontId="28" fillId="0" borderId="24" xfId="0" applyFont="1" applyBorder="1" applyAlignment="1">
      <alignment horizontal="center" vertical="center" wrapText="1"/>
    </xf>
    <xf numFmtId="0" fontId="28" fillId="0" borderId="24" xfId="0" applyFont="1" applyBorder="1" applyAlignment="1">
      <alignment vertical="center" wrapText="1"/>
    </xf>
    <xf numFmtId="0" fontId="28" fillId="0" borderId="41" xfId="0" applyFont="1" applyBorder="1" applyAlignment="1">
      <alignment vertical="center" wrapText="1"/>
    </xf>
    <xf numFmtId="0" fontId="0" fillId="0" borderId="43" xfId="0" applyFill="1" applyBorder="1" applyAlignment="1">
      <alignment horizontal="center" vertical="center"/>
    </xf>
    <xf numFmtId="203" fontId="0" fillId="2" borderId="43" xfId="1" applyNumberFormat="1" applyFont="1" applyFill="1" applyBorder="1" applyAlignment="1">
      <alignment horizontal="right" vertical="center"/>
    </xf>
    <xf numFmtId="203" fontId="0" fillId="2" borderId="44" xfId="1" applyNumberFormat="1" applyFont="1" applyFill="1" applyBorder="1" applyAlignment="1">
      <alignment horizontal="right" vertical="center"/>
    </xf>
    <xf numFmtId="0" fontId="0" fillId="0" borderId="1" xfId="0" applyFill="1" applyBorder="1" applyAlignment="1">
      <alignment horizontal="center" vertical="center"/>
    </xf>
    <xf numFmtId="203" fontId="0" fillId="2" borderId="1" xfId="1" applyNumberFormat="1" applyFont="1" applyFill="1" applyBorder="1" applyAlignment="1">
      <alignment horizontal="right" vertical="center"/>
    </xf>
    <xf numFmtId="203" fontId="0" fillId="2" borderId="46" xfId="1" applyNumberFormat="1" applyFont="1" applyFill="1" applyBorder="1" applyAlignment="1">
      <alignment horizontal="right" vertical="center"/>
    </xf>
    <xf numFmtId="0" fontId="0" fillId="0" borderId="24" xfId="0" applyFill="1" applyBorder="1" applyAlignment="1">
      <alignment horizontal="center" vertical="center"/>
    </xf>
    <xf numFmtId="203" fontId="0" fillId="2" borderId="24" xfId="1" applyNumberFormat="1" applyFont="1" applyFill="1" applyBorder="1" applyAlignment="1">
      <alignment horizontal="right" vertical="center"/>
    </xf>
    <xf numFmtId="203" fontId="0" fillId="2" borderId="41" xfId="1" applyNumberFormat="1" applyFont="1" applyFill="1" applyBorder="1" applyAlignment="1">
      <alignment horizontal="right" vertical="center"/>
    </xf>
    <xf numFmtId="203" fontId="0" fillId="0" borderId="43" xfId="1" applyNumberFormat="1" applyFont="1" applyFill="1" applyBorder="1">
      <alignment vertical="center"/>
    </xf>
    <xf numFmtId="203" fontId="0" fillId="0" borderId="1" xfId="1" applyNumberFormat="1" applyFont="1" applyFill="1" applyBorder="1">
      <alignment vertical="center"/>
    </xf>
    <xf numFmtId="203" fontId="0" fillId="0" borderId="24" xfId="1" applyNumberFormat="1" applyFont="1" applyFill="1" applyBorder="1">
      <alignment vertical="center"/>
    </xf>
    <xf numFmtId="0" fontId="42" fillId="0" borderId="37" xfId="0" applyFont="1" applyBorder="1" applyProtection="1">
      <alignment vertical="center"/>
      <protection locked="0"/>
    </xf>
    <xf numFmtId="0" fontId="42" fillId="0" borderId="43" xfId="0" applyFont="1" applyBorder="1" applyProtection="1">
      <alignment vertical="center"/>
    </xf>
    <xf numFmtId="0" fontId="42" fillId="0" borderId="65" xfId="0" applyFont="1" applyBorder="1" applyProtection="1">
      <alignment vertical="center"/>
      <protection locked="0"/>
    </xf>
    <xf numFmtId="0" fontId="42" fillId="0" borderId="24" xfId="0" quotePrefix="1" applyFont="1" applyBorder="1" applyProtection="1">
      <alignment vertical="center"/>
    </xf>
    <xf numFmtId="0" fontId="42" fillId="0" borderId="85" xfId="0" applyFont="1" applyBorder="1" applyAlignment="1" applyProtection="1">
      <alignment horizontal="center" vertical="center"/>
      <protection locked="0"/>
    </xf>
    <xf numFmtId="0" fontId="42" fillId="0" borderId="84" xfId="0" applyFont="1" applyBorder="1" applyProtection="1">
      <alignment vertical="center"/>
      <protection locked="0"/>
    </xf>
    <xf numFmtId="0" fontId="42" fillId="0" borderId="90" xfId="0" applyFont="1" applyBorder="1" applyProtection="1">
      <alignment vertical="center"/>
    </xf>
    <xf numFmtId="0" fontId="42" fillId="0" borderId="64" xfId="0" applyFont="1" applyBorder="1" applyProtection="1">
      <alignment vertical="center"/>
      <protection locked="0"/>
    </xf>
    <xf numFmtId="0" fontId="42" fillId="0" borderId="47" xfId="0" applyFont="1" applyBorder="1" applyProtection="1">
      <alignment vertical="center"/>
      <protection locked="0"/>
    </xf>
    <xf numFmtId="0" fontId="68" fillId="0" borderId="47" xfId="0" applyFont="1" applyBorder="1" applyProtection="1">
      <alignment vertical="center"/>
      <protection locked="0"/>
    </xf>
    <xf numFmtId="0" fontId="42" fillId="0" borderId="40" xfId="0" applyFont="1" applyBorder="1" applyProtection="1">
      <alignment vertical="center"/>
      <protection locked="0"/>
    </xf>
    <xf numFmtId="0" fontId="42" fillId="0" borderId="140" xfId="0" applyFont="1" applyBorder="1" applyProtection="1">
      <alignment vertical="center"/>
      <protection locked="0"/>
    </xf>
    <xf numFmtId="0" fontId="42" fillId="0" borderId="23" xfId="0" applyFont="1" applyBorder="1" applyProtection="1">
      <alignment vertical="center"/>
    </xf>
    <xf numFmtId="0" fontId="42" fillId="0" borderId="1" xfId="0" applyFont="1" applyBorder="1" applyProtection="1">
      <alignment vertical="center"/>
    </xf>
    <xf numFmtId="0" fontId="42" fillId="0" borderId="33" xfId="0" applyFont="1" applyBorder="1" applyProtection="1">
      <alignment vertical="center"/>
      <protection locked="0"/>
    </xf>
    <xf numFmtId="0" fontId="42" fillId="0" borderId="70" xfId="0" applyFont="1" applyBorder="1" applyProtection="1">
      <alignment vertical="center"/>
    </xf>
    <xf numFmtId="0" fontId="42" fillId="0" borderId="0" xfId="0" applyFont="1" applyBorder="1" applyAlignment="1" applyProtection="1">
      <alignment horizontal="center" vertical="center"/>
      <protection locked="0"/>
    </xf>
    <xf numFmtId="0" fontId="42" fillId="0" borderId="42" xfId="0" applyFont="1" applyBorder="1" applyProtection="1">
      <alignment vertical="center"/>
      <protection locked="0"/>
    </xf>
    <xf numFmtId="0" fontId="42" fillId="0" borderId="44" xfId="0" applyFont="1" applyFill="1" applyBorder="1" applyProtection="1">
      <alignment vertical="center"/>
    </xf>
    <xf numFmtId="0" fontId="42" fillId="0" borderId="41" xfId="0" applyFont="1" applyFill="1" applyBorder="1" applyProtection="1">
      <alignment vertical="center"/>
    </xf>
    <xf numFmtId="0" fontId="43" fillId="0" borderId="2" xfId="0" applyFont="1" applyBorder="1" applyAlignment="1" applyProtection="1">
      <alignment horizontal="center" vertical="center"/>
      <protection locked="0"/>
    </xf>
    <xf numFmtId="0" fontId="42" fillId="0" borderId="2" xfId="0" applyFont="1" applyBorder="1" applyProtection="1">
      <alignment vertical="center"/>
      <protection locked="0"/>
    </xf>
    <xf numFmtId="0" fontId="42" fillId="0" borderId="2" xfId="0" applyFont="1" applyFill="1" applyBorder="1" applyProtection="1">
      <alignment vertical="center"/>
    </xf>
    <xf numFmtId="0" fontId="43" fillId="0" borderId="2" xfId="0" applyFont="1" applyBorder="1" applyProtection="1">
      <alignment vertical="center"/>
      <protection locked="0"/>
    </xf>
    <xf numFmtId="0" fontId="7" fillId="0" borderId="1"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2" borderId="31"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40" fillId="0" borderId="31" xfId="0" applyFont="1" applyBorder="1" applyAlignment="1" applyProtection="1">
      <alignment horizontal="left" vertical="top" wrapText="1"/>
    </xf>
    <xf numFmtId="0" fontId="40" fillId="0" borderId="32" xfId="0" applyFont="1" applyBorder="1" applyAlignment="1" applyProtection="1">
      <alignment horizontal="left" vertical="top"/>
    </xf>
    <xf numFmtId="0" fontId="40" fillId="0" borderId="33" xfId="0" applyFont="1" applyBorder="1" applyAlignment="1" applyProtection="1">
      <alignment horizontal="left" vertical="top"/>
    </xf>
    <xf numFmtId="0" fontId="40" fillId="0" borderId="34" xfId="0" applyFont="1" applyBorder="1" applyAlignment="1" applyProtection="1">
      <alignment horizontal="left" vertical="top"/>
    </xf>
    <xf numFmtId="0" fontId="40" fillId="0" borderId="0" xfId="0" applyFont="1" applyBorder="1" applyAlignment="1" applyProtection="1">
      <alignment horizontal="left" vertical="top"/>
    </xf>
    <xf numFmtId="0" fontId="40" fillId="0" borderId="35" xfId="0" applyFont="1" applyBorder="1" applyAlignment="1" applyProtection="1">
      <alignment horizontal="left" vertical="top"/>
    </xf>
    <xf numFmtId="0" fontId="40" fillId="0" borderId="36" xfId="0" applyFont="1" applyBorder="1" applyAlignment="1" applyProtection="1">
      <alignment horizontal="left" vertical="top"/>
    </xf>
    <xf numFmtId="0" fontId="40" fillId="0" borderId="30" xfId="0" applyFont="1" applyBorder="1" applyAlignment="1" applyProtection="1">
      <alignment horizontal="left" vertical="top"/>
    </xf>
    <xf numFmtId="0" fontId="40" fillId="0" borderId="37" xfId="0" applyFont="1" applyBorder="1" applyAlignment="1" applyProtection="1">
      <alignment horizontal="left" vertical="top"/>
    </xf>
    <xf numFmtId="0" fontId="8"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30" xfId="0" applyFont="1" applyFill="1" applyBorder="1" applyAlignment="1" applyProtection="1">
      <alignment horizontal="left" vertical="center" shrinkToFi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0" borderId="32" xfId="0" applyFont="1" applyFill="1" applyBorder="1" applyAlignment="1" applyProtection="1">
      <alignment horizontal="right" vertical="center"/>
    </xf>
    <xf numFmtId="0" fontId="7" fillId="4" borderId="21" xfId="0" applyFont="1" applyFill="1" applyBorder="1" applyAlignment="1" applyProtection="1">
      <alignment horizontal="center" vertical="center"/>
    </xf>
    <xf numFmtId="0" fontId="7" fillId="4" borderId="15" xfId="0" applyFont="1" applyFill="1" applyBorder="1" applyAlignment="1" applyProtection="1">
      <alignment horizontal="center" vertical="center"/>
    </xf>
    <xf numFmtId="0" fontId="7" fillId="4" borderId="47"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42" fillId="0" borderId="141" xfId="0" applyFont="1" applyBorder="1" applyAlignment="1" applyProtection="1">
      <alignment horizontal="center" vertical="center"/>
      <protection locked="0"/>
    </xf>
    <xf numFmtId="0" fontId="42" fillId="0" borderId="81" xfId="0" applyFont="1" applyBorder="1" applyAlignment="1" applyProtection="1">
      <alignment horizontal="center" vertical="center"/>
      <protection locked="0"/>
    </xf>
    <xf numFmtId="0" fontId="42" fillId="0" borderId="83" xfId="0" applyFont="1" applyBorder="1" applyAlignment="1" applyProtection="1">
      <alignment horizontal="center" vertical="center"/>
      <protection locked="0"/>
    </xf>
    <xf numFmtId="0" fontId="42" fillId="0" borderId="92" xfId="0" applyFont="1" applyBorder="1" applyAlignment="1" applyProtection="1">
      <alignment horizontal="center" vertical="center"/>
      <protection locked="0"/>
    </xf>
    <xf numFmtId="0" fontId="10" fillId="0" borderId="1" xfId="23" applyFont="1" applyFill="1" applyBorder="1" applyAlignment="1" applyProtection="1">
      <alignment horizontal="center" vertical="center" shrinkToFit="1"/>
    </xf>
    <xf numFmtId="0" fontId="10" fillId="0" borderId="21" xfId="23" applyFont="1" applyFill="1" applyBorder="1" applyAlignment="1" applyProtection="1">
      <alignment horizontal="center" vertical="center" shrinkToFit="1"/>
    </xf>
    <xf numFmtId="0" fontId="10" fillId="0" borderId="15" xfId="23" applyFont="1" applyFill="1" applyBorder="1" applyAlignment="1" applyProtection="1">
      <alignment horizontal="center" vertical="center" shrinkToFit="1"/>
    </xf>
    <xf numFmtId="0" fontId="10" fillId="0" borderId="47" xfId="23" applyFont="1" applyFill="1" applyBorder="1" applyAlignment="1" applyProtection="1">
      <alignment horizontal="center" vertical="center" shrinkToFit="1"/>
    </xf>
    <xf numFmtId="0" fontId="10" fillId="2" borderId="21" xfId="23" applyFont="1" applyFill="1" applyBorder="1" applyAlignment="1" applyProtection="1">
      <alignment horizontal="center" vertical="center" shrinkToFit="1"/>
      <protection locked="0"/>
    </xf>
    <xf numFmtId="0" fontId="10" fillId="2" borderId="15" xfId="23" applyFont="1" applyFill="1" applyBorder="1" applyAlignment="1" applyProtection="1">
      <alignment horizontal="center" vertical="center" shrinkToFit="1"/>
      <protection locked="0"/>
    </xf>
    <xf numFmtId="0" fontId="10" fillId="2" borderId="47" xfId="23" applyFont="1" applyFill="1" applyBorder="1" applyAlignment="1" applyProtection="1">
      <alignment horizontal="center" vertical="center" shrinkToFit="1"/>
      <protection locked="0"/>
    </xf>
    <xf numFmtId="0" fontId="9" fillId="0" borderId="0" xfId="23" applyFont="1" applyAlignment="1" applyProtection="1">
      <alignment horizontal="center" vertical="center"/>
    </xf>
    <xf numFmtId="0" fontId="3" fillId="0" borderId="30" xfId="23" applyFont="1" applyBorder="1" applyAlignment="1" applyProtection="1">
      <alignment horizontal="center" vertical="center"/>
    </xf>
    <xf numFmtId="0" fontId="3" fillId="0" borderId="30" xfId="23" applyFont="1" applyFill="1" applyBorder="1" applyAlignment="1" applyProtection="1">
      <alignment horizontal="center" vertical="center" shrinkToFit="1"/>
    </xf>
    <xf numFmtId="187" fontId="3" fillId="2" borderId="15" xfId="23" applyNumberFormat="1" applyFont="1" applyFill="1" applyBorder="1" applyAlignment="1" applyProtection="1">
      <alignment horizontal="right" vertical="center" shrinkToFit="1"/>
      <protection locked="0"/>
    </xf>
    <xf numFmtId="187" fontId="3" fillId="0" borderId="15" xfId="23" applyNumberFormat="1" applyFont="1" applyFill="1" applyBorder="1" applyAlignment="1" applyProtection="1">
      <alignment horizontal="left" vertical="center" shrinkToFit="1"/>
    </xf>
    <xf numFmtId="0" fontId="3" fillId="0" borderId="15" xfId="23" applyFont="1" applyBorder="1" applyAlignment="1" applyProtection="1">
      <alignment horizontal="center" vertical="center"/>
    </xf>
    <xf numFmtId="0" fontId="7" fillId="0" borderId="21" xfId="23" applyFont="1" applyFill="1" applyBorder="1" applyAlignment="1" applyProtection="1">
      <alignment horizontal="center" vertical="center" shrinkToFit="1"/>
    </xf>
    <xf numFmtId="0" fontId="7" fillId="0" borderId="15" xfId="23" applyFont="1" applyFill="1" applyBorder="1" applyAlignment="1" applyProtection="1">
      <alignment horizontal="center" vertical="center" shrinkToFit="1"/>
    </xf>
    <xf numFmtId="0" fontId="7" fillId="0" borderId="47" xfId="23" applyFont="1" applyFill="1" applyBorder="1" applyAlignment="1" applyProtection="1">
      <alignment horizontal="center" vertical="center" shrinkToFit="1"/>
    </xf>
    <xf numFmtId="38" fontId="0" fillId="0" borderId="25" xfId="1" applyFont="1" applyBorder="1" applyAlignment="1">
      <alignment horizontal="right" vertical="center"/>
    </xf>
    <xf numFmtId="38" fontId="0" fillId="0" borderId="27" xfId="1" applyFont="1" applyBorder="1" applyAlignment="1">
      <alignment horizontal="right" vertical="center"/>
    </xf>
    <xf numFmtId="38" fontId="0" fillId="0" borderId="25" xfId="1" applyFont="1" applyBorder="1" applyAlignment="1">
      <alignment horizontal="center" vertical="center" wrapText="1"/>
    </xf>
    <xf numFmtId="38" fontId="0" fillId="0" borderId="27" xfId="1" applyFont="1" applyBorder="1" applyAlignment="1">
      <alignment horizontal="center" vertical="center" wrapText="1"/>
    </xf>
    <xf numFmtId="38" fontId="0" fillId="0" borderId="3" xfId="1" applyFont="1" applyBorder="1" applyAlignment="1">
      <alignment horizontal="center" vertical="center" shrinkToFit="1"/>
    </xf>
    <xf numFmtId="38" fontId="0" fillId="0" borderId="5" xfId="1" applyFont="1" applyBorder="1" applyAlignment="1">
      <alignment horizontal="center" vertical="center" shrinkToFit="1"/>
    </xf>
    <xf numFmtId="38" fontId="0" fillId="0" borderId="40" xfId="1" applyFont="1" applyBorder="1" applyAlignment="1">
      <alignment horizontal="center" vertical="center" shrinkToFit="1"/>
    </xf>
    <xf numFmtId="38" fontId="0" fillId="0" borderId="41" xfId="1" applyFont="1" applyBorder="1" applyAlignment="1">
      <alignment horizontal="center" vertical="center" shrinkToFit="1"/>
    </xf>
    <xf numFmtId="38" fontId="0" fillId="6" borderId="25" xfId="1" applyFont="1" applyFill="1" applyBorder="1" applyAlignment="1">
      <alignment horizontal="left" vertical="center" wrapText="1"/>
    </xf>
    <xf numFmtId="38" fontId="0" fillId="6" borderId="26" xfId="1" applyFont="1" applyFill="1" applyBorder="1" applyAlignment="1">
      <alignment horizontal="left" vertical="center" wrapText="1"/>
    </xf>
    <xf numFmtId="38" fontId="0" fillId="6" borderId="27" xfId="1" applyFont="1" applyFill="1" applyBorder="1" applyAlignment="1">
      <alignment horizontal="left" vertical="center" wrapText="1"/>
    </xf>
    <xf numFmtId="38" fontId="0" fillId="0" borderId="25" xfId="1" applyFont="1" applyBorder="1" applyAlignment="1">
      <alignment horizontal="left" vertical="center" wrapText="1"/>
    </xf>
    <xf numFmtId="38" fontId="0" fillId="0" borderId="26" xfId="1" applyFont="1" applyBorder="1" applyAlignment="1">
      <alignment horizontal="left" vertical="center" wrapText="1"/>
    </xf>
    <xf numFmtId="38" fontId="0" fillId="0" borderId="27" xfId="1" applyFont="1" applyBorder="1" applyAlignment="1">
      <alignment horizontal="left" vertical="center" wrapText="1"/>
    </xf>
    <xf numFmtId="38" fontId="0" fillId="0" borderId="30" xfId="1" applyFont="1" applyBorder="1" applyAlignment="1">
      <alignment horizontal="center" vertical="center"/>
    </xf>
    <xf numFmtId="38" fontId="0" fillId="0" borderId="30" xfId="1" applyFont="1" applyBorder="1" applyAlignment="1">
      <alignment horizontal="center" vertical="center" shrinkToFit="1"/>
    </xf>
    <xf numFmtId="38" fontId="0" fillId="0" borderId="45" xfId="1" applyFont="1" applyBorder="1" applyAlignment="1">
      <alignment horizontal="right" vertical="center"/>
    </xf>
    <xf numFmtId="38" fontId="0" fillId="0" borderId="1" xfId="1" applyFont="1" applyBorder="1" applyAlignment="1">
      <alignment horizontal="right" vertical="center"/>
    </xf>
    <xf numFmtId="38" fontId="0" fillId="0" borderId="46" xfId="1" applyFont="1" applyBorder="1" applyAlignment="1">
      <alignment horizontal="right" vertical="center"/>
    </xf>
    <xf numFmtId="38" fontId="0" fillId="0" borderId="25" xfId="1" applyFont="1" applyBorder="1" applyAlignment="1">
      <alignment horizontal="center" vertical="center"/>
    </xf>
    <xf numFmtId="38" fontId="0" fillId="0" borderId="27" xfId="1" applyFont="1" applyBorder="1" applyAlignment="1">
      <alignment horizontal="center" vertical="center"/>
    </xf>
    <xf numFmtId="38" fontId="0" fillId="0" borderId="26" xfId="1" applyFont="1" applyBorder="1" applyAlignment="1">
      <alignment horizontal="right" vertical="center"/>
    </xf>
    <xf numFmtId="38" fontId="38" fillId="2" borderId="4" xfId="1" applyFont="1" applyFill="1" applyBorder="1" applyAlignment="1" applyProtection="1">
      <alignment horizontal="right" vertical="center" wrapText="1"/>
      <protection locked="0"/>
    </xf>
    <xf numFmtId="38" fontId="38" fillId="2" borderId="26" xfId="1" applyFont="1" applyFill="1" applyBorder="1" applyAlignment="1" applyProtection="1">
      <alignment horizontal="right" vertical="center" wrapText="1"/>
      <protection locked="0"/>
    </xf>
    <xf numFmtId="38" fontId="38" fillId="2" borderId="27" xfId="1" applyFont="1" applyFill="1" applyBorder="1" applyAlignment="1" applyProtection="1">
      <alignment horizontal="right" vertical="center" wrapText="1"/>
      <protection locked="0"/>
    </xf>
    <xf numFmtId="38" fontId="11" fillId="0" borderId="25" xfId="1" applyFont="1" applyFill="1" applyBorder="1" applyAlignment="1">
      <alignment horizontal="center" vertical="center"/>
    </xf>
    <xf numFmtId="38" fontId="11" fillId="0" borderId="26" xfId="1" applyFont="1" applyFill="1" applyBorder="1" applyAlignment="1">
      <alignment horizontal="center" vertical="center"/>
    </xf>
    <xf numFmtId="38" fontId="11" fillId="0" borderId="27" xfId="1" applyFont="1" applyFill="1" applyBorder="1" applyAlignment="1">
      <alignment horizontal="center" vertical="center"/>
    </xf>
    <xf numFmtId="38" fontId="11" fillId="0" borderId="25" xfId="1" applyFont="1" applyBorder="1" applyAlignment="1">
      <alignment horizontal="center" vertical="center"/>
    </xf>
    <xf numFmtId="38" fontId="11" fillId="0" borderId="26" xfId="1" applyFont="1" applyBorder="1" applyAlignment="1">
      <alignment horizontal="center" vertical="center"/>
    </xf>
    <xf numFmtId="38" fontId="11" fillId="0" borderId="27" xfId="1" applyFont="1" applyBorder="1" applyAlignment="1">
      <alignment horizontal="center" vertical="center"/>
    </xf>
    <xf numFmtId="38" fontId="0" fillId="0" borderId="25" xfId="1" applyFont="1" applyFill="1" applyBorder="1" applyAlignment="1">
      <alignment horizontal="left" vertical="center" shrinkToFit="1"/>
    </xf>
    <xf numFmtId="38" fontId="0" fillId="0" borderId="26" xfId="1" applyFont="1" applyFill="1" applyBorder="1" applyAlignment="1">
      <alignment horizontal="left" vertical="center" shrinkToFit="1"/>
    </xf>
    <xf numFmtId="38" fontId="0" fillId="0" borderId="27" xfId="1" applyFont="1" applyFill="1" applyBorder="1" applyAlignment="1">
      <alignment horizontal="left" vertical="center" shrinkToFit="1"/>
    </xf>
    <xf numFmtId="38" fontId="0" fillId="0" borderId="31" xfId="1" applyFont="1" applyBorder="1" applyAlignment="1">
      <alignment horizontal="center" vertical="center"/>
    </xf>
    <xf numFmtId="38" fontId="0" fillId="0" borderId="33" xfId="1" applyFont="1" applyBorder="1" applyAlignment="1">
      <alignment horizontal="center" vertical="center"/>
    </xf>
    <xf numFmtId="38" fontId="0" fillId="0" borderId="84" xfId="1" applyFont="1" applyBorder="1" applyAlignment="1">
      <alignment horizontal="center" vertical="center"/>
    </xf>
    <xf numFmtId="38" fontId="0" fillId="0" borderId="29" xfId="1" applyFont="1" applyBorder="1" applyAlignment="1">
      <alignment horizontal="center" vertical="center" wrapText="1"/>
    </xf>
    <xf numFmtId="38" fontId="0" fillId="0" borderId="91" xfId="1" applyFont="1" applyBorder="1" applyAlignment="1">
      <alignment horizontal="center" vertical="center"/>
    </xf>
    <xf numFmtId="38" fontId="0" fillId="0" borderId="26" xfId="1" applyFont="1" applyBorder="1" applyAlignment="1">
      <alignment horizontal="center" vertical="center"/>
    </xf>
    <xf numFmtId="38" fontId="0" fillId="0" borderId="8" xfId="1" applyFont="1" applyBorder="1" applyAlignment="1">
      <alignment horizontal="center" vertical="center"/>
    </xf>
    <xf numFmtId="38" fontId="0" fillId="0" borderId="61" xfId="1" applyFont="1" applyBorder="1" applyAlignment="1">
      <alignment horizontal="center" vertical="center"/>
    </xf>
    <xf numFmtId="38" fontId="0" fillId="0" borderId="8" xfId="1" applyFont="1" applyBorder="1" applyAlignment="1">
      <alignment horizontal="right" vertical="center"/>
    </xf>
    <xf numFmtId="38" fontId="0" fillId="0" borderId="9" xfId="1" applyFont="1" applyBorder="1" applyAlignment="1">
      <alignment horizontal="right" vertical="center"/>
    </xf>
    <xf numFmtId="38" fontId="0" fillId="0" borderId="10" xfId="1" applyFont="1" applyBorder="1" applyAlignment="1">
      <alignment horizontal="right" vertical="center"/>
    </xf>
    <xf numFmtId="38" fontId="0" fillId="0" borderId="6" xfId="1" applyFont="1" applyBorder="1" applyAlignment="1">
      <alignment horizontal="right" vertical="center"/>
    </xf>
    <xf numFmtId="38" fontId="0" fillId="0" borderId="0" xfId="1" applyFont="1" applyBorder="1" applyAlignment="1">
      <alignment horizontal="right" vertical="center"/>
    </xf>
    <xf numFmtId="38" fontId="0" fillId="0" borderId="7" xfId="1" applyFont="1" applyBorder="1" applyAlignment="1">
      <alignment horizontal="right" vertical="center"/>
    </xf>
    <xf numFmtId="0" fontId="4" fillId="2" borderId="21"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4" fillId="2" borderId="47" xfId="0" applyFont="1" applyFill="1" applyBorder="1" applyAlignment="1" applyProtection="1">
      <alignment horizontal="left" vertical="center"/>
      <protection locked="0"/>
    </xf>
    <xf numFmtId="195" fontId="62" fillId="0" borderId="3" xfId="0" applyNumberFormat="1" applyFont="1" applyFill="1" applyBorder="1" applyAlignment="1" applyProtection="1">
      <alignment horizontal="left" vertical="center" wrapText="1"/>
    </xf>
    <xf numFmtId="195" fontId="62" fillId="0" borderId="4" xfId="0" applyNumberFormat="1" applyFont="1" applyFill="1" applyBorder="1" applyAlignment="1" applyProtection="1">
      <alignment horizontal="left" vertical="center"/>
    </xf>
    <xf numFmtId="195" fontId="62" fillId="0" borderId="59" xfId="0" applyNumberFormat="1" applyFont="1" applyFill="1" applyBorder="1" applyAlignment="1" applyProtection="1">
      <alignment horizontal="left" vertical="center"/>
    </xf>
    <xf numFmtId="195" fontId="62" fillId="0" borderId="8" xfId="0" applyNumberFormat="1" applyFont="1" applyFill="1" applyBorder="1" applyAlignment="1" applyProtection="1">
      <alignment horizontal="left" vertical="center"/>
    </xf>
    <xf numFmtId="195" fontId="62" fillId="0" borderId="9" xfId="0" applyNumberFormat="1" applyFont="1" applyFill="1" applyBorder="1" applyAlignment="1" applyProtection="1">
      <alignment horizontal="left" vertical="center"/>
    </xf>
    <xf numFmtId="195" fontId="62" fillId="0" borderId="61" xfId="0" applyNumberFormat="1" applyFont="1" applyFill="1" applyBorder="1" applyAlignment="1" applyProtection="1">
      <alignment horizontal="left" vertical="center"/>
    </xf>
    <xf numFmtId="195" fontId="50" fillId="2" borderId="83" xfId="0" applyNumberFormat="1" applyFont="1" applyFill="1" applyBorder="1" applyAlignment="1" applyProtection="1">
      <alignment horizontal="center" vertical="center"/>
      <protection locked="0"/>
    </xf>
    <xf numFmtId="195" fontId="31" fillId="2" borderId="81" xfId="0" applyNumberFormat="1" applyFont="1" applyFill="1" applyBorder="1" applyAlignment="1" applyProtection="1">
      <alignment horizontal="center" vertical="center"/>
      <protection locked="0"/>
    </xf>
    <xf numFmtId="187" fontId="9" fillId="0" borderId="4" xfId="0" applyNumberFormat="1" applyFont="1" applyFill="1" applyBorder="1" applyAlignment="1" applyProtection="1">
      <alignment horizontal="center" vertical="center" wrapText="1" shrinkToFit="1"/>
    </xf>
    <xf numFmtId="187" fontId="9" fillId="0" borderId="0" xfId="0" applyNumberFormat="1" applyFont="1" applyFill="1" applyBorder="1" applyAlignment="1" applyProtection="1">
      <alignment horizontal="center" vertical="center" wrapText="1" shrinkToFit="1"/>
    </xf>
    <xf numFmtId="0" fontId="4" fillId="0" borderId="1" xfId="0" applyFont="1" applyBorder="1" applyAlignment="1" applyProtection="1">
      <alignment horizontal="center" vertical="center" wrapText="1"/>
    </xf>
    <xf numFmtId="0" fontId="4" fillId="0" borderId="95"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187" fontId="10" fillId="0" borderId="1" xfId="0" applyNumberFormat="1" applyFont="1" applyFill="1" applyBorder="1" applyAlignment="1" applyProtection="1">
      <alignment horizontal="right" vertical="center" wrapText="1"/>
    </xf>
    <xf numFmtId="0" fontId="49" fillId="2" borderId="14" xfId="0" applyFont="1" applyFill="1" applyBorder="1" applyAlignment="1" applyProtection="1">
      <alignment horizontal="left" vertical="center" wrapText="1" shrinkToFit="1"/>
      <protection locked="0"/>
    </xf>
    <xf numFmtId="0" fontId="49" fillId="2" borderId="15" xfId="0" applyFont="1" applyFill="1" applyBorder="1" applyAlignment="1" applyProtection="1">
      <alignment horizontal="left" vertical="center" wrapText="1" shrinkToFit="1"/>
      <protection locked="0"/>
    </xf>
    <xf numFmtId="0" fontId="49" fillId="2" borderId="47" xfId="0" applyFont="1" applyFill="1" applyBorder="1" applyAlignment="1" applyProtection="1">
      <alignment horizontal="left" vertical="center" wrapText="1" shrinkToFit="1"/>
      <protection locked="0"/>
    </xf>
    <xf numFmtId="0" fontId="10" fillId="2" borderId="21" xfId="0" applyFont="1" applyFill="1" applyBorder="1" applyAlignment="1" applyProtection="1">
      <alignment horizontal="left" vertical="center" wrapText="1" shrinkToFit="1"/>
      <protection locked="0"/>
    </xf>
    <xf numFmtId="0" fontId="10" fillId="2" borderId="15" xfId="0" applyFont="1" applyFill="1" applyBorder="1" applyAlignment="1" applyProtection="1">
      <alignment horizontal="left" vertical="center" wrapText="1" shrinkToFit="1"/>
      <protection locked="0"/>
    </xf>
    <xf numFmtId="0" fontId="10" fillId="2" borderId="148" xfId="0" applyFont="1" applyFill="1" applyBorder="1" applyAlignment="1" applyProtection="1">
      <alignment horizontal="left" vertical="center" wrapText="1" shrinkToFit="1"/>
      <protection locked="0"/>
    </xf>
    <xf numFmtId="0" fontId="49" fillId="2" borderId="54" xfId="0" applyFont="1" applyFill="1" applyBorder="1" applyAlignment="1" applyProtection="1">
      <alignment horizontal="left" vertical="center" wrapText="1" shrinkToFit="1"/>
      <protection locked="0"/>
    </xf>
    <xf numFmtId="0" fontId="49" fillId="2" borderId="32" xfId="0" applyFont="1" applyFill="1" applyBorder="1" applyAlignment="1" applyProtection="1">
      <alignment horizontal="left" vertical="center" wrapText="1" shrinkToFit="1"/>
      <protection locked="0"/>
    </xf>
    <xf numFmtId="0" fontId="49" fillId="2" borderId="33" xfId="0" applyFont="1" applyFill="1" applyBorder="1" applyAlignment="1" applyProtection="1">
      <alignment horizontal="left" vertical="center" wrapText="1" shrinkToFit="1"/>
      <protection locked="0"/>
    </xf>
    <xf numFmtId="0" fontId="10" fillId="2" borderId="1" xfId="0" applyFont="1" applyFill="1" applyBorder="1" applyAlignment="1" applyProtection="1">
      <alignment horizontal="left" vertical="center" wrapText="1" shrinkToFit="1"/>
      <protection locked="0"/>
    </xf>
    <xf numFmtId="0" fontId="10" fillId="2" borderId="95" xfId="0" applyFont="1" applyFill="1" applyBorder="1" applyAlignment="1" applyProtection="1">
      <alignment horizontal="left" vertical="center" wrapText="1" shrinkToFit="1"/>
      <protection locked="0"/>
    </xf>
    <xf numFmtId="0" fontId="40" fillId="0" borderId="1" xfId="0" applyFont="1" applyFill="1" applyBorder="1" applyAlignment="1" applyProtection="1">
      <alignment horizontal="center" vertical="center" wrapText="1" shrinkToFit="1"/>
    </xf>
    <xf numFmtId="0" fontId="4" fillId="0" borderId="0" xfId="0" applyFont="1" applyFill="1" applyBorder="1" applyAlignment="1" applyProtection="1">
      <alignment horizontal="right" vertical="center" shrinkToFit="1"/>
    </xf>
    <xf numFmtId="0" fontId="8" fillId="0" borderId="0" xfId="0" applyFont="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0" xfId="0" applyFont="1" applyFill="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7" fillId="0" borderId="38"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7" fillId="0" borderId="9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95"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96" xfId="0" applyFont="1" applyFill="1" applyBorder="1" applyAlignment="1" applyProtection="1">
      <alignment horizontal="center" vertical="center" wrapText="1"/>
    </xf>
    <xf numFmtId="0" fontId="7" fillId="0" borderId="82" xfId="0" applyFont="1" applyFill="1" applyBorder="1" applyAlignment="1" applyProtection="1">
      <alignment horizontal="center" vertical="center" wrapText="1"/>
    </xf>
    <xf numFmtId="0" fontId="7" fillId="0" borderId="71" xfId="0" applyFont="1" applyFill="1" applyBorder="1" applyAlignment="1" applyProtection="1">
      <alignment horizontal="center" vertical="center" wrapText="1"/>
    </xf>
    <xf numFmtId="0" fontId="7" fillId="0" borderId="79" xfId="0" applyFont="1" applyFill="1" applyBorder="1" applyAlignment="1" applyProtection="1">
      <alignment horizontal="center" vertical="center" wrapText="1"/>
    </xf>
    <xf numFmtId="0" fontId="10" fillId="0" borderId="23"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187" fontId="7" fillId="0" borderId="94" xfId="0" applyNumberFormat="1" applyFont="1" applyBorder="1" applyAlignment="1" applyProtection="1">
      <alignment horizontal="left" vertical="center" wrapText="1"/>
    </xf>
    <xf numFmtId="187" fontId="7" fillId="0" borderId="95" xfId="0" applyNumberFormat="1" applyFont="1" applyBorder="1" applyAlignment="1" applyProtection="1">
      <alignment horizontal="left" vertical="center" wrapText="1"/>
    </xf>
    <xf numFmtId="187" fontId="7" fillId="0" borderId="96" xfId="0" applyNumberFormat="1" applyFont="1" applyBorder="1" applyAlignment="1" applyProtection="1">
      <alignment horizontal="left" vertical="center" wrapText="1"/>
    </xf>
    <xf numFmtId="0" fontId="7" fillId="0" borderId="12" xfId="16" applyFont="1" applyFill="1" applyBorder="1" applyAlignment="1" applyProtection="1">
      <alignment horizontal="center" vertical="center" wrapText="1"/>
    </xf>
    <xf numFmtId="0" fontId="7" fillId="0" borderId="15" xfId="16" applyFont="1" applyFill="1" applyBorder="1" applyAlignment="1" applyProtection="1">
      <alignment horizontal="center" vertical="center" wrapText="1"/>
    </xf>
    <xf numFmtId="0" fontId="7" fillId="0" borderId="18" xfId="16" applyFont="1" applyFill="1" applyBorder="1" applyAlignment="1" applyProtection="1">
      <alignment horizontal="center" vertical="center" wrapText="1"/>
    </xf>
    <xf numFmtId="0" fontId="7" fillId="0" borderId="98" xfId="16" applyFont="1" applyFill="1" applyBorder="1" applyAlignment="1" applyProtection="1">
      <alignment horizontal="center" vertical="center" wrapText="1"/>
    </xf>
    <xf numFmtId="0" fontId="7" fillId="0" borderId="99" xfId="16" applyFont="1" applyFill="1" applyBorder="1" applyAlignment="1" applyProtection="1">
      <alignment horizontal="center" vertical="center" wrapText="1"/>
    </xf>
    <xf numFmtId="0" fontId="7" fillId="0" borderId="100" xfId="16" applyFont="1" applyFill="1" applyBorder="1" applyAlignment="1" applyProtection="1">
      <alignment horizontal="center" vertical="center" wrapText="1"/>
    </xf>
    <xf numFmtId="0" fontId="7" fillId="0" borderId="12" xfId="16" applyFont="1" applyFill="1" applyBorder="1" applyAlignment="1" applyProtection="1">
      <alignment horizontal="left" vertical="center" wrapText="1"/>
    </xf>
    <xf numFmtId="0" fontId="7" fillId="0" borderId="15" xfId="16" applyFont="1" applyFill="1" applyBorder="1" applyAlignment="1" applyProtection="1">
      <alignment horizontal="left" vertical="center" wrapText="1"/>
    </xf>
    <xf numFmtId="0" fontId="7" fillId="0" borderId="18" xfId="16" applyFont="1" applyFill="1" applyBorder="1" applyAlignment="1" applyProtection="1">
      <alignment horizontal="left" vertical="center" wrapText="1"/>
    </xf>
    <xf numFmtId="0" fontId="7" fillId="0" borderId="145" xfId="0" applyFont="1" applyFill="1" applyBorder="1" applyAlignment="1" applyProtection="1">
      <alignment horizontal="center" vertical="center" wrapText="1"/>
    </xf>
    <xf numFmtId="0" fontId="7" fillId="0" borderId="146" xfId="0" applyFont="1" applyFill="1" applyBorder="1" applyAlignment="1" applyProtection="1">
      <alignment horizontal="center" vertical="center" wrapText="1"/>
    </xf>
    <xf numFmtId="0" fontId="7" fillId="0" borderId="147" xfId="0" applyFont="1" applyFill="1" applyBorder="1" applyAlignment="1" applyProtection="1">
      <alignment horizontal="center" vertical="center" wrapText="1"/>
    </xf>
    <xf numFmtId="0" fontId="7" fillId="0" borderId="1" xfId="16" applyFont="1" applyFill="1" applyBorder="1" applyAlignment="1" applyProtection="1">
      <alignment horizontal="center" vertical="center" wrapText="1"/>
    </xf>
    <xf numFmtId="0" fontId="7" fillId="0" borderId="24" xfId="16" applyFont="1" applyFill="1" applyBorder="1" applyAlignment="1" applyProtection="1">
      <alignment horizontal="center" vertical="center" wrapText="1"/>
    </xf>
    <xf numFmtId="0" fontId="7" fillId="0" borderId="46" xfId="16" applyFont="1" applyFill="1" applyBorder="1" applyAlignment="1" applyProtection="1">
      <alignment horizontal="center" vertical="center" wrapText="1"/>
    </xf>
    <xf numFmtId="0" fontId="7" fillId="0" borderId="41" xfId="16" applyFont="1" applyFill="1" applyBorder="1" applyAlignment="1" applyProtection="1">
      <alignment horizontal="center" vertical="center" wrapText="1"/>
    </xf>
    <xf numFmtId="0" fontId="7" fillId="0" borderId="11" xfId="16" applyFont="1" applyFill="1" applyBorder="1" applyAlignment="1" applyProtection="1">
      <alignment horizontal="center" vertical="center" wrapText="1"/>
    </xf>
    <xf numFmtId="0" fontId="7" fillId="0" borderId="13" xfId="16" applyFont="1" applyFill="1" applyBorder="1" applyAlignment="1" applyProtection="1">
      <alignment horizontal="center" vertical="center" wrapText="1"/>
    </xf>
    <xf numFmtId="0" fontId="4" fillId="0" borderId="1" xfId="0" applyFont="1" applyBorder="1" applyAlignment="1" applyProtection="1">
      <alignment horizontal="left" vertical="center" wrapText="1"/>
    </xf>
    <xf numFmtId="0" fontId="4" fillId="0" borderId="95" xfId="0" applyFont="1" applyBorder="1" applyAlignment="1" applyProtection="1">
      <alignment horizontal="left" vertical="center" wrapText="1"/>
    </xf>
    <xf numFmtId="0" fontId="8" fillId="0" borderId="30" xfId="0" applyFont="1" applyBorder="1" applyAlignment="1" applyProtection="1">
      <alignment horizontal="left" vertical="center"/>
    </xf>
    <xf numFmtId="0" fontId="67" fillId="2" borderId="14" xfId="0" applyFont="1" applyFill="1" applyBorder="1" applyAlignment="1" applyProtection="1">
      <alignment horizontal="left" vertical="center" wrapText="1" shrinkToFit="1"/>
      <protection locked="0"/>
    </xf>
    <xf numFmtId="0" fontId="67" fillId="2" borderId="15" xfId="0" applyFont="1" applyFill="1" applyBorder="1" applyAlignment="1" applyProtection="1">
      <alignment horizontal="left" vertical="center" wrapText="1" shrinkToFit="1"/>
      <protection locked="0"/>
    </xf>
    <xf numFmtId="0" fontId="67" fillId="2" borderId="47" xfId="0" applyFont="1" applyFill="1" applyBorder="1" applyAlignment="1" applyProtection="1">
      <alignment horizontal="left" vertical="center" wrapText="1" shrinkToFit="1"/>
      <protection locked="0"/>
    </xf>
    <xf numFmtId="0" fontId="4" fillId="0" borderId="32" xfId="0" applyFont="1" applyBorder="1" applyAlignment="1" applyProtection="1">
      <alignment horizontal="center" vertical="center"/>
    </xf>
    <xf numFmtId="0" fontId="50" fillId="0" borderId="3" xfId="0" applyFont="1" applyFill="1" applyBorder="1" applyAlignment="1" applyProtection="1">
      <alignment horizontal="center" vertical="center"/>
    </xf>
    <xf numFmtId="0" fontId="50" fillId="0" borderId="6"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8" fillId="0" borderId="9" xfId="0" applyFont="1" applyBorder="1" applyAlignment="1" applyProtection="1">
      <alignment horizontal="left" vertical="center"/>
    </xf>
    <xf numFmtId="0" fontId="4" fillId="0" borderId="120"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47" xfId="0" applyFont="1" applyBorder="1" applyAlignment="1" applyProtection="1">
      <alignment horizontal="left" vertical="center" wrapText="1"/>
    </xf>
    <xf numFmtId="0" fontId="49" fillId="2" borderId="11" xfId="0" applyFont="1" applyFill="1" applyBorder="1" applyAlignment="1" applyProtection="1">
      <alignment horizontal="left" vertical="center" wrapText="1" shrinkToFit="1"/>
      <protection locked="0"/>
    </xf>
    <xf numFmtId="0" fontId="49" fillId="2" borderId="12" xfId="0" applyFont="1" applyFill="1" applyBorder="1" applyAlignment="1" applyProtection="1">
      <alignment horizontal="left" vertical="center" wrapText="1" shrinkToFit="1"/>
      <protection locked="0"/>
    </xf>
    <xf numFmtId="0" fontId="49" fillId="2" borderId="64" xfId="0" applyFont="1" applyFill="1" applyBorder="1" applyAlignment="1" applyProtection="1">
      <alignment horizontal="left" vertical="center" wrapText="1" shrinkToFit="1"/>
      <protection locked="0"/>
    </xf>
    <xf numFmtId="0" fontId="10" fillId="2" borderId="20" xfId="0" applyFont="1" applyFill="1" applyBorder="1" applyAlignment="1" applyProtection="1">
      <alignment horizontal="left" vertical="center" wrapText="1" shrinkToFit="1"/>
      <protection locked="0"/>
    </xf>
    <xf numFmtId="0" fontId="10" fillId="2" borderId="12" xfId="0" applyFont="1" applyFill="1" applyBorder="1" applyAlignment="1" applyProtection="1">
      <alignment horizontal="left" vertical="center" wrapText="1" shrinkToFit="1"/>
      <protection locked="0"/>
    </xf>
    <xf numFmtId="0" fontId="10" fillId="2" borderId="151" xfId="0" applyFont="1" applyFill="1" applyBorder="1" applyAlignment="1" applyProtection="1">
      <alignment horizontal="left" vertical="center" wrapText="1" shrinkToFit="1"/>
      <protection locked="0"/>
    </xf>
    <xf numFmtId="0" fontId="4" fillId="2" borderId="15" xfId="0" applyFont="1" applyFill="1" applyBorder="1" applyAlignment="1" applyProtection="1">
      <alignment horizontal="center" vertical="center" shrinkToFit="1"/>
      <protection locked="0"/>
    </xf>
    <xf numFmtId="0" fontId="4" fillId="2" borderId="47" xfId="0" applyFont="1" applyFill="1" applyBorder="1" applyAlignment="1" applyProtection="1">
      <alignment horizontal="center" vertical="center" shrinkToFit="1"/>
      <protection locked="0"/>
    </xf>
    <xf numFmtId="0" fontId="51" fillId="0" borderId="21" xfId="0" applyFont="1" applyBorder="1" applyAlignment="1" applyProtection="1">
      <alignment horizontal="left" vertical="center"/>
    </xf>
    <xf numFmtId="0" fontId="51" fillId="0" borderId="15" xfId="0" applyFont="1" applyBorder="1" applyAlignment="1" applyProtection="1">
      <alignment horizontal="left" vertical="center"/>
    </xf>
    <xf numFmtId="0" fontId="51" fillId="0" borderId="47" xfId="0" applyFont="1" applyBorder="1" applyAlignment="1" applyProtection="1">
      <alignment horizontal="left"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7" fillId="0" borderId="137" xfId="16" applyFont="1" applyFill="1" applyBorder="1" applyAlignment="1" applyProtection="1">
      <alignment horizontal="center" vertical="center" wrapText="1"/>
    </xf>
    <xf numFmtId="0" fontId="7" fillId="0" borderId="119" xfId="16" applyFont="1" applyFill="1" applyBorder="1" applyAlignment="1" applyProtection="1">
      <alignment horizontal="center" vertical="center" wrapText="1"/>
    </xf>
    <xf numFmtId="0" fontId="7" fillId="0" borderId="118" xfId="16" applyFont="1" applyFill="1" applyBorder="1" applyAlignment="1" applyProtection="1">
      <alignment horizontal="center" vertical="center" wrapText="1"/>
    </xf>
    <xf numFmtId="0" fontId="7" fillId="0" borderId="45" xfId="16" applyFont="1" applyFill="1" applyBorder="1" applyAlignment="1" applyProtection="1">
      <alignment horizontal="center" vertical="center" wrapText="1"/>
    </xf>
    <xf numFmtId="0" fontId="7" fillId="0" borderId="40" xfId="16" applyFont="1" applyFill="1" applyBorder="1" applyAlignment="1" applyProtection="1">
      <alignment horizontal="center" vertical="center" wrapText="1"/>
    </xf>
    <xf numFmtId="0" fontId="0" fillId="0" borderId="38" xfId="0" applyBorder="1" applyAlignment="1" applyProtection="1">
      <alignment horizontal="center" vertical="center"/>
    </xf>
    <xf numFmtId="0" fontId="0" fillId="0" borderId="45" xfId="0" applyBorder="1" applyAlignment="1" applyProtection="1">
      <alignment horizontal="center" vertical="center"/>
    </xf>
    <xf numFmtId="0" fontId="0" fillId="0" borderId="40" xfId="0" applyBorder="1" applyAlignment="1" applyProtection="1">
      <alignment horizontal="center" vertical="center"/>
    </xf>
    <xf numFmtId="0" fontId="12" fillId="0" borderId="45"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0" fillId="0" borderId="86" xfId="0" applyBorder="1" applyAlignment="1" applyProtection="1">
      <alignment horizontal="center" vertical="center" wrapText="1" shrinkToFit="1"/>
    </xf>
    <xf numFmtId="0" fontId="0" fillId="0" borderId="60" xfId="0" applyBorder="1" applyAlignment="1" applyProtection="1">
      <alignment horizontal="center" vertical="center" wrapText="1" shrinkToFit="1"/>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185" fontId="73" fillId="0" borderId="25" xfId="0" applyNumberFormat="1" applyFont="1" applyFill="1" applyBorder="1" applyAlignment="1" applyProtection="1">
      <alignment horizontal="left" vertical="center" wrapText="1"/>
    </xf>
    <xf numFmtId="185" fontId="73" fillId="0" borderId="26" xfId="0" applyNumberFormat="1" applyFont="1" applyFill="1" applyBorder="1" applyAlignment="1" applyProtection="1">
      <alignment horizontal="left" vertical="center"/>
    </xf>
    <xf numFmtId="185" fontId="73" fillId="0" borderId="84" xfId="0" applyNumberFormat="1" applyFont="1" applyFill="1" applyBorder="1" applyAlignment="1" applyProtection="1">
      <alignment horizontal="left" vertical="center"/>
    </xf>
    <xf numFmtId="0" fontId="69" fillId="2" borderId="142" xfId="0" applyFont="1" applyFill="1" applyBorder="1" applyAlignment="1" applyProtection="1">
      <alignment horizontal="center" vertical="center"/>
    </xf>
    <xf numFmtId="0" fontId="69" fillId="2" borderId="27" xfId="0" applyFont="1" applyFill="1" applyBorder="1" applyAlignment="1" applyProtection="1">
      <alignment horizontal="center" vertical="center"/>
    </xf>
    <xf numFmtId="0" fontId="42" fillId="0" borderId="3" xfId="0" applyFont="1" applyBorder="1" applyAlignment="1" applyProtection="1">
      <alignment horizontal="center" vertical="center" shrinkToFit="1"/>
    </xf>
    <xf numFmtId="0" fontId="42" fillId="0" borderId="4" xfId="0" applyFont="1" applyBorder="1" applyAlignment="1" applyProtection="1">
      <alignment horizontal="center" vertical="center" shrinkToFit="1"/>
    </xf>
    <xf numFmtId="0" fontId="42" fillId="0" borderId="5" xfId="0" applyFont="1" applyBorder="1" applyAlignment="1" applyProtection="1">
      <alignment horizontal="center" vertical="center" shrinkToFit="1"/>
    </xf>
    <xf numFmtId="0" fontId="46" fillId="0" borderId="17" xfId="0" applyFont="1" applyFill="1" applyBorder="1" applyAlignment="1" applyProtection="1">
      <alignment horizontal="center" vertical="center" shrinkToFit="1"/>
    </xf>
    <xf numFmtId="0" fontId="46" fillId="0" borderId="18" xfId="0" applyFont="1" applyFill="1" applyBorder="1" applyAlignment="1" applyProtection="1">
      <alignment horizontal="center" vertical="center" shrinkToFit="1"/>
    </xf>
    <xf numFmtId="0" fontId="46" fillId="0" borderId="19" xfId="0" applyFont="1" applyFill="1" applyBorder="1" applyAlignment="1" applyProtection="1">
      <alignment horizontal="center" vertical="center" shrinkToFit="1"/>
    </xf>
    <xf numFmtId="185" fontId="39" fillId="0" borderId="0" xfId="0" applyNumberFormat="1" applyFont="1" applyBorder="1" applyAlignment="1" applyProtection="1">
      <alignment horizontal="left" vertical="center"/>
    </xf>
    <xf numFmtId="185" fontId="69" fillId="0" borderId="25" xfId="0" applyNumberFormat="1" applyFont="1" applyBorder="1" applyAlignment="1" applyProtection="1">
      <alignment horizontal="center" vertical="center" wrapText="1"/>
    </xf>
    <xf numFmtId="185" fontId="69" fillId="0" borderId="84" xfId="0" applyNumberFormat="1" applyFont="1" applyBorder="1" applyAlignment="1" applyProtection="1">
      <alignment horizontal="center" vertical="center" wrapText="1"/>
    </xf>
    <xf numFmtId="0" fontId="69" fillId="0" borderId="142" xfId="0" applyNumberFormat="1" applyFont="1" applyFill="1" applyBorder="1" applyAlignment="1" applyProtection="1">
      <alignment horizontal="left" vertical="center" wrapText="1" shrinkToFit="1"/>
    </xf>
    <xf numFmtId="0" fontId="69" fillId="0" borderId="26" xfId="0" applyNumberFormat="1" applyFont="1" applyFill="1" applyBorder="1" applyAlignment="1" applyProtection="1">
      <alignment horizontal="left" vertical="center" shrinkToFit="1"/>
    </xf>
    <xf numFmtId="0" fontId="69" fillId="0" borderId="27" xfId="0" applyNumberFormat="1" applyFont="1" applyFill="1" applyBorder="1" applyAlignment="1" applyProtection="1">
      <alignment horizontal="left" vertical="center" shrinkToFit="1"/>
    </xf>
    <xf numFmtId="0" fontId="73" fillId="0" borderId="3" xfId="0" applyFont="1" applyFill="1" applyBorder="1" applyAlignment="1" applyProtection="1">
      <alignment horizontal="left" vertical="center" shrinkToFit="1"/>
    </xf>
    <xf numFmtId="0" fontId="73" fillId="0" borderId="4" xfId="0" applyFont="1" applyFill="1" applyBorder="1" applyAlignment="1" applyProtection="1">
      <alignment horizontal="left" vertical="center" shrinkToFit="1"/>
    </xf>
    <xf numFmtId="0" fontId="73" fillId="0" borderId="5" xfId="0" applyFont="1" applyFill="1" applyBorder="1" applyAlignment="1" applyProtection="1">
      <alignment horizontal="left" vertical="center" shrinkToFit="1"/>
    </xf>
    <xf numFmtId="0" fontId="73" fillId="2" borderId="3" xfId="0" applyFont="1" applyFill="1" applyBorder="1" applyAlignment="1" applyProtection="1">
      <alignment horizontal="left" vertical="center" wrapText="1" shrinkToFit="1"/>
    </xf>
    <xf numFmtId="0" fontId="73" fillId="2" borderId="4" xfId="0" applyFont="1" applyFill="1" applyBorder="1" applyAlignment="1" applyProtection="1">
      <alignment horizontal="left" vertical="center" wrapText="1" shrinkToFit="1"/>
    </xf>
    <xf numFmtId="0" fontId="73" fillId="2" borderId="5" xfId="0" applyFont="1" applyFill="1" applyBorder="1" applyAlignment="1" applyProtection="1">
      <alignment horizontal="left" vertical="center" wrapText="1" shrinkToFit="1"/>
    </xf>
    <xf numFmtId="0" fontId="73" fillId="2" borderId="8" xfId="0" applyFont="1" applyFill="1" applyBorder="1" applyAlignment="1" applyProtection="1">
      <alignment horizontal="left" vertical="center" wrapText="1" shrinkToFit="1"/>
    </xf>
    <xf numFmtId="0" fontId="73" fillId="2" borderId="9" xfId="0" applyFont="1" applyFill="1" applyBorder="1" applyAlignment="1" applyProtection="1">
      <alignment horizontal="left" vertical="center" wrapText="1" shrinkToFit="1"/>
    </xf>
    <xf numFmtId="0" fontId="73" fillId="2" borderId="10" xfId="0" applyFont="1" applyFill="1" applyBorder="1" applyAlignment="1" applyProtection="1">
      <alignment horizontal="left" vertical="center" wrapText="1" shrinkToFit="1"/>
    </xf>
    <xf numFmtId="185" fontId="0" fillId="0" borderId="25" xfId="0" applyNumberFormat="1" applyFill="1" applyBorder="1" applyAlignment="1" applyProtection="1">
      <alignment horizontal="center" vertical="center"/>
    </xf>
    <xf numFmtId="185" fontId="0" fillId="0" borderId="27" xfId="0" applyNumberFormat="1" applyFill="1" applyBorder="1" applyAlignment="1" applyProtection="1">
      <alignment horizontal="center" vertical="center"/>
    </xf>
    <xf numFmtId="0" fontId="22" fillId="0" borderId="38"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75" xfId="0" applyFont="1" applyFill="1" applyBorder="1" applyAlignment="1" applyProtection="1">
      <alignment horizontal="left" vertical="center" wrapText="1"/>
    </xf>
    <xf numFmtId="0" fontId="12" fillId="0" borderId="70" xfId="0" applyFont="1" applyFill="1" applyBorder="1" applyAlignment="1" applyProtection="1">
      <alignment horizontal="left" vertical="center" wrapText="1"/>
    </xf>
    <xf numFmtId="0" fontId="22" fillId="0" borderId="30" xfId="0" applyFont="1" applyFill="1" applyBorder="1" applyAlignment="1" applyProtection="1">
      <alignment horizontal="center" vertical="center" shrinkToFit="1"/>
    </xf>
    <xf numFmtId="0" fontId="42" fillId="0" borderId="11" xfId="0" applyFont="1" applyFill="1" applyBorder="1" applyAlignment="1" applyProtection="1">
      <alignment horizontal="center" vertical="center"/>
    </xf>
    <xf numFmtId="0" fontId="42" fillId="0" borderId="12" xfId="0" applyFont="1" applyFill="1" applyBorder="1" applyAlignment="1" applyProtection="1">
      <alignment horizontal="center" vertical="center"/>
    </xf>
    <xf numFmtId="0" fontId="42" fillId="0" borderId="13" xfId="0" applyFont="1" applyFill="1" applyBorder="1" applyAlignment="1" applyProtection="1">
      <alignment horizontal="center" vertical="center"/>
    </xf>
    <xf numFmtId="185" fontId="42" fillId="0" borderId="38" xfId="0" applyNumberFormat="1" applyFont="1" applyFill="1" applyBorder="1" applyAlignment="1" applyProtection="1">
      <alignment horizontal="center" vertical="center"/>
    </xf>
    <xf numFmtId="185" fontId="42" fillId="0" borderId="23" xfId="0" applyNumberFormat="1" applyFont="1" applyFill="1" applyBorder="1" applyAlignment="1" applyProtection="1">
      <alignment horizontal="center" vertical="center"/>
    </xf>
    <xf numFmtId="185" fontId="42" fillId="0" borderId="39" xfId="0" applyNumberFormat="1" applyFont="1" applyFill="1" applyBorder="1" applyAlignment="1" applyProtection="1">
      <alignment horizontal="center" vertical="center"/>
    </xf>
    <xf numFmtId="185" fontId="42" fillId="0" borderId="11" xfId="0" applyNumberFormat="1" applyFont="1" applyFill="1" applyBorder="1" applyAlignment="1" applyProtection="1">
      <alignment horizontal="center" vertical="center"/>
    </xf>
    <xf numFmtId="185" fontId="42" fillId="0" borderId="64" xfId="0" applyNumberFormat="1" applyFont="1" applyFill="1" applyBorder="1" applyAlignment="1" applyProtection="1">
      <alignment horizontal="center" vertical="center"/>
    </xf>
    <xf numFmtId="185" fontId="42" fillId="0" borderId="12" xfId="0" applyNumberFormat="1" applyFont="1" applyFill="1" applyBorder="1" applyAlignment="1" applyProtection="1">
      <alignment horizontal="center" vertical="center"/>
    </xf>
    <xf numFmtId="0" fontId="42" fillId="0" borderId="38" xfId="0" applyFont="1" applyBorder="1" applyAlignment="1" applyProtection="1">
      <alignment horizontal="center" vertical="center"/>
    </xf>
    <xf numFmtId="0" fontId="42" fillId="0" borderId="23" xfId="0" applyFont="1" applyBorder="1" applyAlignment="1" applyProtection="1">
      <alignment horizontal="center" vertical="center"/>
    </xf>
    <xf numFmtId="0" fontId="42" fillId="0" borderId="39" xfId="0" applyFont="1" applyBorder="1" applyAlignment="1" applyProtection="1">
      <alignment horizontal="center" vertical="center"/>
    </xf>
    <xf numFmtId="0" fontId="43" fillId="0" borderId="3" xfId="0" applyFont="1" applyBorder="1" applyAlignment="1" applyProtection="1">
      <alignment horizontal="center" vertical="center" shrinkToFit="1"/>
    </xf>
    <xf numFmtId="0" fontId="43" fillId="0" borderId="4" xfId="0" applyFont="1" applyBorder="1" applyAlignment="1" applyProtection="1">
      <alignment horizontal="center" vertical="center" shrinkToFit="1"/>
    </xf>
    <xf numFmtId="0" fontId="0" fillId="0" borderId="1" xfId="0" applyFill="1" applyBorder="1" applyAlignment="1" applyProtection="1">
      <alignment horizontal="center" vertical="center"/>
    </xf>
    <xf numFmtId="0" fontId="0" fillId="2" borderId="1" xfId="0" applyFill="1" applyBorder="1" applyAlignment="1" applyProtection="1">
      <alignment horizontal="center" vertical="center" shrinkToFit="1"/>
      <protection locked="0"/>
    </xf>
    <xf numFmtId="0" fontId="3" fillId="0" borderId="31"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2" borderId="1" xfId="0" applyFont="1" applyFill="1" applyBorder="1" applyAlignment="1" applyProtection="1">
      <alignment horizontal="center" vertical="center" shrinkToFit="1"/>
      <protection locked="0"/>
    </xf>
    <xf numFmtId="0" fontId="10" fillId="0" borderId="47" xfId="0" applyFont="1" applyBorder="1" applyAlignment="1" applyProtection="1">
      <alignment horizontal="left" vertical="center"/>
    </xf>
    <xf numFmtId="0" fontId="10" fillId="0" borderId="1" xfId="0" applyFont="1" applyBorder="1" applyAlignment="1" applyProtection="1">
      <alignment horizontal="left" vertical="center"/>
    </xf>
    <xf numFmtId="0" fontId="0" fillId="0" borderId="1" xfId="0" applyFill="1" applyBorder="1" applyAlignment="1" applyProtection="1">
      <alignment horizontal="left" vertical="center" shrinkToFit="1"/>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32" xfId="0" applyFill="1" applyBorder="1" applyAlignment="1" applyProtection="1">
      <alignment horizontal="left" vertical="center" shrinkToFit="1"/>
    </xf>
    <xf numFmtId="0" fontId="0" fillId="0" borderId="30" xfId="0" applyFill="1" applyBorder="1" applyAlignment="1" applyProtection="1">
      <alignment horizontal="left" vertical="center" shrinkToFit="1"/>
    </xf>
    <xf numFmtId="0" fontId="10" fillId="2" borderId="1" xfId="0" applyFont="1" applyFill="1" applyBorder="1" applyAlignment="1" applyProtection="1">
      <alignment vertical="center"/>
      <protection locked="0"/>
    </xf>
    <xf numFmtId="0" fontId="10" fillId="2" borderId="1"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7" fillId="0" borderId="30" xfId="0" applyFont="1" applyBorder="1" applyAlignment="1" applyProtection="1">
      <alignment horizontal="center" vertical="center"/>
    </xf>
    <xf numFmtId="0" fontId="10" fillId="0" borderId="1" xfId="0" applyFont="1" applyFill="1" applyBorder="1" applyAlignment="1" applyProtection="1">
      <alignment horizontal="left" vertical="center"/>
    </xf>
    <xf numFmtId="0" fontId="5" fillId="0" borderId="0" xfId="0" applyFont="1"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horizontal="center" vertical="center"/>
    </xf>
    <xf numFmtId="0" fontId="21" fillId="0" borderId="0" xfId="0" applyFont="1" applyAlignment="1" applyProtection="1">
      <alignment vertical="center" wrapText="1"/>
    </xf>
    <xf numFmtId="0" fontId="3" fillId="0" borderId="0" xfId="0" applyFont="1" applyBorder="1" applyAlignment="1" applyProtection="1">
      <alignment horizontal="center" vertical="top"/>
    </xf>
    <xf numFmtId="0" fontId="10" fillId="0" borderId="0" xfId="0" applyFont="1" applyBorder="1" applyAlignment="1" applyProtection="1">
      <alignment horizontal="center" vertical="top"/>
    </xf>
    <xf numFmtId="0" fontId="3" fillId="0" borderId="35" xfId="0" applyFont="1" applyBorder="1" applyAlignment="1" applyProtection="1">
      <alignment horizontal="center" vertical="top"/>
    </xf>
    <xf numFmtId="0" fontId="10" fillId="0" borderId="35" xfId="0" applyFont="1" applyBorder="1" applyAlignment="1" applyProtection="1">
      <alignment horizontal="center" vertical="top"/>
    </xf>
    <xf numFmtId="0" fontId="4" fillId="0" borderId="0" xfId="0" applyFont="1" applyBorder="1" applyAlignment="1" applyProtection="1">
      <alignment horizontal="center" vertical="center"/>
    </xf>
    <xf numFmtId="38" fontId="7" fillId="0" borderId="0" xfId="1" applyFont="1" applyFill="1" applyBorder="1" applyAlignment="1" applyProtection="1">
      <alignment horizontal="center" vertical="center"/>
    </xf>
    <xf numFmtId="38" fontId="7" fillId="0" borderId="30" xfId="1"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10" fillId="2" borderId="31" xfId="0" applyFont="1" applyFill="1" applyBorder="1" applyAlignment="1" applyProtection="1">
      <alignment vertical="center"/>
      <protection locked="0"/>
    </xf>
    <xf numFmtId="0" fontId="10" fillId="2" borderId="32" xfId="0" applyFont="1" applyFill="1" applyBorder="1" applyAlignment="1" applyProtection="1">
      <alignment vertical="center"/>
      <protection locked="0"/>
    </xf>
    <xf numFmtId="0" fontId="10" fillId="2" borderId="33" xfId="0" applyFont="1" applyFill="1" applyBorder="1" applyAlignment="1" applyProtection="1">
      <alignment vertical="center"/>
      <protection locked="0"/>
    </xf>
    <xf numFmtId="0" fontId="10" fillId="2" borderId="34"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35" xfId="0" applyFont="1" applyFill="1" applyBorder="1" applyAlignment="1" applyProtection="1">
      <alignment vertical="center"/>
      <protection locked="0"/>
    </xf>
    <xf numFmtId="0" fontId="10" fillId="2" borderId="36" xfId="0" applyFont="1" applyFill="1" applyBorder="1" applyAlignment="1" applyProtection="1">
      <alignment vertical="center"/>
      <protection locked="0"/>
    </xf>
    <xf numFmtId="0" fontId="10" fillId="2" borderId="30" xfId="0" applyFont="1" applyFill="1" applyBorder="1" applyAlignment="1" applyProtection="1">
      <alignment vertical="center"/>
      <protection locked="0"/>
    </xf>
    <xf numFmtId="0" fontId="10" fillId="2" borderId="37" xfId="0" applyFont="1" applyFill="1" applyBorder="1" applyAlignment="1" applyProtection="1">
      <alignment vertical="center"/>
      <protection locked="0"/>
    </xf>
    <xf numFmtId="0" fontId="10" fillId="2" borderId="31"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protection locked="0"/>
    </xf>
    <xf numFmtId="0" fontId="3" fillId="0" borderId="111" xfId="0" applyFont="1" applyFill="1" applyBorder="1" applyAlignment="1" applyProtection="1">
      <alignment vertical="center" shrinkToFit="1"/>
    </xf>
    <xf numFmtId="0" fontId="3" fillId="0" borderId="110" xfId="0" applyFont="1" applyFill="1" applyBorder="1" applyAlignment="1" applyProtection="1">
      <alignment vertical="center" shrinkToFit="1"/>
    </xf>
    <xf numFmtId="0" fontId="3" fillId="0" borderId="112" xfId="0" applyFont="1" applyFill="1" applyBorder="1" applyAlignment="1" applyProtection="1">
      <alignment vertical="center" shrinkToFit="1"/>
    </xf>
    <xf numFmtId="0" fontId="3" fillId="0" borderId="109" xfId="0" applyFont="1" applyFill="1" applyBorder="1" applyAlignment="1" applyProtection="1">
      <alignment vertical="center" shrinkToFit="1"/>
    </xf>
    <xf numFmtId="177" fontId="3" fillId="2" borderId="110" xfId="0" applyNumberFormat="1" applyFont="1" applyFill="1" applyBorder="1" applyAlignment="1" applyProtection="1">
      <alignment horizontal="right" vertical="center"/>
    </xf>
    <xf numFmtId="177" fontId="3" fillId="2" borderId="113" xfId="0" applyNumberFormat="1" applyFont="1" applyFill="1" applyBorder="1" applyAlignment="1" applyProtection="1">
      <alignment horizontal="right" vertical="center"/>
    </xf>
    <xf numFmtId="177" fontId="21" fillId="0" borderId="20" xfId="0" applyNumberFormat="1" applyFont="1" applyFill="1" applyBorder="1" applyAlignment="1" applyProtection="1">
      <alignment horizontal="right" vertical="center"/>
    </xf>
    <xf numFmtId="177" fontId="21" fillId="0" borderId="12" xfId="0" applyNumberFormat="1" applyFont="1" applyFill="1" applyBorder="1" applyAlignment="1" applyProtection="1">
      <alignment horizontal="right" vertical="center"/>
    </xf>
    <xf numFmtId="177" fontId="21" fillId="0" borderId="13" xfId="0" applyNumberFormat="1" applyFont="1" applyFill="1" applyBorder="1" applyAlignment="1" applyProtection="1">
      <alignment horizontal="right" vertical="center"/>
    </xf>
    <xf numFmtId="177" fontId="3" fillId="0" borderId="110" xfId="0" applyNumberFormat="1" applyFont="1" applyFill="1" applyBorder="1" applyAlignment="1" applyProtection="1">
      <alignment horizontal="right" vertical="center"/>
    </xf>
    <xf numFmtId="0" fontId="3" fillId="0" borderId="52" xfId="0" applyFont="1" applyFill="1" applyBorder="1" applyAlignment="1" applyProtection="1">
      <alignment horizontal="left" vertical="center" shrinkToFit="1"/>
    </xf>
    <xf numFmtId="0" fontId="3" fillId="0" borderId="48" xfId="0" applyFont="1" applyFill="1" applyBorder="1" applyAlignment="1" applyProtection="1">
      <alignment horizontal="left" vertical="center" shrinkToFit="1"/>
    </xf>
    <xf numFmtId="201" fontId="3" fillId="2" borderId="48" xfId="0" applyNumberFormat="1" applyFont="1" applyFill="1" applyBorder="1" applyAlignment="1" applyProtection="1">
      <alignment horizontal="center" vertical="center" shrinkToFit="1"/>
    </xf>
    <xf numFmtId="201" fontId="3" fillId="2" borderId="124" xfId="0" applyNumberFormat="1" applyFont="1" applyFill="1" applyBorder="1" applyAlignment="1" applyProtection="1">
      <alignment horizontal="center" vertical="center" shrinkToFit="1"/>
    </xf>
    <xf numFmtId="0" fontId="3" fillId="2" borderId="0" xfId="0" applyFont="1" applyFill="1" applyBorder="1" applyAlignment="1" applyProtection="1">
      <alignment vertical="center" shrinkToFit="1"/>
      <protection locked="0"/>
    </xf>
    <xf numFmtId="0" fontId="3" fillId="2" borderId="30" xfId="0" applyFont="1" applyFill="1" applyBorder="1" applyAlignment="1" applyProtection="1">
      <alignment vertical="center" shrinkToFit="1"/>
      <protection locked="0"/>
    </xf>
    <xf numFmtId="0" fontId="3" fillId="0" borderId="1"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0" borderId="1" xfId="0" applyFont="1" applyBorder="1" applyAlignment="1" applyProtection="1">
      <alignment vertical="center"/>
    </xf>
    <xf numFmtId="0" fontId="3" fillId="0" borderId="70" xfId="0" applyFont="1" applyBorder="1" applyAlignment="1" applyProtection="1">
      <alignment vertical="center"/>
    </xf>
    <xf numFmtId="0" fontId="3" fillId="0" borderId="0" xfId="0" applyFont="1" applyBorder="1" applyAlignment="1" applyProtection="1">
      <alignment vertical="center"/>
    </xf>
    <xf numFmtId="0" fontId="3" fillId="0" borderId="30" xfId="0" applyFont="1" applyBorder="1" applyAlignment="1" applyProtection="1">
      <alignment vertical="center"/>
    </xf>
    <xf numFmtId="0" fontId="3" fillId="0" borderId="20"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64"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3" fillId="0" borderId="29" xfId="0" applyFont="1" applyFill="1" applyBorder="1" applyAlignment="1" applyProtection="1">
      <alignment horizontal="center" vertical="center" textRotation="255"/>
    </xf>
    <xf numFmtId="0" fontId="3" fillId="0" borderId="91" xfId="0" applyFont="1" applyFill="1" applyBorder="1" applyAlignment="1" applyProtection="1">
      <alignment horizontal="center" vertical="center" textRotation="255"/>
    </xf>
    <xf numFmtId="0" fontId="3" fillId="0" borderId="21"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47" xfId="0" applyFont="1" applyFill="1" applyBorder="1" applyAlignment="1" applyProtection="1">
      <alignment horizontal="center" vertical="center" shrinkToFit="1"/>
    </xf>
    <xf numFmtId="177" fontId="21" fillId="0" borderId="21" xfId="0" applyNumberFormat="1" applyFont="1" applyFill="1" applyBorder="1" applyAlignment="1" applyProtection="1">
      <alignment horizontal="center" vertical="center" shrinkToFit="1"/>
    </xf>
    <xf numFmtId="0" fontId="21" fillId="0" borderId="15" xfId="0" applyFont="1" applyFill="1" applyBorder="1" applyAlignment="1" applyProtection="1">
      <alignment horizontal="center" vertical="center" shrinkToFit="1"/>
    </xf>
    <xf numFmtId="0" fontId="21" fillId="0" borderId="47"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4" fillId="0" borderId="0" xfId="0" applyFont="1" applyAlignment="1" applyProtection="1">
      <alignment horizontal="center" vertical="center"/>
    </xf>
    <xf numFmtId="177" fontId="21" fillId="0" borderId="108" xfId="0" applyNumberFormat="1" applyFont="1" applyFill="1" applyBorder="1" applyAlignment="1" applyProtection="1">
      <alignment vertical="center"/>
    </xf>
    <xf numFmtId="177" fontId="21" fillId="0" borderId="105" xfId="0" applyNumberFormat="1" applyFont="1" applyFill="1" applyBorder="1" applyAlignment="1" applyProtection="1">
      <alignment vertical="center"/>
    </xf>
    <xf numFmtId="177" fontId="21" fillId="0" borderId="107" xfId="0" applyNumberFormat="1" applyFont="1" applyFill="1" applyBorder="1" applyAlignment="1" applyProtection="1">
      <alignment vertical="center"/>
    </xf>
    <xf numFmtId="0" fontId="3" fillId="0" borderId="0"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2" borderId="35" xfId="0"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shrinkToFit="1"/>
    </xf>
    <xf numFmtId="0" fontId="3" fillId="0" borderId="30" xfId="0" applyFont="1" applyFill="1" applyBorder="1" applyAlignment="1" applyProtection="1">
      <alignment horizontal="center" vertical="center" shrinkToFit="1"/>
    </xf>
    <xf numFmtId="0" fontId="3" fillId="0" borderId="52" xfId="0" applyFont="1" applyFill="1" applyBorder="1" applyAlignment="1" applyProtection="1">
      <alignment horizontal="center" vertical="center" shrinkToFit="1"/>
    </xf>
    <xf numFmtId="0" fontId="3" fillId="0" borderId="48" xfId="0" applyFont="1" applyFill="1" applyBorder="1" applyAlignment="1" applyProtection="1">
      <alignment horizontal="center" vertical="center" shrinkToFit="1"/>
    </xf>
    <xf numFmtId="0" fontId="3" fillId="0" borderId="124" xfId="0" applyFont="1" applyFill="1" applyBorder="1" applyAlignment="1" applyProtection="1">
      <alignment horizontal="center" vertical="center" shrinkToFit="1"/>
    </xf>
    <xf numFmtId="199" fontId="22" fillId="0" borderId="114" xfId="0" applyNumberFormat="1" applyFont="1" applyFill="1" applyBorder="1" applyAlignment="1" applyProtection="1">
      <alignment horizontal="center" vertical="center" shrinkToFit="1"/>
    </xf>
    <xf numFmtId="199" fontId="22" fillId="0" borderId="124" xfId="0" applyNumberFormat="1" applyFont="1" applyFill="1" applyBorder="1" applyAlignment="1" applyProtection="1">
      <alignment horizontal="center" vertical="center" shrinkToFit="1"/>
    </xf>
    <xf numFmtId="0" fontId="72" fillId="0" borderId="29" xfId="0" applyFont="1" applyFill="1" applyBorder="1" applyAlignment="1" applyProtection="1">
      <alignment horizontal="center" vertical="center" textRotation="255"/>
    </xf>
    <xf numFmtId="0" fontId="29" fillId="0" borderId="143" xfId="0" applyFont="1" applyFill="1" applyBorder="1" applyAlignment="1" applyProtection="1">
      <alignment horizontal="center" vertical="center" textRotation="255"/>
    </xf>
    <xf numFmtId="177" fontId="3" fillId="2" borderId="87" xfId="0" applyNumberFormat="1" applyFont="1" applyFill="1" applyBorder="1" applyAlignment="1" applyProtection="1">
      <alignment horizontal="right" vertical="center"/>
      <protection locked="0"/>
    </xf>
    <xf numFmtId="177" fontId="3" fillId="2" borderId="88" xfId="0" applyNumberFormat="1" applyFont="1" applyFill="1" applyBorder="1" applyAlignment="1" applyProtection="1">
      <alignment horizontal="right" vertical="center"/>
      <protection locked="0"/>
    </xf>
    <xf numFmtId="177" fontId="3" fillId="2" borderId="102" xfId="0" applyNumberFormat="1" applyFont="1" applyFill="1" applyBorder="1" applyAlignment="1" applyProtection="1">
      <alignment horizontal="right" vertical="center"/>
      <protection locked="0"/>
    </xf>
    <xf numFmtId="177" fontId="21" fillId="0" borderId="104" xfId="0" applyNumberFormat="1" applyFont="1" applyFill="1" applyBorder="1" applyAlignment="1" applyProtection="1">
      <alignment horizontal="right" vertical="center"/>
    </xf>
    <xf numFmtId="0" fontId="21" fillId="0" borderId="105" xfId="0" applyFont="1" applyFill="1" applyBorder="1" applyAlignment="1" applyProtection="1">
      <alignment horizontal="right" vertical="center"/>
    </xf>
    <xf numFmtId="0" fontId="21" fillId="0" borderId="106" xfId="0" applyFont="1" applyFill="1" applyBorder="1" applyAlignment="1" applyProtection="1">
      <alignment horizontal="right" vertical="center"/>
    </xf>
    <xf numFmtId="0" fontId="3" fillId="2" borderId="0" xfId="0" applyFont="1" applyFill="1" applyBorder="1" applyAlignment="1" applyProtection="1">
      <alignment vertical="center"/>
      <protection locked="0"/>
    </xf>
    <xf numFmtId="0" fontId="3" fillId="2" borderId="35" xfId="0" applyFont="1" applyFill="1" applyBorder="1" applyAlignment="1" applyProtection="1">
      <alignment vertical="center"/>
      <protection locked="0"/>
    </xf>
    <xf numFmtId="58" fontId="3" fillId="0" borderId="34"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2" borderId="34" xfId="0" applyFont="1" applyFill="1" applyBorder="1" applyAlignment="1" applyProtection="1">
      <alignment vertical="center"/>
      <protection locked="0"/>
    </xf>
    <xf numFmtId="0" fontId="3" fillId="2" borderId="30" xfId="0" applyFont="1" applyFill="1" applyBorder="1" applyAlignment="1" applyProtection="1">
      <alignment vertical="center"/>
      <protection locked="0"/>
    </xf>
    <xf numFmtId="0" fontId="3" fillId="2" borderId="37" xfId="0" applyFont="1" applyFill="1" applyBorder="1" applyAlignment="1" applyProtection="1">
      <alignment vertical="center"/>
      <protection locked="0"/>
    </xf>
    <xf numFmtId="177" fontId="3" fillId="0" borderId="87" xfId="0" applyNumberFormat="1" applyFont="1" applyFill="1" applyBorder="1" applyAlignment="1" applyProtection="1">
      <alignment horizontal="right" vertical="center"/>
    </xf>
    <xf numFmtId="177" fontId="3" fillId="0" borderId="88" xfId="0" applyNumberFormat="1" applyFont="1" applyFill="1" applyBorder="1" applyAlignment="1" applyProtection="1">
      <alignment horizontal="right" vertical="center"/>
    </xf>
    <xf numFmtId="202" fontId="3" fillId="2" borderId="114" xfId="0" applyNumberFormat="1" applyFont="1" applyFill="1" applyBorder="1" applyAlignment="1" applyProtection="1">
      <alignment horizontal="center" vertical="center" shrinkToFit="1"/>
    </xf>
    <xf numFmtId="202" fontId="3" fillId="2" borderId="124" xfId="0" applyNumberFormat="1" applyFont="1" applyFill="1" applyBorder="1" applyAlignment="1" applyProtection="1">
      <alignment horizontal="center" vertical="center" shrinkToFit="1"/>
    </xf>
    <xf numFmtId="0" fontId="3" fillId="0" borderId="124" xfId="0" applyFont="1" applyFill="1" applyBorder="1" applyAlignment="1" applyProtection="1">
      <alignment horizontal="left" vertical="center" shrinkToFit="1"/>
    </xf>
    <xf numFmtId="0" fontId="3" fillId="0" borderId="32" xfId="0" applyFont="1" applyBorder="1" applyAlignment="1" applyProtection="1">
      <alignment horizontal="center" vertical="center"/>
    </xf>
    <xf numFmtId="0" fontId="3" fillId="0" borderId="104" xfId="0" applyFont="1" applyFill="1" applyBorder="1" applyAlignment="1" applyProtection="1">
      <alignment horizontal="center" vertical="center"/>
    </xf>
    <xf numFmtId="0" fontId="3" fillId="0" borderId="105" xfId="0" applyFont="1" applyFill="1" applyBorder="1" applyAlignment="1" applyProtection="1">
      <alignment horizontal="center" vertical="center"/>
    </xf>
    <xf numFmtId="0" fontId="3" fillId="0" borderId="107" xfId="0" applyFont="1" applyFill="1" applyBorder="1" applyAlignment="1" applyProtection="1">
      <alignment horizontal="center" vertical="center"/>
    </xf>
    <xf numFmtId="177" fontId="21" fillId="0" borderId="108" xfId="0" applyNumberFormat="1" applyFont="1" applyFill="1" applyBorder="1" applyAlignment="1" applyProtection="1">
      <alignment horizontal="right" vertical="center"/>
    </xf>
    <xf numFmtId="0" fontId="3" fillId="2" borderId="32" xfId="0" applyFont="1" applyFill="1" applyBorder="1" applyAlignment="1" applyProtection="1">
      <alignment vertical="center"/>
      <protection locked="0"/>
    </xf>
    <xf numFmtId="0" fontId="3" fillId="2" borderId="33" xfId="0" applyFont="1" applyFill="1" applyBorder="1" applyAlignment="1" applyProtection="1">
      <alignment vertical="center"/>
      <protection locked="0"/>
    </xf>
    <xf numFmtId="0" fontId="3" fillId="0" borderId="125" xfId="0" applyFont="1" applyFill="1" applyBorder="1" applyAlignment="1" applyProtection="1">
      <alignment horizontal="center" vertical="center"/>
    </xf>
    <xf numFmtId="0" fontId="3" fillId="0" borderId="126" xfId="0" applyFont="1" applyFill="1" applyBorder="1" applyAlignment="1" applyProtection="1">
      <alignment horizontal="center" vertical="center"/>
    </xf>
    <xf numFmtId="0" fontId="3" fillId="0" borderId="127" xfId="0" applyFont="1" applyFill="1" applyBorder="1" applyAlignment="1" applyProtection="1">
      <alignment horizontal="center" vertical="center"/>
    </xf>
    <xf numFmtId="177" fontId="3" fillId="0" borderId="89" xfId="0" applyNumberFormat="1" applyFont="1" applyFill="1" applyBorder="1" applyAlignment="1" applyProtection="1">
      <alignment horizontal="right" vertical="center"/>
    </xf>
    <xf numFmtId="0" fontId="3" fillId="0" borderId="20"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0" borderId="64" xfId="0" applyFont="1" applyFill="1" applyBorder="1" applyAlignment="1" applyProtection="1">
      <alignment horizontal="left" vertical="center" shrinkToFit="1"/>
    </xf>
    <xf numFmtId="0" fontId="3" fillId="0" borderId="87" xfId="0" applyFont="1" applyFill="1" applyBorder="1" applyAlignment="1" applyProtection="1">
      <alignment vertical="center" shrinkToFit="1"/>
    </xf>
    <xf numFmtId="0" fontId="3" fillId="0" borderId="88" xfId="0" applyFont="1" applyFill="1" applyBorder="1" applyAlignment="1" applyProtection="1">
      <alignment vertical="center" shrinkToFit="1"/>
    </xf>
    <xf numFmtId="0" fontId="3" fillId="0" borderId="89" xfId="0" applyFont="1" applyFill="1" applyBorder="1" applyAlignment="1" applyProtection="1">
      <alignment vertical="center" shrinkToFit="1"/>
    </xf>
    <xf numFmtId="177" fontId="21" fillId="0" borderId="64" xfId="0" applyNumberFormat="1" applyFont="1" applyFill="1" applyBorder="1" applyAlignment="1" applyProtection="1">
      <alignment horizontal="right" vertical="center"/>
    </xf>
    <xf numFmtId="200" fontId="3" fillId="2" borderId="114" xfId="0" applyNumberFormat="1" applyFont="1" applyFill="1" applyBorder="1" applyAlignment="1" applyProtection="1">
      <alignment horizontal="center" vertical="center" shrinkToFit="1"/>
    </xf>
    <xf numFmtId="200" fontId="3" fillId="2" borderId="124" xfId="0" applyNumberFormat="1" applyFont="1" applyFill="1" applyBorder="1" applyAlignment="1" applyProtection="1">
      <alignment horizontal="center" vertical="center" shrinkToFit="1"/>
    </xf>
    <xf numFmtId="0" fontId="0" fillId="0" borderId="30" xfId="0" applyBorder="1" applyAlignment="1">
      <alignment horizontal="left" vertical="center" shrinkToFit="1"/>
    </xf>
    <xf numFmtId="0" fontId="0" fillId="0" borderId="42" xfId="0" applyBorder="1" applyAlignment="1">
      <alignment horizontal="center" vertical="center"/>
    </xf>
    <xf numFmtId="0" fontId="0" fillId="0" borderId="40" xfId="0" applyBorder="1" applyAlignment="1">
      <alignment horizontal="center" vertical="center"/>
    </xf>
    <xf numFmtId="0" fontId="0" fillId="2" borderId="43" xfId="0" applyFill="1" applyBorder="1" applyAlignment="1">
      <alignment horizontal="center" vertical="center"/>
    </xf>
    <xf numFmtId="0" fontId="0" fillId="2" borderId="24" xfId="0" applyFill="1" applyBorder="1" applyAlignment="1">
      <alignment horizontal="center" vertical="center"/>
    </xf>
    <xf numFmtId="0" fontId="0" fillId="0" borderId="45" xfId="0" applyBorder="1" applyAlignment="1">
      <alignment horizontal="center" vertical="center"/>
    </xf>
    <xf numFmtId="0" fontId="0" fillId="2" borderId="1" xfId="0" applyFill="1" applyBorder="1" applyAlignment="1">
      <alignment horizontal="center" vertical="center"/>
    </xf>
    <xf numFmtId="0" fontId="78" fillId="0" borderId="22" xfId="0" applyFont="1" applyBorder="1" applyAlignment="1">
      <alignment horizontal="left" vertical="top" wrapText="1"/>
    </xf>
    <xf numFmtId="0" fontId="78" fillId="0" borderId="18" xfId="0" applyFont="1" applyBorder="1" applyAlignment="1">
      <alignment horizontal="left" vertical="top" wrapText="1"/>
    </xf>
    <xf numFmtId="0" fontId="78" fillId="0" borderId="65" xfId="0" applyFont="1" applyBorder="1" applyAlignment="1">
      <alignment horizontal="left" vertical="top" wrapText="1"/>
    </xf>
    <xf numFmtId="0" fontId="30" fillId="0" borderId="0" xfId="0" applyFont="1" applyAlignment="1">
      <alignment horizontal="left" vertical="center" wrapText="1"/>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77" fillId="0" borderId="21" xfId="0" applyFont="1" applyBorder="1" applyAlignment="1">
      <alignment horizontal="left" vertical="top" wrapText="1"/>
    </xf>
    <xf numFmtId="0" fontId="77" fillId="0" borderId="15" xfId="0" applyFont="1" applyBorder="1" applyAlignment="1">
      <alignment horizontal="left" vertical="top" wrapText="1"/>
    </xf>
    <xf numFmtId="0" fontId="77" fillId="0" borderId="47" xfId="0" applyFont="1" applyBorder="1" applyAlignment="1">
      <alignment horizontal="left" vertical="top" wrapText="1"/>
    </xf>
    <xf numFmtId="0" fontId="77" fillId="0" borderId="0" xfId="0" applyFont="1" applyAlignment="1">
      <alignment horizontal="left" vertical="center"/>
    </xf>
    <xf numFmtId="0" fontId="77" fillId="0" borderId="30" xfId="0" applyFont="1" applyBorder="1" applyAlignment="1">
      <alignment horizontal="center" vertical="center"/>
    </xf>
    <xf numFmtId="0" fontId="77" fillId="0" borderId="142" xfId="0" applyFont="1" applyBorder="1" applyAlignment="1">
      <alignment horizontal="center" vertical="center"/>
    </xf>
    <xf numFmtId="0" fontId="77" fillId="0" borderId="26" xfId="0" applyFont="1" applyBorder="1" applyAlignment="1">
      <alignment horizontal="center" vertical="center"/>
    </xf>
    <xf numFmtId="0" fontId="77" fillId="0" borderId="84" xfId="0" applyFont="1" applyBorder="1" applyAlignment="1">
      <alignment horizontal="center" vertical="center"/>
    </xf>
    <xf numFmtId="0" fontId="77" fillId="0" borderId="36" xfId="0" applyFont="1" applyBorder="1" applyAlignment="1">
      <alignment horizontal="left" vertical="center" wrapText="1"/>
    </xf>
    <xf numFmtId="0" fontId="77" fillId="0" borderId="30" xfId="0" applyFont="1" applyBorder="1" applyAlignment="1">
      <alignment horizontal="left" vertical="center" wrapText="1"/>
    </xf>
    <xf numFmtId="0" fontId="77" fillId="0" borderId="37" xfId="0" applyFont="1" applyBorder="1" applyAlignment="1">
      <alignment horizontal="left" vertical="center" wrapText="1"/>
    </xf>
    <xf numFmtId="38" fontId="57" fillId="0" borderId="0" xfId="1" applyFont="1" applyAlignment="1">
      <alignment horizontal="center" vertical="center"/>
    </xf>
    <xf numFmtId="38" fontId="56" fillId="0" borderId="30" xfId="1" applyFont="1" applyFill="1" applyBorder="1" applyAlignment="1">
      <alignment horizontal="center" vertical="center"/>
    </xf>
    <xf numFmtId="38" fontId="56" fillId="0" borderId="30" xfId="1" applyFont="1" applyFill="1" applyBorder="1" applyAlignment="1" applyProtection="1">
      <alignment horizontal="left" vertical="center" shrinkToFit="1"/>
      <protection locked="0"/>
    </xf>
    <xf numFmtId="38" fontId="56" fillId="0" borderId="11" xfId="1" applyFont="1" applyBorder="1" applyAlignment="1">
      <alignment horizontal="left" vertical="center"/>
    </xf>
    <xf numFmtId="38" fontId="56" fillId="0" borderId="12" xfId="1" applyFont="1" applyBorder="1" applyAlignment="1">
      <alignment horizontal="left" vertical="center"/>
    </xf>
    <xf numFmtId="38" fontId="56" fillId="0" borderId="13" xfId="1" applyFont="1" applyBorder="1" applyAlignment="1">
      <alignment horizontal="left" vertical="center"/>
    </xf>
    <xf numFmtId="38" fontId="56" fillId="0" borderId="3" xfId="1" applyFont="1" applyFill="1" applyBorder="1" applyAlignment="1">
      <alignment horizontal="center" vertical="center"/>
    </xf>
    <xf numFmtId="38" fontId="56" fillId="0" borderId="4" xfId="1" applyFont="1" applyFill="1" applyBorder="1" applyAlignment="1">
      <alignment horizontal="center" vertical="center"/>
    </xf>
    <xf numFmtId="38" fontId="56" fillId="0" borderId="4" xfId="1" applyFont="1" applyFill="1" applyBorder="1" applyAlignment="1" applyProtection="1">
      <alignment horizontal="center" vertical="center"/>
      <protection locked="0"/>
    </xf>
    <xf numFmtId="38" fontId="56" fillId="0" borderId="31" xfId="1" applyFont="1" applyBorder="1" applyAlignment="1">
      <alignment horizontal="left" vertical="center" wrapText="1"/>
    </xf>
    <xf numFmtId="38" fontId="56" fillId="0" borderId="32" xfId="1" applyFont="1" applyBorder="1" applyAlignment="1">
      <alignment horizontal="left" vertical="center" wrapText="1"/>
    </xf>
    <xf numFmtId="38" fontId="56" fillId="0" borderId="56" xfId="1" applyFont="1" applyBorder="1" applyAlignment="1">
      <alignment horizontal="left" vertical="center" wrapText="1"/>
    </xf>
    <xf numFmtId="38" fontId="56" fillId="0" borderId="60" xfId="1" applyFont="1" applyBorder="1" applyAlignment="1">
      <alignment horizontal="left" vertical="center" wrapText="1"/>
    </xf>
    <xf numFmtId="38" fontId="56" fillId="0" borderId="9" xfId="1" applyFont="1" applyBorder="1" applyAlignment="1">
      <alignment horizontal="left" vertical="center" wrapText="1"/>
    </xf>
    <xf numFmtId="38" fontId="56" fillId="0" borderId="10" xfId="1" applyFont="1" applyBorder="1" applyAlignment="1">
      <alignment horizontal="left" vertical="center" wrapText="1"/>
    </xf>
    <xf numFmtId="38" fontId="56" fillId="0" borderId="54" xfId="1" applyFont="1" applyFill="1" applyBorder="1" applyAlignment="1">
      <alignment horizontal="right" vertical="center"/>
    </xf>
    <xf numFmtId="38" fontId="56" fillId="0" borderId="32" xfId="1" applyFont="1" applyFill="1" applyBorder="1" applyAlignment="1">
      <alignment horizontal="right" vertical="center"/>
    </xf>
    <xf numFmtId="38" fontId="56" fillId="0" borderId="55" xfId="1" applyFont="1" applyFill="1" applyBorder="1" applyAlignment="1">
      <alignment horizontal="right" vertical="center"/>
    </xf>
    <xf numFmtId="38" fontId="56" fillId="0" borderId="30" xfId="1" applyFont="1" applyFill="1" applyBorder="1" applyAlignment="1">
      <alignment horizontal="right" vertical="center"/>
    </xf>
    <xf numFmtId="38" fontId="56" fillId="0" borderId="32" xfId="1" applyFont="1" applyBorder="1" applyAlignment="1">
      <alignment horizontal="left" vertical="center"/>
    </xf>
    <xf numFmtId="38" fontId="56" fillId="0" borderId="56" xfId="1" applyFont="1" applyBorder="1" applyAlignment="1">
      <alignment horizontal="left" vertical="center"/>
    </xf>
    <xf numFmtId="38" fontId="56" fillId="0" borderId="30" xfId="1" applyFont="1" applyBorder="1" applyAlignment="1">
      <alignment horizontal="left" vertical="center"/>
    </xf>
    <xf numFmtId="38" fontId="56" fillId="0" borderId="66" xfId="1" applyFont="1" applyBorder="1" applyAlignment="1">
      <alignment horizontal="left" vertical="center"/>
    </xf>
    <xf numFmtId="38" fontId="56" fillId="0" borderId="25" xfId="1" applyFont="1" applyBorder="1" applyAlignment="1">
      <alignment horizontal="center" vertical="center"/>
    </xf>
    <xf numFmtId="38" fontId="56" fillId="0" borderId="26" xfId="1" applyFont="1" applyBorder="1" applyAlignment="1">
      <alignment horizontal="center" vertical="center"/>
    </xf>
    <xf numFmtId="38" fontId="56" fillId="0" borderId="27" xfId="1" applyFont="1" applyBorder="1" applyAlignment="1">
      <alignment horizontal="center" vertical="center"/>
    </xf>
    <xf numFmtId="38" fontId="56" fillId="0" borderId="17" xfId="1" applyFont="1" applyBorder="1" applyAlignment="1">
      <alignment horizontal="left" vertical="center"/>
    </xf>
    <xf numFmtId="38" fontId="56" fillId="0" borderId="18" xfId="1" applyFont="1" applyBorder="1" applyAlignment="1">
      <alignment horizontal="left" vertical="center"/>
    </xf>
    <xf numFmtId="38" fontId="56" fillId="0" borderId="19" xfId="1" applyFont="1" applyBorder="1" applyAlignment="1">
      <alignment horizontal="left" vertical="center"/>
    </xf>
    <xf numFmtId="38" fontId="56" fillId="0" borderId="17" xfId="1" applyFont="1" applyBorder="1" applyAlignment="1">
      <alignment horizontal="right" vertical="center"/>
    </xf>
    <xf numFmtId="38" fontId="56" fillId="0" borderId="18" xfId="1" applyFont="1" applyBorder="1" applyAlignment="1">
      <alignment horizontal="right" vertical="center"/>
    </xf>
    <xf numFmtId="38" fontId="82" fillId="0" borderId="3" xfId="1" applyFont="1" applyBorder="1" applyAlignment="1">
      <alignment horizontal="left" vertical="center"/>
    </xf>
    <xf numFmtId="38" fontId="82" fillId="0" borderId="12" xfId="1" applyFont="1" applyBorder="1" applyAlignment="1">
      <alignment horizontal="left" vertical="center"/>
    </xf>
    <xf numFmtId="38" fontId="82" fillId="0" borderId="13" xfId="1" applyFont="1" applyBorder="1" applyAlignment="1">
      <alignment horizontal="left" vertical="center"/>
    </xf>
    <xf numFmtId="38" fontId="56" fillId="0" borderId="31" xfId="1" applyFont="1" applyBorder="1" applyAlignment="1">
      <alignment horizontal="left" vertical="center"/>
    </xf>
    <xf numFmtId="38" fontId="56" fillId="0" borderId="6" xfId="1" applyFont="1" applyFill="1" applyBorder="1" applyAlignment="1">
      <alignment horizontal="right" vertical="center"/>
    </xf>
    <xf numFmtId="38" fontId="56" fillId="0" borderId="0" xfId="1" applyFont="1" applyFill="1" applyBorder="1" applyAlignment="1">
      <alignment horizontal="right" vertical="center"/>
    </xf>
    <xf numFmtId="38" fontId="56" fillId="0" borderId="0" xfId="1" applyFont="1" applyBorder="1" applyAlignment="1">
      <alignment horizontal="left" vertical="center"/>
    </xf>
    <xf numFmtId="38" fontId="56" fillId="0" borderId="7" xfId="1" applyFont="1" applyBorder="1" applyAlignment="1">
      <alignment horizontal="left" vertical="center"/>
    </xf>
    <xf numFmtId="38" fontId="56" fillId="0" borderId="34" xfId="1" applyFont="1" applyBorder="1" applyAlignment="1">
      <alignment horizontal="left" vertical="center"/>
    </xf>
    <xf numFmtId="190" fontId="56" fillId="0" borderId="6" xfId="24" applyNumberFormat="1" applyFont="1" applyBorder="1" applyAlignment="1">
      <alignment horizontal="right" vertical="center"/>
    </xf>
    <xf numFmtId="190" fontId="56" fillId="0" borderId="0" xfId="24" applyNumberFormat="1" applyFont="1" applyBorder="1" applyAlignment="1">
      <alignment horizontal="right" vertical="center"/>
    </xf>
    <xf numFmtId="38" fontId="56" fillId="0" borderId="0" xfId="1" applyFont="1" applyFill="1" applyAlignment="1">
      <alignment horizontal="center" vertical="center"/>
    </xf>
    <xf numFmtId="38" fontId="56" fillId="0" borderId="30" xfId="1" applyFont="1" applyBorder="1" applyAlignment="1">
      <alignment horizontal="center" vertical="center" shrinkToFit="1"/>
    </xf>
    <xf numFmtId="38" fontId="56" fillId="0" borderId="0" xfId="1" applyFont="1" applyAlignment="1">
      <alignment horizontal="right" vertical="center"/>
    </xf>
    <xf numFmtId="38" fontId="56" fillId="0" borderId="30" xfId="1" applyFont="1" applyFill="1" applyBorder="1" applyAlignment="1" applyProtection="1">
      <alignment horizontal="center" vertical="center" shrinkToFit="1"/>
      <protection locked="0"/>
    </xf>
    <xf numFmtId="38" fontId="56" fillId="0" borderId="3" xfId="1" applyFont="1" applyBorder="1" applyAlignment="1">
      <alignment horizontal="left" vertical="center" wrapText="1"/>
    </xf>
    <xf numFmtId="38" fontId="56" fillId="0" borderId="4" xfId="1" applyFont="1" applyBorder="1" applyAlignment="1">
      <alignment horizontal="left" vertical="center" wrapText="1"/>
    </xf>
    <xf numFmtId="38" fontId="56" fillId="0" borderId="5" xfId="1" applyFont="1" applyBorder="1" applyAlignment="1">
      <alignment horizontal="left" vertical="center" wrapText="1"/>
    </xf>
    <xf numFmtId="38" fontId="56" fillId="0" borderId="8" xfId="1" applyFont="1" applyBorder="1" applyAlignment="1">
      <alignment horizontal="left" vertical="center" wrapText="1"/>
    </xf>
    <xf numFmtId="38" fontId="56" fillId="2" borderId="3" xfId="1" applyFont="1" applyFill="1" applyBorder="1" applyAlignment="1" applyProtection="1">
      <alignment horizontal="center" vertical="center"/>
      <protection locked="0"/>
    </xf>
    <xf numFmtId="38" fontId="56" fillId="2" borderId="4" xfId="1" applyFont="1" applyFill="1" applyBorder="1" applyAlignment="1" applyProtection="1">
      <alignment horizontal="center" vertical="center"/>
      <protection locked="0"/>
    </xf>
    <xf numFmtId="38" fontId="56" fillId="2" borderId="5" xfId="1" applyFont="1" applyFill="1" applyBorder="1" applyAlignment="1" applyProtection="1">
      <alignment horizontal="center" vertical="center"/>
      <protection locked="0"/>
    </xf>
    <xf numFmtId="38" fontId="56" fillId="2" borderId="8" xfId="1" applyFont="1" applyFill="1" applyBorder="1" applyAlignment="1" applyProtection="1">
      <alignment horizontal="center" vertical="center"/>
      <protection locked="0"/>
    </xf>
    <xf numFmtId="38" fontId="56" fillId="2" borderId="9" xfId="1" applyFont="1" applyFill="1" applyBorder="1" applyAlignment="1" applyProtection="1">
      <alignment horizontal="center" vertical="center"/>
      <protection locked="0"/>
    </xf>
    <xf numFmtId="38" fontId="56" fillId="2" borderId="10" xfId="1" applyFont="1" applyFill="1" applyBorder="1" applyAlignment="1" applyProtection="1">
      <alignment horizontal="center" vertical="center"/>
      <protection locked="0"/>
    </xf>
    <xf numFmtId="0" fontId="58" fillId="0" borderId="0" xfId="0" applyFont="1" applyAlignment="1">
      <alignment horizontal="center" vertical="center"/>
    </xf>
    <xf numFmtId="38" fontId="56" fillId="0" borderId="25" xfId="0" applyNumberFormat="1" applyFont="1" applyBorder="1" applyAlignment="1">
      <alignment horizontal="left" vertical="center" shrinkToFit="1"/>
    </xf>
    <xf numFmtId="38" fontId="56" fillId="0" borderId="27" xfId="0" applyNumberFormat="1" applyFont="1" applyBorder="1" applyAlignment="1">
      <alignment horizontal="left" vertical="center" shrinkToFit="1"/>
    </xf>
    <xf numFmtId="0" fontId="55" fillId="0" borderId="67" xfId="0" applyFont="1" applyBorder="1" applyAlignment="1">
      <alignment horizontal="center" vertical="center"/>
    </xf>
    <xf numFmtId="0" fontId="55" fillId="0" borderId="135" xfId="0" applyFont="1" applyBorder="1" applyAlignment="1">
      <alignment horizontal="center" vertical="center"/>
    </xf>
    <xf numFmtId="0" fontId="55" fillId="0" borderId="93" xfId="0" applyFont="1" applyBorder="1" applyAlignment="1">
      <alignment horizontal="center" vertical="center"/>
    </xf>
    <xf numFmtId="0" fontId="55" fillId="0" borderId="3" xfId="0" applyFont="1" applyBorder="1" applyAlignment="1">
      <alignment horizontal="center" vertical="center"/>
    </xf>
    <xf numFmtId="0" fontId="55" fillId="0" borderId="4" xfId="0" applyFont="1" applyBorder="1" applyAlignment="1">
      <alignment horizontal="center" vertical="center"/>
    </xf>
    <xf numFmtId="0" fontId="55" fillId="0" borderId="5" xfId="0" applyFont="1" applyBorder="1" applyAlignment="1">
      <alignment horizontal="center" vertical="center"/>
    </xf>
    <xf numFmtId="0" fontId="55" fillId="0" borderId="6" xfId="0" applyFont="1" applyBorder="1" applyAlignment="1">
      <alignment horizontal="center" vertical="center"/>
    </xf>
    <xf numFmtId="0" fontId="55" fillId="0" borderId="0" xfId="0" applyFont="1" applyBorder="1" applyAlignment="1">
      <alignment horizontal="center" vertical="center"/>
    </xf>
    <xf numFmtId="0" fontId="55" fillId="0" borderId="7" xfId="0" applyFont="1" applyBorder="1" applyAlignment="1">
      <alignment horizontal="center" vertical="center"/>
    </xf>
    <xf numFmtId="0" fontId="55" fillId="0" borderId="8" xfId="0" applyFont="1" applyBorder="1" applyAlignment="1">
      <alignment horizontal="center" vertical="center"/>
    </xf>
    <xf numFmtId="0" fontId="55" fillId="0" borderId="9" xfId="0" applyFont="1" applyBorder="1" applyAlignment="1">
      <alignment horizontal="center" vertical="center"/>
    </xf>
    <xf numFmtId="0" fontId="55" fillId="0" borderId="10" xfId="0" applyFont="1" applyBorder="1" applyAlignment="1">
      <alignment horizontal="center" vertical="center"/>
    </xf>
    <xf numFmtId="0" fontId="55" fillId="0" borderId="67" xfId="0" applyFont="1" applyBorder="1" applyAlignment="1">
      <alignment horizontal="center" vertical="center" wrapText="1"/>
    </xf>
    <xf numFmtId="0" fontId="55" fillId="0" borderId="135" xfId="0" applyFont="1" applyBorder="1" applyAlignment="1">
      <alignment horizontal="center" vertical="center" wrapText="1"/>
    </xf>
    <xf numFmtId="0" fontId="55" fillId="0" borderId="93"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9" fillId="0" borderId="75" xfId="0" applyFont="1" applyBorder="1" applyAlignment="1">
      <alignment horizontal="center" vertical="center" wrapText="1"/>
    </xf>
    <xf numFmtId="0" fontId="59" fillId="0" borderId="86" xfId="0" applyFont="1" applyBorder="1" applyAlignment="1">
      <alignment horizontal="center" vertical="center" wrapText="1"/>
    </xf>
    <xf numFmtId="0" fontId="60" fillId="0" borderId="70" xfId="0" applyFont="1" applyBorder="1" applyAlignment="1">
      <alignment horizontal="center" vertical="center" wrapText="1"/>
    </xf>
    <xf numFmtId="0" fontId="60" fillId="0" borderId="79" xfId="0" applyFont="1" applyBorder="1" applyAlignment="1">
      <alignment horizontal="center" vertical="center" wrapText="1"/>
    </xf>
    <xf numFmtId="0" fontId="59" fillId="0" borderId="80" xfId="0" applyFont="1" applyBorder="1" applyAlignment="1">
      <alignment horizontal="center" vertical="center" wrapText="1"/>
    </xf>
    <xf numFmtId="0" fontId="59" fillId="0" borderId="81" xfId="0" applyFont="1" applyBorder="1" applyAlignment="1">
      <alignment horizontal="center" vertical="center" wrapText="1"/>
    </xf>
    <xf numFmtId="0" fontId="55" fillId="0" borderId="70" xfId="0" applyFont="1" applyBorder="1" applyAlignment="1">
      <alignment horizontal="center" vertical="center" wrapText="1"/>
    </xf>
    <xf numFmtId="0" fontId="55" fillId="0" borderId="79" xfId="0" applyFont="1" applyBorder="1" applyAlignment="1">
      <alignment horizontal="center" vertical="center" wrapText="1"/>
    </xf>
    <xf numFmtId="0" fontId="55" fillId="0" borderId="80" xfId="0" applyFont="1" applyBorder="1" applyAlignment="1">
      <alignment horizontal="center" vertical="center"/>
    </xf>
    <xf numFmtId="0" fontId="55" fillId="0" borderId="81" xfId="0" applyFont="1" applyBorder="1" applyAlignment="1">
      <alignment horizontal="center" vertical="center"/>
    </xf>
    <xf numFmtId="0" fontId="56" fillId="2" borderId="47" xfId="0" applyFont="1" applyFill="1" applyBorder="1" applyAlignment="1" applyProtection="1">
      <alignment horizontal="center" vertical="center"/>
      <protection locked="0"/>
    </xf>
    <xf numFmtId="0" fontId="56" fillId="2" borderId="1" xfId="0" applyFont="1" applyFill="1" applyBorder="1" applyAlignment="1" applyProtection="1">
      <alignment horizontal="center" vertical="center"/>
      <protection locked="0"/>
    </xf>
    <xf numFmtId="0" fontId="56" fillId="2" borderId="21" xfId="0" applyFont="1" applyFill="1" applyBorder="1" applyAlignment="1" applyProtection="1">
      <alignment horizontal="center" vertical="center"/>
      <protection locked="0"/>
    </xf>
    <xf numFmtId="0" fontId="55" fillId="0" borderId="128" xfId="0" applyFont="1" applyBorder="1" applyAlignment="1">
      <alignment horizontal="center" vertical="center"/>
    </xf>
    <xf numFmtId="0" fontId="55" fillId="0" borderId="129" xfId="0" applyFont="1" applyBorder="1" applyAlignment="1">
      <alignment horizontal="center" vertical="center"/>
    </xf>
    <xf numFmtId="0" fontId="55" fillId="0" borderId="130" xfId="0" applyFont="1" applyBorder="1" applyAlignment="1">
      <alignment horizontal="center" vertical="center"/>
    </xf>
    <xf numFmtId="0" fontId="56" fillId="2" borderId="37" xfId="0" applyFont="1" applyFill="1" applyBorder="1" applyAlignment="1" applyProtection="1">
      <alignment horizontal="center" vertical="center"/>
      <protection locked="0"/>
    </xf>
    <xf numFmtId="0" fontId="56" fillId="2" borderId="43" xfId="0" applyFont="1" applyFill="1" applyBorder="1" applyAlignment="1" applyProtection="1">
      <alignment horizontal="center" vertical="center"/>
      <protection locked="0"/>
    </xf>
    <xf numFmtId="0" fontId="56" fillId="2" borderId="36" xfId="0" applyFont="1" applyFill="1" applyBorder="1" applyAlignment="1" applyProtection="1">
      <alignment horizontal="center" vertical="center"/>
      <protection locked="0"/>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64" fillId="0" borderId="0" xfId="0" applyFont="1" applyAlignment="1" applyProtection="1">
      <alignment horizontal="center" vertical="center"/>
    </xf>
    <xf numFmtId="58" fontId="7" fillId="2" borderId="1"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xf>
    <xf numFmtId="0" fontId="7" fillId="0" borderId="0" xfId="0" applyFont="1" applyAlignment="1" applyProtection="1">
      <alignment horizontal="center"/>
    </xf>
    <xf numFmtId="0" fontId="7" fillId="0" borderId="30" xfId="0" applyFont="1" applyBorder="1" applyAlignment="1" applyProtection="1">
      <alignment horizontal="center"/>
    </xf>
    <xf numFmtId="0" fontId="49" fillId="0" borderId="31" xfId="0" applyFont="1" applyBorder="1" applyAlignment="1" applyProtection="1">
      <alignment horizontal="left" vertical="center" wrapText="1"/>
    </xf>
    <xf numFmtId="0" fontId="31" fillId="0" borderId="32" xfId="0" applyFont="1" applyBorder="1" applyAlignment="1" applyProtection="1">
      <alignment horizontal="left" vertical="center"/>
    </xf>
    <xf numFmtId="0" fontId="31" fillId="0" borderId="33" xfId="0" applyFont="1" applyBorder="1" applyAlignment="1" applyProtection="1">
      <alignment horizontal="left" vertical="center"/>
    </xf>
    <xf numFmtId="0" fontId="31" fillId="0" borderId="34" xfId="0" applyFont="1" applyBorder="1" applyAlignment="1" applyProtection="1">
      <alignment horizontal="left" vertical="center"/>
    </xf>
    <xf numFmtId="0" fontId="31" fillId="0" borderId="0" xfId="0" applyFont="1" applyBorder="1" applyAlignment="1" applyProtection="1">
      <alignment horizontal="left" vertical="center"/>
    </xf>
    <xf numFmtId="0" fontId="31" fillId="0" borderId="35" xfId="0" applyFont="1" applyBorder="1" applyAlignment="1" applyProtection="1">
      <alignment horizontal="left" vertical="center"/>
    </xf>
    <xf numFmtId="0" fontId="31" fillId="0" borderId="36" xfId="0" applyFont="1" applyBorder="1" applyAlignment="1" applyProtection="1">
      <alignment horizontal="left" vertical="center"/>
    </xf>
    <xf numFmtId="0" fontId="31" fillId="0" borderId="30" xfId="0" applyFont="1" applyBorder="1" applyAlignment="1" applyProtection="1">
      <alignment horizontal="left" vertical="center"/>
    </xf>
    <xf numFmtId="0" fontId="31" fillId="0" borderId="37" xfId="0" applyFont="1" applyBorder="1" applyAlignment="1" applyProtection="1">
      <alignment horizontal="left" vertical="center"/>
    </xf>
    <xf numFmtId="0" fontId="9" fillId="0" borderId="0" xfId="0" applyFont="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shrinkToFit="1"/>
    </xf>
    <xf numFmtId="0" fontId="3" fillId="0" borderId="30" xfId="0" applyFont="1" applyFill="1" applyBorder="1" applyAlignment="1" applyProtection="1">
      <alignment horizontal="left" vertical="center" shrinkToFit="1"/>
    </xf>
    <xf numFmtId="0" fontId="3" fillId="0" borderId="32" xfId="0" applyFont="1" applyFill="1" applyBorder="1" applyAlignment="1" applyProtection="1">
      <alignment horizontal="left" vertical="center" shrinkToFit="1"/>
    </xf>
    <xf numFmtId="0" fontId="10" fillId="0" borderId="30" xfId="0" applyFont="1" applyFill="1" applyBorder="1" applyAlignment="1" applyProtection="1">
      <alignment horizontal="center" vertical="center"/>
    </xf>
    <xf numFmtId="0" fontId="3" fillId="2" borderId="36" xfId="0" applyFont="1" applyFill="1" applyBorder="1" applyAlignment="1" applyProtection="1">
      <alignment vertical="center"/>
      <protection locked="0"/>
    </xf>
    <xf numFmtId="0" fontId="3" fillId="0" borderId="34" xfId="0" applyFont="1" applyBorder="1" applyAlignment="1" applyProtection="1">
      <alignment vertical="top"/>
    </xf>
    <xf numFmtId="0" fontId="3" fillId="0" borderId="0" xfId="0" applyFont="1" applyBorder="1" applyAlignment="1" applyProtection="1">
      <alignment vertical="top"/>
    </xf>
    <xf numFmtId="0" fontId="3" fillId="0" borderId="35" xfId="0" applyFont="1" applyBorder="1" applyAlignment="1" applyProtection="1">
      <alignment vertical="top"/>
    </xf>
    <xf numFmtId="0" fontId="3" fillId="0" borderId="36" xfId="0" applyFont="1" applyBorder="1" applyAlignment="1" applyProtection="1">
      <alignment vertical="top"/>
    </xf>
    <xf numFmtId="0" fontId="3" fillId="0" borderId="30" xfId="0" applyFont="1" applyBorder="1" applyAlignment="1" applyProtection="1">
      <alignment vertical="top"/>
    </xf>
    <xf numFmtId="0" fontId="3" fillId="0" borderId="37" xfId="0" applyFont="1" applyBorder="1" applyAlignment="1" applyProtection="1">
      <alignment vertical="top"/>
    </xf>
    <xf numFmtId="38" fontId="3" fillId="0" borderId="31" xfId="1" applyFont="1" applyFill="1" applyBorder="1" applyAlignment="1" applyProtection="1">
      <alignment horizontal="center" vertical="center" shrinkToFit="1"/>
    </xf>
    <xf numFmtId="38" fontId="3" fillId="0" borderId="32" xfId="1" applyFont="1" applyFill="1" applyBorder="1" applyAlignment="1" applyProtection="1">
      <alignment horizontal="center" vertical="center" shrinkToFit="1"/>
    </xf>
    <xf numFmtId="38" fontId="3" fillId="0" borderId="34" xfId="1" applyFont="1" applyFill="1" applyBorder="1" applyAlignment="1" applyProtection="1">
      <alignment horizontal="center" vertical="center" shrinkToFit="1"/>
    </xf>
    <xf numFmtId="38" fontId="3" fillId="0" borderId="0" xfId="1" applyFont="1" applyFill="1" applyBorder="1" applyAlignment="1" applyProtection="1">
      <alignment horizontal="center" vertical="center" shrinkToFit="1"/>
    </xf>
    <xf numFmtId="38" fontId="3" fillId="0" borderId="36" xfId="1" applyFont="1" applyFill="1" applyBorder="1" applyAlignment="1" applyProtection="1">
      <alignment horizontal="center" vertical="center" shrinkToFit="1"/>
    </xf>
    <xf numFmtId="38" fontId="3" fillId="0" borderId="30" xfId="1" applyFont="1" applyFill="1" applyBorder="1" applyAlignment="1" applyProtection="1">
      <alignment horizontal="center" vertical="center" shrinkToFit="1"/>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35" xfId="0" applyFont="1" applyFill="1" applyBorder="1" applyAlignment="1" applyProtection="1">
      <alignment horizontal="left" vertical="center"/>
    </xf>
    <xf numFmtId="0" fontId="3" fillId="0" borderId="30" xfId="0" applyFont="1" applyFill="1" applyBorder="1" applyAlignment="1" applyProtection="1">
      <alignment horizontal="left" vertical="center"/>
    </xf>
    <xf numFmtId="0" fontId="3" fillId="0" borderId="37" xfId="0" applyFont="1" applyFill="1" applyBorder="1" applyAlignment="1" applyProtection="1">
      <alignment horizontal="left" vertical="center"/>
    </xf>
    <xf numFmtId="38" fontId="3" fillId="0" borderId="31" xfId="0" applyNumberFormat="1"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xf>
    <xf numFmtId="0" fontId="3" fillId="0" borderId="36" xfId="0" applyFont="1" applyFill="1" applyBorder="1" applyAlignment="1" applyProtection="1">
      <alignment horizontal="center" vertical="center" shrinkToFit="1"/>
    </xf>
    <xf numFmtId="58" fontId="3" fillId="0" borderId="1" xfId="0" applyNumberFormat="1" applyFont="1" applyBorder="1" applyAlignment="1" applyProtection="1">
      <alignment horizontal="center" vertical="center"/>
    </xf>
    <xf numFmtId="0" fontId="3" fillId="2" borderId="31" xfId="0" applyFont="1" applyFill="1" applyBorder="1" applyAlignment="1" applyProtection="1">
      <alignment vertical="center"/>
      <protection locked="0"/>
    </xf>
    <xf numFmtId="0" fontId="3" fillId="0" borderId="31" xfId="0" applyFont="1" applyFill="1" applyBorder="1" applyAlignment="1" applyProtection="1">
      <alignment vertical="center"/>
    </xf>
    <xf numFmtId="0" fontId="3" fillId="0" borderId="32" xfId="0" applyFont="1" applyFill="1" applyBorder="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35"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31" xfId="0" applyFont="1" applyFill="1" applyBorder="1" applyAlignment="1" applyProtection="1">
      <alignment horizontal="left" vertical="center" shrinkToFit="1"/>
    </xf>
    <xf numFmtId="0" fontId="3" fillId="0" borderId="33" xfId="0" applyFont="1" applyFill="1" applyBorder="1" applyAlignment="1" applyProtection="1">
      <alignment horizontal="left" vertical="center" shrinkToFit="1"/>
    </xf>
    <xf numFmtId="0" fontId="3" fillId="0" borderId="36" xfId="0" applyFont="1" applyFill="1" applyBorder="1" applyAlignment="1" applyProtection="1">
      <alignment horizontal="left" vertical="center" shrinkToFit="1"/>
    </xf>
    <xf numFmtId="0" fontId="3" fillId="0" borderId="37" xfId="0" applyFont="1" applyFill="1" applyBorder="1" applyAlignment="1" applyProtection="1">
      <alignment horizontal="left" vertical="center" shrinkToFi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3" fillId="0" borderId="31" xfId="0" applyFont="1" applyFill="1" applyBorder="1" applyAlignment="1" applyProtection="1">
      <alignment horizontal="left" vertical="center"/>
    </xf>
    <xf numFmtId="0" fontId="3" fillId="0" borderId="36" xfId="0" applyFont="1" applyFill="1" applyBorder="1" applyAlignment="1" applyProtection="1">
      <alignment horizontal="left" vertical="center"/>
    </xf>
    <xf numFmtId="0" fontId="3" fillId="0" borderId="1" xfId="0" applyFont="1" applyFill="1" applyBorder="1" applyAlignment="1" applyProtection="1">
      <alignment horizontal="left" vertical="center" shrinkToFit="1"/>
    </xf>
    <xf numFmtId="0" fontId="10" fillId="0" borderId="1" xfId="0" applyFont="1" applyFill="1" applyBorder="1" applyAlignment="1" applyProtection="1">
      <alignment horizontal="center" vertical="center"/>
    </xf>
    <xf numFmtId="0" fontId="26" fillId="0" borderId="52" xfId="2" applyFont="1" applyFill="1" applyBorder="1" applyAlignment="1" applyProtection="1">
      <alignment vertical="center" shrinkToFit="1"/>
    </xf>
    <xf numFmtId="0" fontId="26" fillId="0" borderId="48" xfId="2" applyFont="1" applyFill="1" applyBorder="1" applyAlignment="1" applyProtection="1">
      <alignment vertical="center" shrinkToFit="1"/>
    </xf>
    <xf numFmtId="0" fontId="26" fillId="0" borderId="53" xfId="2" applyFont="1" applyFill="1" applyBorder="1" applyAlignment="1" applyProtection="1">
      <alignment vertical="center" shrinkToFit="1"/>
    </xf>
    <xf numFmtId="0" fontId="26" fillId="0" borderId="50" xfId="2" applyFont="1" applyFill="1" applyBorder="1" applyAlignment="1" applyProtection="1">
      <alignment vertical="center" shrinkToFit="1"/>
    </xf>
    <xf numFmtId="0" fontId="26" fillId="0" borderId="53" xfId="2" applyFont="1" applyFill="1" applyBorder="1" applyAlignment="1" applyProtection="1">
      <alignment horizontal="left" vertical="center" shrinkToFit="1"/>
    </xf>
    <xf numFmtId="0" fontId="26" fillId="0" borderId="50" xfId="2" applyFont="1" applyFill="1" applyBorder="1" applyAlignment="1" applyProtection="1">
      <alignment horizontal="left" vertical="center" shrinkToFit="1"/>
    </xf>
    <xf numFmtId="177" fontId="26" fillId="2" borderId="53" xfId="3" applyNumberFormat="1" applyFont="1" applyFill="1" applyBorder="1" applyAlignment="1" applyProtection="1">
      <alignment horizontal="right" vertical="center" shrinkToFit="1"/>
      <protection locked="0"/>
    </xf>
    <xf numFmtId="177" fontId="26" fillId="2" borderId="50" xfId="3" applyNumberFormat="1" applyFont="1" applyFill="1" applyBorder="1" applyAlignment="1" applyProtection="1">
      <alignment horizontal="right" vertical="center" shrinkToFit="1"/>
      <protection locked="0"/>
    </xf>
    <xf numFmtId="177" fontId="26" fillId="2" borderId="51" xfId="3" applyNumberFormat="1" applyFont="1" applyFill="1" applyBorder="1" applyAlignment="1" applyProtection="1">
      <alignment horizontal="right" vertical="center" shrinkToFit="1"/>
      <protection locked="0"/>
    </xf>
    <xf numFmtId="0" fontId="26" fillId="2" borderId="50" xfId="2" applyFont="1" applyFill="1" applyBorder="1" applyAlignment="1" applyProtection="1">
      <alignment vertical="center" shrinkToFit="1"/>
      <protection locked="0"/>
    </xf>
    <xf numFmtId="0" fontId="26" fillId="2" borderId="51" xfId="2" applyFont="1" applyFill="1" applyBorder="1" applyAlignment="1" applyProtection="1">
      <alignment vertical="center" shrinkToFit="1"/>
      <protection locked="0"/>
    </xf>
    <xf numFmtId="177" fontId="26" fillId="2" borderId="52" xfId="3" applyNumberFormat="1" applyFont="1" applyFill="1" applyBorder="1" applyAlignment="1" applyProtection="1">
      <alignment horizontal="right" vertical="center" shrinkToFit="1"/>
      <protection locked="0"/>
    </xf>
    <xf numFmtId="177" fontId="26" fillId="2" borderId="48" xfId="3" applyNumberFormat="1" applyFont="1" applyFill="1" applyBorder="1" applyAlignment="1" applyProtection="1">
      <alignment horizontal="right" vertical="center" shrinkToFit="1"/>
      <protection locked="0"/>
    </xf>
    <xf numFmtId="177" fontId="26" fillId="2" borderId="49" xfId="3" applyNumberFormat="1" applyFont="1" applyFill="1" applyBorder="1" applyAlignment="1" applyProtection="1">
      <alignment horizontal="right" vertical="center" shrinkToFit="1"/>
      <protection locked="0"/>
    </xf>
    <xf numFmtId="0" fontId="26" fillId="2" borderId="48" xfId="2" applyFont="1" applyFill="1" applyBorder="1" applyAlignment="1" applyProtection="1">
      <alignment vertical="center" shrinkToFit="1"/>
      <protection locked="0"/>
    </xf>
    <xf numFmtId="0" fontId="26" fillId="2" borderId="49" xfId="2" applyFont="1" applyFill="1" applyBorder="1" applyAlignment="1" applyProtection="1">
      <alignment vertical="center" shrinkToFit="1"/>
      <protection locked="0"/>
    </xf>
    <xf numFmtId="0" fontId="26" fillId="0" borderId="31" xfId="2" applyFont="1" applyFill="1" applyBorder="1" applyAlignment="1" applyProtection="1">
      <alignment vertical="center" shrinkToFit="1"/>
    </xf>
    <xf numFmtId="0" fontId="26" fillId="0" borderId="32" xfId="2" applyFont="1" applyFill="1" applyBorder="1" applyAlignment="1" applyProtection="1">
      <alignment vertical="center" shrinkToFit="1"/>
    </xf>
    <xf numFmtId="0" fontId="26" fillId="0" borderId="62" xfId="2" applyFont="1" applyFill="1" applyBorder="1" applyAlignment="1" applyProtection="1">
      <alignment vertical="center" shrinkToFit="1"/>
    </xf>
    <xf numFmtId="0" fontId="26" fillId="0" borderId="57" xfId="2" applyFont="1" applyFill="1" applyBorder="1" applyAlignment="1" applyProtection="1">
      <alignment vertical="center" shrinkToFit="1"/>
    </xf>
    <xf numFmtId="177" fontId="26" fillId="2" borderId="1" xfId="17" applyNumberFormat="1" applyFont="1" applyFill="1" applyBorder="1" applyAlignment="1" applyProtection="1">
      <alignment horizontal="right" shrinkToFit="1"/>
      <protection locked="0"/>
    </xf>
    <xf numFmtId="0" fontId="26" fillId="2" borderId="1" xfId="16" applyFont="1" applyFill="1" applyBorder="1" applyAlignment="1" applyProtection="1">
      <alignment shrinkToFit="1"/>
      <protection locked="0"/>
    </xf>
    <xf numFmtId="0" fontId="76" fillId="9" borderId="31" xfId="16" applyFont="1" applyFill="1" applyBorder="1" applyAlignment="1" applyProtection="1">
      <alignment horizontal="center" vertical="center" shrinkToFit="1"/>
      <protection locked="0"/>
    </xf>
    <xf numFmtId="0" fontId="76" fillId="9" borderId="32" xfId="16" applyFont="1" applyFill="1" applyBorder="1" applyAlignment="1" applyProtection="1">
      <alignment horizontal="center" vertical="center" shrinkToFit="1"/>
      <protection locked="0"/>
    </xf>
    <xf numFmtId="0" fontId="76" fillId="9" borderId="33" xfId="16" applyFont="1" applyFill="1" applyBorder="1" applyAlignment="1" applyProtection="1">
      <alignment horizontal="center" vertical="center" shrinkToFit="1"/>
      <protection locked="0"/>
    </xf>
    <xf numFmtId="0" fontId="76" fillId="9" borderId="34" xfId="16" applyFont="1" applyFill="1" applyBorder="1" applyAlignment="1" applyProtection="1">
      <alignment horizontal="center" vertical="center" shrinkToFit="1"/>
      <protection locked="0"/>
    </xf>
    <xf numFmtId="0" fontId="76" fillId="9" borderId="0" xfId="16" applyFont="1" applyFill="1" applyBorder="1" applyAlignment="1" applyProtection="1">
      <alignment horizontal="center" vertical="center" shrinkToFit="1"/>
      <protection locked="0"/>
    </xf>
    <xf numFmtId="0" fontId="76" fillId="9" borderId="35" xfId="16" applyFont="1" applyFill="1" applyBorder="1" applyAlignment="1" applyProtection="1">
      <alignment horizontal="center" vertical="center" shrinkToFit="1"/>
      <protection locked="0"/>
    </xf>
    <xf numFmtId="0" fontId="76" fillId="9" borderId="36" xfId="16" applyFont="1" applyFill="1" applyBorder="1" applyAlignment="1" applyProtection="1">
      <alignment horizontal="center" vertical="center" shrinkToFit="1"/>
      <protection locked="0"/>
    </xf>
    <xf numFmtId="0" fontId="76" fillId="9" borderId="30" xfId="16" applyFont="1" applyFill="1" applyBorder="1" applyAlignment="1" applyProtection="1">
      <alignment horizontal="center" vertical="center" shrinkToFit="1"/>
      <protection locked="0"/>
    </xf>
    <xf numFmtId="0" fontId="76" fillId="9" borderId="37" xfId="16" applyFont="1" applyFill="1" applyBorder="1" applyAlignment="1" applyProtection="1">
      <alignment horizontal="center" vertical="center" shrinkToFit="1"/>
      <protection locked="0"/>
    </xf>
    <xf numFmtId="0" fontId="26" fillId="0" borderId="76" xfId="16" applyFont="1" applyFill="1" applyBorder="1" applyAlignment="1" applyProtection="1">
      <alignment shrinkToFit="1"/>
    </xf>
    <xf numFmtId="0" fontId="26" fillId="0" borderId="77" xfId="16" applyFont="1" applyFill="1" applyBorder="1" applyAlignment="1" applyProtection="1">
      <alignment shrinkToFit="1"/>
    </xf>
    <xf numFmtId="177" fontId="26" fillId="0" borderId="76" xfId="17" applyNumberFormat="1" applyFont="1" applyFill="1" applyBorder="1" applyAlignment="1" applyProtection="1">
      <alignment horizontal="right" shrinkToFit="1"/>
    </xf>
    <xf numFmtId="177" fontId="26" fillId="0" borderId="77" xfId="17" applyNumberFormat="1" applyFont="1" applyFill="1" applyBorder="1" applyAlignment="1" applyProtection="1">
      <alignment horizontal="right" shrinkToFit="1"/>
    </xf>
    <xf numFmtId="177" fontId="26" fillId="0" borderId="78" xfId="17" applyNumberFormat="1" applyFont="1" applyFill="1" applyBorder="1" applyAlignment="1" applyProtection="1">
      <alignment horizontal="right" shrinkToFit="1"/>
    </xf>
    <xf numFmtId="0" fontId="26" fillId="0" borderId="62" xfId="16" applyFont="1" applyFill="1" applyBorder="1" applyAlignment="1" applyProtection="1">
      <alignment shrinkToFit="1"/>
    </xf>
    <xf numFmtId="0" fontId="26" fillId="0" borderId="57" xfId="16" applyFont="1" applyFill="1" applyBorder="1" applyAlignment="1" applyProtection="1">
      <alignment shrinkToFit="1"/>
    </xf>
    <xf numFmtId="0" fontId="26" fillId="0" borderId="52" xfId="16" applyFont="1" applyFill="1" applyBorder="1" applyAlignment="1" applyProtection="1">
      <alignment shrinkToFit="1"/>
    </xf>
    <xf numFmtId="0" fontId="26" fillId="0" borderId="48" xfId="16" applyFont="1" applyFill="1" applyBorder="1" applyAlignment="1" applyProtection="1">
      <alignment shrinkToFit="1"/>
    </xf>
    <xf numFmtId="177" fontId="26" fillId="0" borderId="52" xfId="17" applyNumberFormat="1" applyFont="1" applyFill="1" applyBorder="1" applyAlignment="1" applyProtection="1">
      <alignment horizontal="right" shrinkToFit="1"/>
    </xf>
    <xf numFmtId="177" fontId="26" fillId="0" borderId="48" xfId="17" applyNumberFormat="1" applyFont="1" applyFill="1" applyBorder="1" applyAlignment="1" applyProtection="1">
      <alignment horizontal="right" shrinkToFit="1"/>
    </xf>
    <xf numFmtId="177" fontId="26" fillId="0" borderId="49" xfId="17" applyNumberFormat="1" applyFont="1" applyFill="1" applyBorder="1" applyAlignment="1" applyProtection="1">
      <alignment horizontal="right" shrinkToFit="1"/>
    </xf>
    <xf numFmtId="177" fontId="26" fillId="0" borderId="62" xfId="17" applyNumberFormat="1" applyFont="1" applyFill="1" applyBorder="1" applyAlignment="1" applyProtection="1">
      <alignment horizontal="right" shrinkToFit="1"/>
    </xf>
    <xf numFmtId="177" fontId="26" fillId="0" borderId="57" xfId="17" applyNumberFormat="1" applyFont="1" applyFill="1" applyBorder="1" applyAlignment="1" applyProtection="1">
      <alignment horizontal="right" shrinkToFit="1"/>
    </xf>
    <xf numFmtId="177" fontId="26" fillId="0" borderId="63" xfId="17" applyNumberFormat="1" applyFont="1" applyFill="1" applyBorder="1" applyAlignment="1" applyProtection="1">
      <alignment horizontal="right" shrinkToFit="1"/>
    </xf>
    <xf numFmtId="0" fontId="26" fillId="0" borderId="53" xfId="16" applyFont="1" applyFill="1" applyBorder="1" applyAlignment="1" applyProtection="1">
      <alignment shrinkToFit="1"/>
    </xf>
    <xf numFmtId="0" fontId="26" fillId="0" borderId="50" xfId="16" applyFont="1" applyFill="1" applyBorder="1" applyAlignment="1" applyProtection="1">
      <alignment shrinkToFit="1"/>
    </xf>
    <xf numFmtId="0" fontId="26" fillId="0" borderId="51" xfId="16" applyFont="1" applyFill="1" applyBorder="1" applyAlignment="1" applyProtection="1">
      <alignment shrinkToFit="1"/>
    </xf>
    <xf numFmtId="0" fontId="26" fillId="2" borderId="50" xfId="2" applyFont="1" applyFill="1" applyBorder="1" applyAlignment="1" applyProtection="1">
      <alignment horizontal="left" vertical="center" shrinkToFit="1"/>
      <protection locked="0"/>
    </xf>
    <xf numFmtId="0" fontId="26" fillId="2" borderId="51" xfId="2" applyFont="1" applyFill="1" applyBorder="1" applyAlignment="1" applyProtection="1">
      <alignment horizontal="left" vertical="center" shrinkToFit="1"/>
      <protection locked="0"/>
    </xf>
    <xf numFmtId="177" fontId="26" fillId="0" borderId="31" xfId="3" applyNumberFormat="1" applyFont="1" applyFill="1" applyBorder="1" applyAlignment="1" applyProtection="1">
      <alignment vertical="center" shrinkToFit="1"/>
    </xf>
    <xf numFmtId="177" fontId="26" fillId="0" borderId="32" xfId="3" applyNumberFormat="1" applyFont="1" applyFill="1" applyBorder="1" applyAlignment="1" applyProtection="1">
      <alignment vertical="center" shrinkToFit="1"/>
    </xf>
    <xf numFmtId="177" fontId="26" fillId="0" borderId="33" xfId="3" applyNumberFormat="1" applyFont="1" applyFill="1" applyBorder="1" applyAlignment="1" applyProtection="1">
      <alignment vertical="center" shrinkToFit="1"/>
    </xf>
    <xf numFmtId="0" fontId="26" fillId="0" borderId="1" xfId="16" applyFont="1" applyFill="1" applyBorder="1" applyAlignment="1" applyProtection="1">
      <alignment horizontal="center"/>
    </xf>
    <xf numFmtId="177" fontId="26" fillId="0" borderId="1" xfId="17" applyNumberFormat="1" applyFont="1" applyFill="1" applyBorder="1" applyAlignment="1" applyProtection="1">
      <alignment horizontal="right" shrinkToFit="1"/>
    </xf>
    <xf numFmtId="0" fontId="26" fillId="0" borderId="1" xfId="16" applyFont="1" applyFill="1" applyBorder="1" applyAlignment="1" applyProtection="1"/>
    <xf numFmtId="0" fontId="26" fillId="0" borderId="43" xfId="16" applyFont="1" applyFill="1" applyBorder="1" applyAlignment="1" applyProtection="1"/>
    <xf numFmtId="0" fontId="26" fillId="0" borderId="36" xfId="16" applyFont="1" applyFill="1" applyBorder="1" applyAlignment="1" applyProtection="1"/>
    <xf numFmtId="0" fontId="26" fillId="0" borderId="1" xfId="2" applyFont="1" applyFill="1" applyBorder="1" applyAlignment="1" applyProtection="1">
      <alignment horizontal="center" vertical="center"/>
    </xf>
    <xf numFmtId="0" fontId="26" fillId="0" borderId="33" xfId="2" applyFont="1" applyFill="1" applyBorder="1" applyAlignment="1" applyProtection="1">
      <alignment vertical="center" shrinkToFit="1"/>
    </xf>
    <xf numFmtId="0" fontId="26" fillId="2" borderId="57" xfId="2" applyFont="1" applyFill="1" applyBorder="1" applyAlignment="1" applyProtection="1">
      <alignment horizontal="left" vertical="center" shrinkToFit="1"/>
      <protection locked="0"/>
    </xf>
    <xf numFmtId="0" fontId="26" fillId="2" borderId="63" xfId="2" applyFont="1" applyFill="1" applyBorder="1" applyAlignment="1" applyProtection="1">
      <alignment horizontal="left" vertical="center" shrinkToFit="1"/>
      <protection locked="0"/>
    </xf>
    <xf numFmtId="0" fontId="26" fillId="0" borderId="1" xfId="16" applyFont="1" applyFill="1" applyBorder="1" applyAlignment="1" applyProtection="1">
      <alignment shrinkToFit="1"/>
      <protection locked="0"/>
    </xf>
    <xf numFmtId="0" fontId="26" fillId="0" borderId="31" xfId="2" applyFont="1" applyFill="1" applyBorder="1" applyAlignment="1" applyProtection="1">
      <alignment vertical="center"/>
    </xf>
    <xf numFmtId="0" fontId="26" fillId="0" borderId="32" xfId="2" applyFont="1" applyFill="1" applyBorder="1" applyAlignment="1" applyProtection="1">
      <alignment vertical="center"/>
    </xf>
    <xf numFmtId="0" fontId="26" fillId="0" borderId="33" xfId="2" applyFont="1" applyFill="1" applyBorder="1" applyAlignment="1" applyProtection="1">
      <alignment vertical="center"/>
    </xf>
    <xf numFmtId="177" fontId="26" fillId="2" borderId="62" xfId="3" applyNumberFormat="1" applyFont="1" applyFill="1" applyBorder="1" applyAlignment="1" applyProtection="1">
      <alignment horizontal="right" vertical="center" shrinkToFit="1"/>
      <protection locked="0"/>
    </xf>
    <xf numFmtId="177" fontId="26" fillId="2" borderId="57" xfId="3" applyNumberFormat="1" applyFont="1" applyFill="1" applyBorder="1" applyAlignment="1" applyProtection="1">
      <alignment horizontal="right" vertical="center" shrinkToFit="1"/>
      <protection locked="0"/>
    </xf>
    <xf numFmtId="177" fontId="26" fillId="2" borderId="63" xfId="3" applyNumberFormat="1" applyFont="1" applyFill="1" applyBorder="1" applyAlignment="1" applyProtection="1">
      <alignment horizontal="right" vertical="center" shrinkToFit="1"/>
      <protection locked="0"/>
    </xf>
    <xf numFmtId="0" fontId="26" fillId="0" borderId="21" xfId="16" applyFont="1" applyFill="1" applyBorder="1" applyAlignment="1" applyProtection="1"/>
    <xf numFmtId="0" fontId="26" fillId="0" borderId="21" xfId="2" applyFont="1" applyFill="1" applyBorder="1" applyAlignment="1" applyProtection="1">
      <alignment horizontal="center" vertical="center"/>
    </xf>
    <xf numFmtId="0" fontId="26" fillId="0" borderId="15" xfId="2" applyFont="1" applyFill="1" applyBorder="1" applyAlignment="1" applyProtection="1">
      <alignment horizontal="center" vertical="center"/>
    </xf>
    <xf numFmtId="0" fontId="26" fillId="0" borderId="47" xfId="2" applyFont="1" applyFill="1" applyBorder="1" applyAlignment="1" applyProtection="1">
      <alignment horizontal="center" vertical="center"/>
    </xf>
    <xf numFmtId="0" fontId="26" fillId="2" borderId="57" xfId="2" applyFont="1" applyFill="1" applyBorder="1" applyAlignment="1" applyProtection="1">
      <alignment vertical="center" shrinkToFit="1"/>
      <protection locked="0"/>
    </xf>
    <xf numFmtId="0" fontId="26" fillId="2" borderId="63" xfId="2" applyFont="1" applyFill="1" applyBorder="1" applyAlignment="1" applyProtection="1">
      <alignment vertical="center" shrinkToFit="1"/>
      <protection locked="0"/>
    </xf>
    <xf numFmtId="0" fontId="26" fillId="0" borderId="21" xfId="16" applyFont="1" applyFill="1" applyBorder="1" applyAlignment="1" applyProtection="1">
      <alignment horizontal="center"/>
    </xf>
    <xf numFmtId="0" fontId="26" fillId="0" borderId="15" xfId="16" applyFont="1" applyFill="1" applyBorder="1" applyAlignment="1" applyProtection="1">
      <alignment horizontal="center"/>
    </xf>
    <xf numFmtId="177" fontId="26" fillId="0" borderId="21" xfId="16" applyNumberFormat="1" applyFont="1" applyFill="1" applyBorder="1" applyAlignment="1" applyProtection="1">
      <alignment horizontal="right"/>
    </xf>
    <xf numFmtId="177" fontId="26" fillId="0" borderId="15" xfId="16" applyNumberFormat="1" applyFont="1" applyFill="1" applyBorder="1" applyAlignment="1" applyProtection="1">
      <alignment horizontal="right"/>
    </xf>
    <xf numFmtId="177" fontId="26" fillId="0" borderId="47" xfId="16" applyNumberFormat="1" applyFont="1" applyFill="1" applyBorder="1" applyAlignment="1" applyProtection="1">
      <alignment horizontal="right"/>
    </xf>
    <xf numFmtId="0" fontId="26" fillId="0" borderId="15" xfId="16" applyFont="1" applyFill="1" applyBorder="1" applyAlignment="1" applyProtection="1"/>
    <xf numFmtId="0" fontId="26" fillId="0" borderId="47" xfId="16" applyFont="1" applyFill="1" applyBorder="1" applyAlignment="1" applyProtection="1"/>
    <xf numFmtId="0" fontId="26" fillId="0" borderId="21" xfId="2" applyFont="1" applyFill="1" applyBorder="1" applyAlignment="1" applyProtection="1">
      <alignment vertical="center"/>
    </xf>
    <xf numFmtId="0" fontId="26" fillId="0" borderId="15" xfId="2" applyFont="1" applyFill="1" applyBorder="1" applyAlignment="1" applyProtection="1">
      <alignment vertical="center"/>
    </xf>
    <xf numFmtId="0" fontId="26" fillId="0" borderId="47" xfId="2" applyFont="1" applyFill="1" applyBorder="1" applyAlignment="1" applyProtection="1">
      <alignment vertical="center"/>
    </xf>
    <xf numFmtId="177" fontId="26" fillId="2" borderId="31" xfId="2" applyNumberFormat="1" applyFont="1" applyFill="1" applyBorder="1" applyAlignment="1" applyProtection="1">
      <alignment horizontal="right" vertical="center"/>
      <protection locked="0"/>
    </xf>
    <xf numFmtId="177" fontId="26" fillId="2" borderId="32" xfId="2" applyNumberFormat="1" applyFont="1" applyFill="1" applyBorder="1" applyAlignment="1" applyProtection="1">
      <alignment horizontal="right" vertical="center"/>
      <protection locked="0"/>
    </xf>
    <xf numFmtId="177" fontId="26" fillId="2" borderId="33" xfId="2" applyNumberFormat="1" applyFont="1" applyFill="1" applyBorder="1" applyAlignment="1" applyProtection="1">
      <alignment horizontal="right" vertical="center"/>
      <protection locked="0"/>
    </xf>
    <xf numFmtId="0" fontId="31" fillId="0" borderId="15" xfId="16" applyFont="1" applyFill="1" applyBorder="1" applyAlignment="1" applyProtection="1"/>
    <xf numFmtId="0" fontId="31" fillId="0" borderId="47" xfId="16" applyFont="1" applyFill="1" applyBorder="1" applyAlignment="1" applyProtection="1"/>
    <xf numFmtId="0" fontId="26" fillId="0" borderId="32" xfId="2" applyFont="1" applyFill="1" applyBorder="1" applyAlignment="1" applyProtection="1">
      <alignment vertical="center"/>
      <protection locked="0"/>
    </xf>
    <xf numFmtId="0" fontId="26" fillId="0" borderId="33" xfId="2" applyFont="1" applyFill="1" applyBorder="1" applyAlignment="1" applyProtection="1">
      <alignment vertical="center"/>
      <protection locked="0"/>
    </xf>
    <xf numFmtId="0" fontId="26" fillId="2" borderId="21" xfId="2" applyFont="1" applyFill="1" applyBorder="1" applyAlignment="1" applyProtection="1">
      <alignment vertical="center"/>
      <protection locked="0"/>
    </xf>
    <xf numFmtId="0" fontId="26" fillId="2" borderId="15" xfId="2" applyFont="1" applyFill="1" applyBorder="1" applyAlignment="1" applyProtection="1">
      <alignment vertical="center"/>
      <protection locked="0"/>
    </xf>
    <xf numFmtId="0" fontId="26" fillId="2" borderId="47" xfId="2" applyFont="1" applyFill="1" applyBorder="1" applyAlignment="1" applyProtection="1">
      <alignment vertical="center"/>
      <protection locked="0"/>
    </xf>
    <xf numFmtId="0" fontId="26" fillId="2" borderId="32" xfId="2" applyFont="1" applyFill="1" applyBorder="1" applyAlignment="1" applyProtection="1">
      <alignment vertical="center"/>
      <protection locked="0"/>
    </xf>
    <xf numFmtId="0" fontId="26" fillId="2" borderId="33" xfId="2" applyFont="1" applyFill="1" applyBorder="1" applyAlignment="1" applyProtection="1">
      <alignment vertical="center"/>
      <protection locked="0"/>
    </xf>
    <xf numFmtId="0" fontId="25" fillId="0" borderId="0" xfId="16" applyFont="1" applyFill="1" applyAlignment="1" applyProtection="1">
      <alignment horizontal="center"/>
    </xf>
    <xf numFmtId="0" fontId="26" fillId="0" borderId="30" xfId="16" applyFont="1" applyFill="1" applyBorder="1" applyAlignment="1" applyProtection="1">
      <alignment horizontal="left" shrinkToFit="1"/>
    </xf>
    <xf numFmtId="0" fontId="26" fillId="0" borderId="31" xfId="16" applyFont="1" applyFill="1" applyBorder="1" applyAlignment="1" applyProtection="1">
      <alignment horizontal="left" shrinkToFit="1"/>
    </xf>
    <xf numFmtId="0" fontId="26" fillId="0" borderId="32" xfId="16" applyFont="1" applyFill="1" applyBorder="1" applyAlignment="1" applyProtection="1">
      <alignment horizontal="left" shrinkToFit="1"/>
    </xf>
    <xf numFmtId="177" fontId="26" fillId="0" borderId="31" xfId="17" applyNumberFormat="1" applyFont="1" applyFill="1" applyBorder="1" applyAlignment="1" applyProtection="1">
      <alignment horizontal="right" shrinkToFit="1"/>
    </xf>
    <xf numFmtId="177" fontId="26" fillId="0" borderId="32" xfId="17" applyNumberFormat="1" applyFont="1" applyFill="1" applyBorder="1" applyAlignment="1" applyProtection="1">
      <alignment horizontal="right" shrinkToFit="1"/>
    </xf>
    <xf numFmtId="177" fontId="26" fillId="0" borderId="33" xfId="17" applyNumberFormat="1" applyFont="1" applyFill="1" applyBorder="1" applyAlignment="1" applyProtection="1">
      <alignment horizontal="right" shrinkToFit="1"/>
    </xf>
    <xf numFmtId="0" fontId="26" fillId="0" borderId="31" xfId="16" applyFont="1" applyFill="1" applyBorder="1" applyAlignment="1" applyProtection="1">
      <alignment shrinkToFit="1"/>
    </xf>
    <xf numFmtId="0" fontId="26" fillId="0" borderId="32" xfId="16" applyFont="1" applyFill="1" applyBorder="1" applyAlignment="1" applyProtection="1">
      <alignment shrinkToFit="1"/>
    </xf>
    <xf numFmtId="0" fontId="26" fillId="0" borderId="33" xfId="16" applyFont="1" applyFill="1" applyBorder="1" applyAlignment="1" applyProtection="1">
      <alignment shrinkToFit="1"/>
    </xf>
    <xf numFmtId="177" fontId="26" fillId="2" borderId="52" xfId="17" applyNumberFormat="1" applyFont="1" applyFill="1" applyBorder="1" applyAlignment="1" applyProtection="1">
      <alignment horizontal="right" shrinkToFit="1"/>
      <protection locked="0"/>
    </xf>
    <xf numFmtId="177" fontId="26" fillId="2" borderId="48" xfId="17" applyNumberFormat="1" applyFont="1" applyFill="1" applyBorder="1" applyAlignment="1" applyProtection="1">
      <alignment horizontal="right" shrinkToFit="1"/>
      <protection locked="0"/>
    </xf>
    <xf numFmtId="177" fontId="26" fillId="2" borderId="49" xfId="17" applyNumberFormat="1" applyFont="1" applyFill="1" applyBorder="1" applyAlignment="1" applyProtection="1">
      <alignment horizontal="right" shrinkToFit="1"/>
      <protection locked="0"/>
    </xf>
    <xf numFmtId="0" fontId="26" fillId="2" borderId="52" xfId="16" applyFont="1" applyFill="1" applyBorder="1" applyAlignment="1" applyProtection="1">
      <alignment shrinkToFit="1"/>
      <protection locked="0"/>
    </xf>
    <xf numFmtId="0" fontId="26" fillId="2" borderId="48" xfId="16" applyFont="1" applyFill="1" applyBorder="1" applyAlignment="1" applyProtection="1">
      <alignment shrinkToFit="1"/>
      <protection locked="0"/>
    </xf>
    <xf numFmtId="0" fontId="26" fillId="2" borderId="49" xfId="16" applyFont="1" applyFill="1" applyBorder="1" applyAlignment="1" applyProtection="1">
      <alignment shrinkToFit="1"/>
      <protection locked="0"/>
    </xf>
    <xf numFmtId="177" fontId="26" fillId="2" borderId="62" xfId="17" applyNumberFormat="1" applyFont="1" applyFill="1" applyBorder="1" applyAlignment="1" applyProtection="1">
      <alignment horizontal="right" shrinkToFit="1"/>
      <protection locked="0"/>
    </xf>
    <xf numFmtId="177" fontId="26" fillId="2" borderId="57" xfId="17" applyNumberFormat="1" applyFont="1" applyFill="1" applyBorder="1" applyAlignment="1" applyProtection="1">
      <alignment horizontal="right" shrinkToFit="1"/>
      <protection locked="0"/>
    </xf>
    <xf numFmtId="177" fontId="26" fillId="2" borderId="63" xfId="17" applyNumberFormat="1" applyFont="1" applyFill="1" applyBorder="1" applyAlignment="1" applyProtection="1">
      <alignment horizontal="right" shrinkToFit="1"/>
      <protection locked="0"/>
    </xf>
    <xf numFmtId="0" fontId="26" fillId="2" borderId="62" xfId="16" quotePrefix="1" applyFont="1" applyFill="1" applyBorder="1" applyAlignment="1" applyProtection="1">
      <alignment shrinkToFit="1"/>
      <protection locked="0"/>
    </xf>
    <xf numFmtId="0" fontId="26" fillId="2" borderId="57" xfId="16" applyFont="1" applyFill="1" applyBorder="1" applyAlignment="1" applyProtection="1">
      <alignment shrinkToFit="1"/>
      <protection locked="0"/>
    </xf>
    <xf numFmtId="0" fontId="26" fillId="2" borderId="63" xfId="16" applyFont="1" applyFill="1" applyBorder="1" applyAlignment="1" applyProtection="1">
      <alignment shrinkToFit="1"/>
      <protection locked="0"/>
    </xf>
    <xf numFmtId="177" fontId="26" fillId="2" borderId="53" xfId="17" applyNumberFormat="1" applyFont="1" applyFill="1" applyBorder="1" applyAlignment="1" applyProtection="1">
      <alignment horizontal="right" shrinkToFit="1"/>
      <protection locked="0"/>
    </xf>
    <xf numFmtId="177" fontId="26" fillId="2" borderId="50" xfId="17" applyNumberFormat="1" applyFont="1" applyFill="1" applyBorder="1" applyAlignment="1" applyProtection="1">
      <alignment horizontal="right" shrinkToFit="1"/>
      <protection locked="0"/>
    </xf>
    <xf numFmtId="177" fontId="26" fillId="2" borderId="51" xfId="17" applyNumberFormat="1" applyFont="1" applyFill="1" applyBorder="1" applyAlignment="1" applyProtection="1">
      <alignment horizontal="right" shrinkToFit="1"/>
      <protection locked="0"/>
    </xf>
    <xf numFmtId="0" fontId="26" fillId="2" borderId="53" xfId="16" applyFont="1" applyFill="1" applyBorder="1" applyAlignment="1" applyProtection="1">
      <alignment shrinkToFit="1"/>
      <protection locked="0"/>
    </xf>
    <xf numFmtId="0" fontId="26" fillId="2" borderId="50" xfId="16" applyFont="1" applyFill="1" applyBorder="1" applyAlignment="1" applyProtection="1">
      <alignment shrinkToFit="1"/>
      <protection locked="0"/>
    </xf>
    <xf numFmtId="0" fontId="26" fillId="2" borderId="51" xfId="16" applyFont="1" applyFill="1" applyBorder="1" applyAlignment="1" applyProtection="1">
      <alignment shrinkToFit="1"/>
      <protection locked="0"/>
    </xf>
    <xf numFmtId="177" fontId="26" fillId="0" borderId="87" xfId="17" applyNumberFormat="1" applyFont="1" applyFill="1" applyBorder="1" applyAlignment="1" applyProtection="1">
      <alignment horizontal="right" shrinkToFit="1"/>
    </xf>
    <xf numFmtId="177" fontId="26" fillId="0" borderId="88" xfId="17" applyNumberFormat="1" applyFont="1" applyFill="1" applyBorder="1" applyAlignment="1" applyProtection="1">
      <alignment horizontal="right" shrinkToFit="1"/>
    </xf>
    <xf numFmtId="177" fontId="26" fillId="0" borderId="89" xfId="17" applyNumberFormat="1" applyFont="1" applyFill="1" applyBorder="1" applyAlignment="1" applyProtection="1">
      <alignment horizontal="right" shrinkToFit="1"/>
    </xf>
    <xf numFmtId="0" fontId="26" fillId="2" borderId="52" xfId="2" applyFont="1" applyFill="1" applyBorder="1" applyAlignment="1" applyProtection="1">
      <alignment horizontal="left" vertical="center" shrinkToFit="1"/>
      <protection locked="0"/>
    </xf>
    <xf numFmtId="0" fontId="26" fillId="2" borderId="48" xfId="2" applyFont="1" applyFill="1" applyBorder="1" applyAlignment="1" applyProtection="1">
      <alignment horizontal="left" vertical="center" shrinkToFit="1"/>
      <protection locked="0"/>
    </xf>
    <xf numFmtId="0" fontId="26" fillId="2" borderId="49" xfId="2" applyFont="1" applyFill="1" applyBorder="1" applyAlignment="1" applyProtection="1">
      <alignment horizontal="left" vertical="center" shrinkToFit="1"/>
      <protection locked="0"/>
    </xf>
    <xf numFmtId="0" fontId="26" fillId="0" borderId="31" xfId="2" applyFont="1" applyFill="1" applyBorder="1" applyAlignment="1" applyProtection="1">
      <alignment horizontal="left" vertical="center" shrinkToFit="1"/>
    </xf>
    <xf numFmtId="0" fontId="26" fillId="0" borderId="32" xfId="2" applyFont="1" applyFill="1" applyBorder="1" applyAlignment="1" applyProtection="1">
      <alignment horizontal="left" vertical="center" shrinkToFit="1"/>
    </xf>
    <xf numFmtId="0" fontId="26" fillId="0" borderId="1" xfId="16" applyFont="1" applyFill="1" applyBorder="1" applyAlignment="1" applyProtection="1">
      <alignment shrinkToFit="1"/>
    </xf>
    <xf numFmtId="0" fontId="16" fillId="0" borderId="30" xfId="2" applyFont="1" applyFill="1" applyBorder="1" applyAlignment="1" applyProtection="1">
      <alignment horizontal="left" vertical="center" shrinkToFit="1"/>
    </xf>
    <xf numFmtId="0" fontId="16" fillId="0" borderId="0" xfId="2" applyFont="1" applyBorder="1" applyAlignment="1" applyProtection="1">
      <alignment horizontal="center" vertical="center"/>
    </xf>
    <xf numFmtId="183" fontId="17" fillId="0" borderId="3" xfId="2" applyNumberFormat="1" applyFont="1" applyBorder="1" applyAlignment="1" applyProtection="1">
      <alignment horizontal="center" vertical="center"/>
    </xf>
    <xf numFmtId="183" fontId="17" fillId="0" borderId="4" xfId="2" applyNumberFormat="1" applyFont="1" applyBorder="1" applyAlignment="1" applyProtection="1">
      <alignment horizontal="center" vertical="center"/>
    </xf>
    <xf numFmtId="183" fontId="17" fillId="0" borderId="5" xfId="2" applyNumberFormat="1" applyFont="1" applyBorder="1" applyAlignment="1" applyProtection="1">
      <alignment horizontal="center" vertical="center"/>
    </xf>
    <xf numFmtId="183" fontId="17" fillId="0" borderId="55" xfId="2" applyNumberFormat="1" applyFont="1" applyBorder="1" applyAlignment="1" applyProtection="1">
      <alignment horizontal="center" vertical="center"/>
    </xf>
    <xf numFmtId="183" fontId="17" fillId="0" borderId="30" xfId="2" applyNumberFormat="1" applyFont="1" applyBorder="1" applyAlignment="1" applyProtection="1">
      <alignment horizontal="center" vertical="center"/>
    </xf>
    <xf numFmtId="183" fontId="17" fillId="0" borderId="66" xfId="2" applyNumberFormat="1" applyFont="1" applyBorder="1" applyAlignment="1" applyProtection="1">
      <alignment horizontal="center" vertical="center"/>
    </xf>
    <xf numFmtId="0" fontId="13" fillId="0" borderId="3" xfId="2" applyBorder="1" applyAlignment="1" applyProtection="1">
      <alignment horizontal="center" vertical="center"/>
    </xf>
    <xf numFmtId="0" fontId="13" fillId="0" borderId="4" xfId="2" applyBorder="1" applyAlignment="1" applyProtection="1">
      <alignment horizontal="center" vertical="center"/>
    </xf>
    <xf numFmtId="0" fontId="13" fillId="0" borderId="5" xfId="2" applyBorder="1" applyAlignment="1" applyProtection="1">
      <alignment horizontal="center" vertical="center"/>
    </xf>
    <xf numFmtId="0" fontId="13" fillId="0" borderId="55" xfId="2" applyBorder="1" applyAlignment="1" applyProtection="1">
      <alignment horizontal="center" vertical="center"/>
    </xf>
    <xf numFmtId="0" fontId="13" fillId="0" borderId="30" xfId="2" applyBorder="1" applyAlignment="1" applyProtection="1">
      <alignment horizontal="center" vertical="center"/>
    </xf>
    <xf numFmtId="0" fontId="13" fillId="0" borderId="66" xfId="2" applyBorder="1" applyAlignment="1" applyProtection="1">
      <alignment horizontal="center" vertical="center"/>
    </xf>
    <xf numFmtId="0" fontId="19" fillId="2" borderId="6" xfId="2" applyFont="1" applyFill="1" applyBorder="1" applyAlignment="1" applyProtection="1">
      <alignment horizontal="left" vertical="center" wrapText="1"/>
      <protection locked="0"/>
    </xf>
    <xf numFmtId="0" fontId="19" fillId="2" borderId="0" xfId="2" applyFont="1" applyFill="1" applyBorder="1" applyAlignment="1" applyProtection="1">
      <alignment horizontal="left" vertical="center"/>
      <protection locked="0"/>
    </xf>
    <xf numFmtId="0" fontId="19" fillId="2" borderId="7" xfId="2" applyFont="1" applyFill="1" applyBorder="1" applyAlignment="1" applyProtection="1">
      <alignment horizontal="left" vertical="center"/>
      <protection locked="0"/>
    </xf>
    <xf numFmtId="0" fontId="19" fillId="2" borderId="6" xfId="2" applyFont="1" applyFill="1" applyBorder="1" applyAlignment="1" applyProtection="1">
      <alignment horizontal="left" vertical="center"/>
      <protection locked="0"/>
    </xf>
    <xf numFmtId="0" fontId="19" fillId="2" borderId="8" xfId="2" applyFont="1" applyFill="1" applyBorder="1" applyAlignment="1" applyProtection="1">
      <alignment horizontal="left" vertical="center"/>
      <protection locked="0"/>
    </xf>
    <xf numFmtId="0" fontId="19" fillId="2" borderId="9" xfId="2" applyFont="1" applyFill="1" applyBorder="1" applyAlignment="1" applyProtection="1">
      <alignment horizontal="left" vertical="center"/>
      <protection locked="0"/>
    </xf>
    <xf numFmtId="0" fontId="19" fillId="2" borderId="10" xfId="2" applyFont="1" applyFill="1" applyBorder="1" applyAlignment="1" applyProtection="1">
      <alignment horizontal="left" vertical="center"/>
      <protection locked="0"/>
    </xf>
    <xf numFmtId="0" fontId="13" fillId="0" borderId="1" xfId="15" applyFont="1" applyFill="1" applyBorder="1" applyAlignment="1">
      <alignment vertical="center" shrinkToFit="1"/>
    </xf>
    <xf numFmtId="0" fontId="13" fillId="0" borderId="21" xfId="15" applyFont="1" applyFill="1" applyBorder="1" applyAlignment="1">
      <alignment vertical="center" shrinkToFit="1"/>
    </xf>
    <xf numFmtId="0" fontId="13" fillId="0" borderId="15" xfId="15" applyFont="1" applyFill="1" applyBorder="1" applyAlignment="1">
      <alignment vertical="center" shrinkToFit="1"/>
    </xf>
    <xf numFmtId="0" fontId="13" fillId="0" borderId="47" xfId="15" applyFont="1" applyFill="1" applyBorder="1" applyAlignment="1">
      <alignment vertical="center" shrinkToFit="1"/>
    </xf>
    <xf numFmtId="0" fontId="38" fillId="0" borderId="1" xfId="15" applyFont="1" applyFill="1" applyBorder="1" applyAlignment="1">
      <alignment vertical="center" shrinkToFit="1"/>
    </xf>
    <xf numFmtId="0" fontId="38" fillId="0" borderId="1" xfId="15" applyFont="1" applyFill="1" applyBorder="1" applyAlignment="1">
      <alignment vertical="center" wrapText="1" shrinkToFit="1"/>
    </xf>
    <xf numFmtId="0" fontId="13" fillId="0" borderId="1" xfId="15" applyFont="1" applyFill="1" applyBorder="1" applyAlignment="1">
      <alignment vertical="center" wrapText="1" shrinkToFit="1"/>
    </xf>
    <xf numFmtId="0" fontId="36" fillId="0" borderId="1" xfId="15" applyFont="1" applyFill="1" applyBorder="1" applyAlignment="1">
      <alignment vertical="center" wrapText="1" shrinkToFit="1"/>
    </xf>
    <xf numFmtId="0" fontId="38" fillId="0" borderId="21" xfId="15" applyFont="1" applyFill="1" applyBorder="1" applyAlignment="1">
      <alignment vertical="center" wrapText="1"/>
    </xf>
    <xf numFmtId="0" fontId="13" fillId="0" borderId="15" xfId="15" applyFont="1" applyFill="1" applyBorder="1" applyAlignment="1">
      <alignment vertical="center" wrapText="1"/>
    </xf>
    <xf numFmtId="0" fontId="13" fillId="0" borderId="47" xfId="15" applyFont="1" applyFill="1" applyBorder="1" applyAlignment="1">
      <alignment vertical="center" wrapText="1"/>
    </xf>
    <xf numFmtId="0" fontId="38" fillId="0" borderId="21" xfId="15" applyFont="1" applyFill="1" applyBorder="1" applyAlignment="1">
      <alignment horizontal="left" vertical="center" wrapText="1" shrinkToFit="1"/>
    </xf>
    <xf numFmtId="0" fontId="38" fillId="0" borderId="15" xfId="15" applyFont="1" applyFill="1" applyBorder="1" applyAlignment="1">
      <alignment horizontal="left" vertical="center" wrapText="1" shrinkToFit="1"/>
    </xf>
    <xf numFmtId="0" fontId="38" fillId="0" borderId="47" xfId="15" applyFont="1" applyFill="1" applyBorder="1" applyAlignment="1">
      <alignment horizontal="left" vertical="center" wrapText="1" shrinkToFit="1"/>
    </xf>
    <xf numFmtId="0" fontId="38" fillId="0" borderId="21" xfId="15" applyFont="1" applyFill="1" applyBorder="1" applyAlignment="1">
      <alignment horizontal="left" vertical="center" wrapText="1"/>
    </xf>
    <xf numFmtId="0" fontId="38" fillId="0" borderId="15" xfId="15" applyFont="1" applyFill="1" applyBorder="1" applyAlignment="1">
      <alignment horizontal="left" vertical="center" wrapText="1"/>
    </xf>
    <xf numFmtId="0" fontId="38" fillId="0" borderId="47" xfId="15" applyFont="1" applyFill="1" applyBorder="1" applyAlignment="1">
      <alignment horizontal="left" vertical="center" wrapText="1"/>
    </xf>
    <xf numFmtId="0" fontId="13" fillId="0" borderId="70" xfId="15" applyBorder="1" applyAlignment="1">
      <alignment horizontal="center" vertical="center" shrinkToFit="1"/>
    </xf>
    <xf numFmtId="0" fontId="13" fillId="0" borderId="71" xfId="15" applyBorder="1" applyAlignment="1">
      <alignment horizontal="center" vertical="center" shrinkToFit="1"/>
    </xf>
    <xf numFmtId="0" fontId="13" fillId="0" borderId="43" xfId="15" applyBorder="1" applyAlignment="1">
      <alignment horizontal="center" vertical="center" shrinkToFit="1"/>
    </xf>
    <xf numFmtId="0" fontId="13" fillId="0" borderId="70" xfId="15" applyFont="1" applyFill="1" applyBorder="1" applyAlignment="1">
      <alignment horizontal="left" vertical="center" shrinkToFit="1"/>
    </xf>
    <xf numFmtId="0" fontId="13" fillId="0" borderId="71" xfId="15" applyFont="1" applyFill="1" applyBorder="1" applyAlignment="1">
      <alignment horizontal="left" vertical="center" shrinkToFit="1"/>
    </xf>
    <xf numFmtId="0" fontId="13" fillId="0" borderId="43" xfId="15" applyFont="1" applyFill="1" applyBorder="1" applyAlignment="1">
      <alignment horizontal="left" vertical="center" shrinkToFit="1"/>
    </xf>
    <xf numFmtId="0" fontId="36" fillId="0" borderId="1" xfId="15" applyFont="1" applyFill="1" applyBorder="1" applyAlignment="1">
      <alignment vertical="center" shrinkToFit="1"/>
    </xf>
    <xf numFmtId="0" fontId="5" fillId="0" borderId="0" xfId="0" applyFont="1" applyAlignment="1">
      <alignment horizontal="left" vertical="center" shrinkToFit="1"/>
    </xf>
    <xf numFmtId="0" fontId="13" fillId="3" borderId="31" xfId="15" applyFill="1" applyBorder="1" applyAlignment="1">
      <alignment horizontal="center" vertical="center" shrinkToFit="1"/>
    </xf>
    <xf numFmtId="0" fontId="13" fillId="3" borderId="32" xfId="15" applyFill="1" applyBorder="1" applyAlignment="1">
      <alignment horizontal="center" vertical="center" shrinkToFit="1"/>
    </xf>
    <xf numFmtId="0" fontId="13" fillId="0" borderId="1" xfId="15" applyFont="1" applyFill="1" applyBorder="1" applyAlignment="1">
      <alignment horizontal="left" vertical="center" shrinkToFit="1"/>
    </xf>
    <xf numFmtId="0" fontId="13" fillId="0" borderId="31" xfId="15" applyFont="1" applyFill="1" applyBorder="1" applyAlignment="1">
      <alignment vertical="center" shrinkToFit="1"/>
    </xf>
    <xf numFmtId="0" fontId="13" fillId="0" borderId="32" xfId="15" applyFont="1" applyFill="1" applyBorder="1" applyAlignment="1">
      <alignment vertical="center" shrinkToFit="1"/>
    </xf>
    <xf numFmtId="0" fontId="38" fillId="0" borderId="62" xfId="15" applyFont="1" applyFill="1" applyBorder="1" applyAlignment="1">
      <alignment vertical="center" shrinkToFit="1"/>
    </xf>
    <xf numFmtId="0" fontId="13" fillId="0" borderId="57" xfId="15" applyFont="1" applyFill="1" applyBorder="1" applyAlignment="1">
      <alignment vertical="center" shrinkToFit="1"/>
    </xf>
    <xf numFmtId="0" fontId="13" fillId="0" borderId="52" xfId="15" applyFont="1" applyFill="1" applyBorder="1" applyAlignment="1">
      <alignment vertical="center" shrinkToFit="1"/>
    </xf>
    <xf numFmtId="0" fontId="13" fillId="0" borderId="48" xfId="15" applyFont="1" applyFill="1" applyBorder="1" applyAlignment="1">
      <alignment vertical="center" shrinkToFit="1"/>
    </xf>
    <xf numFmtId="0" fontId="13" fillId="0" borderId="53" xfId="15" applyFont="1" applyFill="1" applyBorder="1" applyAlignment="1">
      <alignment vertical="center" shrinkToFit="1"/>
    </xf>
    <xf numFmtId="0" fontId="13" fillId="0" borderId="50" xfId="15" applyFont="1" applyFill="1" applyBorder="1" applyAlignment="1">
      <alignment vertical="center" shrinkToFit="1"/>
    </xf>
    <xf numFmtId="0" fontId="13" fillId="0" borderId="62" xfId="15" applyFont="1" applyFill="1" applyBorder="1" applyAlignment="1">
      <alignment vertical="center" shrinkToFit="1"/>
    </xf>
  </cellXfs>
  <cellStyles count="25">
    <cellStyle name="パーセント" xfId="24" builtinId="5"/>
    <cellStyle name="桁区切り" xfId="1" builtinId="6"/>
    <cellStyle name="桁区切り 2" xfId="3" xr:uid="{00000000-0005-0000-0000-000001000000}"/>
    <cellStyle name="桁区切り 2 2" xfId="4" xr:uid="{00000000-0005-0000-0000-000002000000}"/>
    <cellStyle name="桁区切り 2 2 2" xfId="5" xr:uid="{00000000-0005-0000-0000-000003000000}"/>
    <cellStyle name="桁区切り 2 3" xfId="6" xr:uid="{00000000-0005-0000-0000-000004000000}"/>
    <cellStyle name="桁区切り 3" xfId="7" xr:uid="{00000000-0005-0000-0000-000005000000}"/>
    <cellStyle name="桁区切り 4" xfId="10" xr:uid="{00000000-0005-0000-0000-000006000000}"/>
    <cellStyle name="桁区切り 4 2" xfId="22" xr:uid="{0F2EFDD7-22BC-4CE9-B20E-A5155B791712}"/>
    <cellStyle name="桁区切り 5" xfId="11" xr:uid="{00000000-0005-0000-0000-000007000000}"/>
    <cellStyle name="桁区切り 6" xfId="17" xr:uid="{00000000-0005-0000-0000-000008000000}"/>
    <cellStyle name="通貨 2" xfId="8" xr:uid="{00000000-0005-0000-0000-000009000000}"/>
    <cellStyle name="標準" xfId="0" builtinId="0"/>
    <cellStyle name="標準 10" xfId="20" xr:uid="{FD45BB9A-54B3-425A-BDC0-FDE7E0A0D605}"/>
    <cellStyle name="標準 2" xfId="2" xr:uid="{00000000-0005-0000-0000-00000B000000}"/>
    <cellStyle name="標準 2 2" xfId="12" xr:uid="{00000000-0005-0000-0000-00000C000000}"/>
    <cellStyle name="標準 2 2 2" xfId="23" xr:uid="{72C1FCE9-B870-4B63-B53A-4D9495467EF8}"/>
    <cellStyle name="標準 2 3" xfId="13" xr:uid="{00000000-0005-0000-0000-00000D000000}"/>
    <cellStyle name="標準 28" xfId="21" xr:uid="{F5FE1399-497E-4B87-A777-ACA0B613C186}"/>
    <cellStyle name="標準 3" xfId="9" xr:uid="{00000000-0005-0000-0000-00000E000000}"/>
    <cellStyle name="標準 3 2" xfId="18" xr:uid="{00000000-0005-0000-0000-00000F000000}"/>
    <cellStyle name="標準 4" xfId="14" xr:uid="{00000000-0005-0000-0000-000010000000}"/>
    <cellStyle name="標準 5" xfId="15" xr:uid="{00000000-0005-0000-0000-000011000000}"/>
    <cellStyle name="標準 6" xfId="16" xr:uid="{00000000-0005-0000-0000-000012000000}"/>
    <cellStyle name="標準 6 2" xfId="19" xr:uid="{00000000-0005-0000-0000-000013000000}"/>
  </cellStyles>
  <dxfs count="1369">
    <dxf>
      <font>
        <b/>
        <i/>
      </font>
    </dxf>
    <dxf>
      <font>
        <b/>
        <i/>
        <color rgb="FFFFFF00"/>
      </font>
      <fill>
        <patternFill patternType="solid">
          <fgColor auto="1"/>
          <bgColor rgb="FFFF0000"/>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ill>
        <patternFill>
          <bgColor rgb="FFFFFFCC"/>
        </patternFill>
      </fill>
    </dxf>
    <dxf>
      <font>
        <b/>
        <i val="0"/>
        <color rgb="FFFFFF00"/>
      </font>
      <fill>
        <patternFill>
          <bgColor rgb="FFFF0000"/>
        </patternFill>
      </fill>
    </dxf>
    <dxf>
      <font>
        <b/>
        <i val="0"/>
        <color rgb="FFFFFF00"/>
      </font>
      <fill>
        <patternFill>
          <bgColor rgb="FFFF0000"/>
        </patternFill>
      </fill>
    </dxf>
    <dxf>
      <font>
        <b/>
        <i/>
        <color rgb="FFFFFF00"/>
      </font>
      <fill>
        <patternFill>
          <bgColor rgb="FFFF0000"/>
        </patternFill>
      </fill>
    </dxf>
    <dxf>
      <fill>
        <patternFill>
          <bgColor rgb="FFFFFFCC"/>
        </patternFill>
      </fill>
    </dxf>
    <dxf>
      <font>
        <color rgb="FFFF0000"/>
      </font>
      <fill>
        <patternFill>
          <bgColor rgb="FFFFFF00"/>
        </patternFill>
      </fill>
    </dxf>
    <dxf>
      <font>
        <b/>
        <i val="0"/>
        <color rgb="FFFFFF00"/>
      </font>
      <fill>
        <patternFill>
          <bgColor rgb="FFFF0000"/>
        </patternFill>
      </fill>
    </dxf>
    <dxf>
      <fill>
        <patternFill>
          <bgColor rgb="FFFFFFCC"/>
        </patternFill>
      </fill>
    </dxf>
    <dxf>
      <font>
        <b/>
        <i val="0"/>
        <color rgb="FFFFFF00"/>
      </font>
      <fill>
        <patternFill>
          <bgColor rgb="FFFF0000"/>
        </patternFill>
      </fill>
    </dxf>
    <dxf>
      <font>
        <b/>
        <i/>
        <color rgb="FFFFFF00"/>
      </font>
      <fill>
        <patternFill>
          <bgColor rgb="FFFF0000"/>
        </patternFill>
      </fill>
    </dxf>
    <dxf>
      <font>
        <color rgb="FFFF0000"/>
      </font>
      <fill>
        <patternFill>
          <bgColor rgb="FFFFFF00"/>
        </patternFill>
      </fill>
    </dxf>
    <dxf>
      <font>
        <b/>
        <i val="0"/>
        <color auto="1"/>
      </font>
    </dxf>
    <dxf>
      <font>
        <b/>
        <i val="0"/>
        <color rgb="FFFF0000"/>
      </font>
      <fill>
        <patternFill>
          <bgColor rgb="FF00B0F0"/>
        </patternFill>
      </fill>
    </dxf>
    <dxf>
      <fill>
        <patternFill>
          <bgColor theme="1" tint="0.499984740745262"/>
        </patternFill>
      </fill>
    </dxf>
    <dxf>
      <fill>
        <patternFill>
          <bgColor rgb="FFFFFFCC"/>
        </patternFill>
      </fill>
    </dxf>
    <dxf>
      <fill>
        <patternFill>
          <bgColor rgb="FFFFFFCC"/>
        </patternFill>
      </fill>
    </dxf>
    <dxf>
      <fill>
        <patternFill>
          <bgColor theme="1" tint="0.499984740745262"/>
        </patternFill>
      </fill>
    </dxf>
    <dxf>
      <font>
        <color auto="1"/>
      </font>
      <fill>
        <patternFill>
          <bgColor theme="1" tint="0.499984740745262"/>
        </patternFill>
      </fill>
    </dxf>
    <dxf>
      <font>
        <b/>
        <i val="0"/>
        <color rgb="FFFF0000"/>
      </font>
      <fill>
        <patternFill>
          <bgColor rgb="FFFFFF00"/>
        </patternFill>
      </fill>
    </dxf>
    <dxf>
      <fill>
        <patternFill>
          <bgColor theme="9" tint="0.79998168889431442"/>
        </patternFill>
      </fill>
    </dxf>
    <dxf>
      <fill>
        <patternFill>
          <bgColor theme="9" tint="0.79998168889431442"/>
        </patternFill>
      </fill>
    </dxf>
    <dxf>
      <font>
        <b/>
        <i/>
        <color rgb="FFFF0000"/>
      </font>
    </dxf>
    <dxf>
      <font>
        <b/>
        <i/>
        <color rgb="FFFF0000"/>
      </font>
    </dxf>
  </dxfs>
  <tableStyles count="0" defaultTableStyle="TableStyleMedium9" defaultPivotStyle="PivotStyleLight16"/>
  <colors>
    <mruColors>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464344</xdr:colOff>
      <xdr:row>0</xdr:row>
      <xdr:rowOff>178594</xdr:rowOff>
    </xdr:from>
    <xdr:to>
      <xdr:col>10</xdr:col>
      <xdr:colOff>521287</xdr:colOff>
      <xdr:row>4</xdr:row>
      <xdr:rowOff>141322</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4536282" y="178594"/>
          <a:ext cx="2128630" cy="8199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000">
              <a:latin typeface="HGSｺﾞｼｯｸE" panose="020B0900000000000000" pitchFamily="50" charset="-128"/>
              <a:ea typeface="HGSｺﾞｼｯｸE" panose="020B0900000000000000" pitchFamily="50" charset="-128"/>
            </a:rPr>
            <a:t>見本</a:t>
          </a:r>
        </a:p>
      </xdr:txBody>
    </xdr:sp>
    <xdr:clientData/>
  </xdr:twoCellAnchor>
  <xdr:twoCellAnchor>
    <xdr:from>
      <xdr:col>7</xdr:col>
      <xdr:colOff>24849</xdr:colOff>
      <xdr:row>9</xdr:row>
      <xdr:rowOff>74545</xdr:rowOff>
    </xdr:from>
    <xdr:to>
      <xdr:col>10</xdr:col>
      <xdr:colOff>496957</xdr:colOff>
      <xdr:row>13</xdr:row>
      <xdr:rowOff>273327</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a:xfrm>
          <a:off x="4083327" y="2020958"/>
          <a:ext cx="2534478" cy="142460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クリーム色に着色されたセルに入力してください。</a:t>
          </a:r>
        </a:p>
      </xdr:txBody>
    </xdr:sp>
    <xdr:clientData/>
  </xdr:twoCellAnchor>
  <xdr:twoCellAnchor>
    <xdr:from>
      <xdr:col>4</xdr:col>
      <xdr:colOff>231914</xdr:colOff>
      <xdr:row>27</xdr:row>
      <xdr:rowOff>182217</xdr:rowOff>
    </xdr:from>
    <xdr:to>
      <xdr:col>9</xdr:col>
      <xdr:colOff>0</xdr:colOff>
      <xdr:row>28</xdr:row>
      <xdr:rowOff>223631</xdr:rowOff>
    </xdr:to>
    <xdr:sp macro="" textlink="">
      <xdr:nvSpPr>
        <xdr:cNvPr id="6" name="吹き出し: 角を丸めた四角形 5">
          <a:extLst>
            <a:ext uri="{FF2B5EF4-FFF2-40B4-BE49-F238E27FC236}">
              <a16:creationId xmlns:a16="http://schemas.microsoft.com/office/drawing/2014/main" id="{00000000-0008-0000-0000-000006000000}"/>
            </a:ext>
          </a:extLst>
        </xdr:cNvPr>
        <xdr:cNvSpPr/>
      </xdr:nvSpPr>
      <xdr:spPr>
        <a:xfrm>
          <a:off x="2228023" y="7189304"/>
          <a:ext cx="3205368" cy="347870"/>
        </a:xfrm>
        <a:prstGeom prst="wedgeRoundRectCallout">
          <a:avLst>
            <a:gd name="adj1" fmla="val -42970"/>
            <a:gd name="adj2" fmla="val 934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BIZ UDPゴシック" panose="020B0400000000000000" pitchFamily="50" charset="-128"/>
              <a:ea typeface="BIZ UDPゴシック" panose="020B0400000000000000" pitchFamily="50" charset="-128"/>
            </a:rPr>
            <a:t>提出日を入力</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p>
      </xdr:txBody>
    </xdr:sp>
    <xdr:clientData/>
  </xdr:twoCellAnchor>
  <xdr:twoCellAnchor>
    <xdr:from>
      <xdr:col>4</xdr:col>
      <xdr:colOff>256761</xdr:colOff>
      <xdr:row>36</xdr:row>
      <xdr:rowOff>44725</xdr:rowOff>
    </xdr:from>
    <xdr:to>
      <xdr:col>10</xdr:col>
      <xdr:colOff>546652</xdr:colOff>
      <xdr:row>37</xdr:row>
      <xdr:rowOff>119269</xdr:rowOff>
    </xdr:to>
    <xdr:sp macro="" textlink="">
      <xdr:nvSpPr>
        <xdr:cNvPr id="7" name="吹き出し: 角を丸めた四角形 6">
          <a:extLst>
            <a:ext uri="{FF2B5EF4-FFF2-40B4-BE49-F238E27FC236}">
              <a16:creationId xmlns:a16="http://schemas.microsoft.com/office/drawing/2014/main" id="{00000000-0008-0000-0000-000007000000}"/>
            </a:ext>
          </a:extLst>
        </xdr:cNvPr>
        <xdr:cNvSpPr/>
      </xdr:nvSpPr>
      <xdr:spPr>
        <a:xfrm>
          <a:off x="2252870" y="9876182"/>
          <a:ext cx="4414630" cy="381000"/>
        </a:xfrm>
        <a:prstGeom prst="wedgeRoundRectCallout">
          <a:avLst>
            <a:gd name="adj1" fmla="val -42970"/>
            <a:gd name="adj2" fmla="val 934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BIZ UDPゴシック" panose="020B0400000000000000" pitchFamily="50" charset="-128"/>
              <a:ea typeface="BIZ UDPゴシック" panose="020B0400000000000000" pitchFamily="50" charset="-128"/>
            </a:rPr>
            <a:t>連絡のつく時間・曜日を</a:t>
          </a:r>
          <a:r>
            <a:rPr kumimoji="1" lang="ja-JP" altLang="en-US" sz="1600">
              <a:solidFill>
                <a:schemeClr val="bg1"/>
              </a:solidFill>
              <a:latin typeface="BIZ UDPゴシック" panose="020B0400000000000000" pitchFamily="50" charset="-128"/>
              <a:ea typeface="BIZ UDPゴシック" panose="020B0400000000000000" pitchFamily="50" charset="-128"/>
            </a:rPr>
            <a:t>入力してください。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57149</xdr:colOff>
      <xdr:row>1</xdr:row>
      <xdr:rowOff>66675</xdr:rowOff>
    </xdr:from>
    <xdr:to>
      <xdr:col>4</xdr:col>
      <xdr:colOff>333374</xdr:colOff>
      <xdr:row>4</xdr:row>
      <xdr:rowOff>809625</xdr:rowOff>
    </xdr:to>
    <xdr:sp macro="" textlink="">
      <xdr:nvSpPr>
        <xdr:cNvPr id="2" name="吹き出し: 角を丸めた四角形 1">
          <a:extLst>
            <a:ext uri="{FF2B5EF4-FFF2-40B4-BE49-F238E27FC236}">
              <a16:creationId xmlns:a16="http://schemas.microsoft.com/office/drawing/2014/main" id="{00000000-0008-0000-0900-000002000000}"/>
            </a:ext>
          </a:extLst>
        </xdr:cNvPr>
        <xdr:cNvSpPr/>
      </xdr:nvSpPr>
      <xdr:spPr>
        <a:xfrm>
          <a:off x="371474" y="314325"/>
          <a:ext cx="4733925" cy="1485900"/>
        </a:xfrm>
        <a:prstGeom prst="wedgeRoundRectCallout">
          <a:avLst>
            <a:gd name="adj1" fmla="val 48056"/>
            <a:gd name="adj2" fmla="val 33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今年度から提出が必要な書式です。</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確認項目の内容を確認し、もれがないよう</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チェック欄にプルダウンから選択してください。</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9525</xdr:colOff>
      <xdr:row>13</xdr:row>
      <xdr:rowOff>190501</xdr:rowOff>
    </xdr:from>
    <xdr:to>
      <xdr:col>22</xdr:col>
      <xdr:colOff>113314</xdr:colOff>
      <xdr:row>17</xdr:row>
      <xdr:rowOff>200026</xdr:rowOff>
    </xdr:to>
    <xdr:sp macro="" textlink="">
      <xdr:nvSpPr>
        <xdr:cNvPr id="2" name="吹き出し: 角を丸めた四角形 1">
          <a:extLst>
            <a:ext uri="{FF2B5EF4-FFF2-40B4-BE49-F238E27FC236}">
              <a16:creationId xmlns:a16="http://schemas.microsoft.com/office/drawing/2014/main" id="{00000000-0008-0000-0A00-000002000000}"/>
            </a:ext>
          </a:extLst>
        </xdr:cNvPr>
        <xdr:cNvSpPr/>
      </xdr:nvSpPr>
      <xdr:spPr>
        <a:xfrm>
          <a:off x="1209675" y="3038476"/>
          <a:ext cx="3304189" cy="876300"/>
        </a:xfrm>
        <a:prstGeom prst="wedgeRoundRectCallout">
          <a:avLst>
            <a:gd name="adj1" fmla="val 40233"/>
            <a:gd name="adj2" fmla="val 1138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「周知していない」を選択した場合は、対象外になります。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114300</xdr:colOff>
      <xdr:row>23</xdr:row>
      <xdr:rowOff>66675</xdr:rowOff>
    </xdr:from>
    <xdr:to>
      <xdr:col>23</xdr:col>
      <xdr:colOff>18064</xdr:colOff>
      <xdr:row>28</xdr:row>
      <xdr:rowOff>0</xdr:rowOff>
    </xdr:to>
    <xdr:sp macro="" textlink="">
      <xdr:nvSpPr>
        <xdr:cNvPr id="3" name="吹き出し: 角を丸めた四角形 2">
          <a:extLst>
            <a:ext uri="{FF2B5EF4-FFF2-40B4-BE49-F238E27FC236}">
              <a16:creationId xmlns:a16="http://schemas.microsoft.com/office/drawing/2014/main" id="{00000000-0008-0000-0A00-000003000000}"/>
            </a:ext>
          </a:extLst>
        </xdr:cNvPr>
        <xdr:cNvSpPr/>
      </xdr:nvSpPr>
      <xdr:spPr>
        <a:xfrm>
          <a:off x="1314450" y="5010150"/>
          <a:ext cx="3304189" cy="942975"/>
        </a:xfrm>
        <a:prstGeom prst="wedgeRoundRectCallout">
          <a:avLst>
            <a:gd name="adj1" fmla="val 36198"/>
            <a:gd name="adj2" fmla="val -8350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「継続しない」を選択した場合は、対象外になります。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140306</xdr:colOff>
      <xdr:row>16</xdr:row>
      <xdr:rowOff>29824</xdr:rowOff>
    </xdr:from>
    <xdr:to>
      <xdr:col>8</xdr:col>
      <xdr:colOff>300645</xdr:colOff>
      <xdr:row>36</xdr:row>
      <xdr:rowOff>57150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40306" y="3992224"/>
          <a:ext cx="5646739" cy="4599326"/>
        </a:xfrm>
        <a:prstGeom prst="rect">
          <a:avLst/>
        </a:prstGeom>
        <a:solidFill>
          <a:srgbClr val="FFFF00"/>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職員名：本事業の対象とする職員氏名を記入</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①職種：以下の４種から選択</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放課後児童支援員</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・補助員</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・育成支援の周辺業務を行う職員</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事務員等のこと</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・その他</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注意</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法人役員等は除きます</a:t>
          </a:r>
          <a:endParaRPr kumimoji="1" lang="en-US" altLang="ja-JP" sz="14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②常勤・非常勤の別：常勤か非常勤かを選択</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算定基礎が異なる</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注意</a:t>
          </a:r>
          <a:r>
            <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非常勤職員でも、１日６時間以上、かつ月</a:t>
          </a:r>
          <a:r>
            <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20</a:t>
          </a: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日以上の</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勤務をしている場合は「常勤職員１人」とする</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③補助単価　：自動反映</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手書きの場合　１１，０００円</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④常勤職員数：自動反映</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手書きの場合　１</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０人</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非常勤職員は記入しない</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475544</xdr:colOff>
      <xdr:row>14</xdr:row>
      <xdr:rowOff>180976</xdr:rowOff>
    </xdr:from>
    <xdr:to>
      <xdr:col>19</xdr:col>
      <xdr:colOff>910949</xdr:colOff>
      <xdr:row>49</xdr:row>
      <xdr:rowOff>76200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5961944" y="3686176"/>
          <a:ext cx="11846355" cy="7896224"/>
        </a:xfrm>
        <a:prstGeom prst="rect">
          <a:avLst/>
        </a:prstGeom>
        <a:solidFill>
          <a:srgbClr val="FFFF00"/>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⑤非常勤職員の、１か月あたりの勤務時間を記入（超過勤務時間は含めない）</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⑥就業規則で定めた「常勤職員」の勤務時間／月を記入</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⑦非常勤職員を常勤職員に換算した値を記入（</a:t>
          </a:r>
          <a:r>
            <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PC</a:t>
          </a: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では自動反映）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非常勤職員の１か月当たりの勤務時間数</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(⑤)÷</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就業規則等で定めた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常勤職員の１か月当たりの勤務時間数</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(⑥)</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（小数点第２位を四捨五入）</a:t>
          </a: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例</a:t>
          </a:r>
          <a:r>
            <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就業規則で、常勤職員が</a:t>
          </a:r>
          <a:r>
            <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160</a:t>
          </a: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時間</a:t>
          </a:r>
          <a:r>
            <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月の場合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90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時間</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月の非常勤　→　</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90.0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160.0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0.56≒0.6</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人</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60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時間</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月の非常勤　→　</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60.0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160.0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0.37≒0.4</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人</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⑧本事業を適用する月数を記入</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間に休む月や退職予定があれば対象月、そうでなければ６月と記入</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⑨自動反映</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手書きの場合、常勤職員は③</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④</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⑧、非常勤職員は③</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⑦</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⑧</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⑩賃金改善額</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常勤</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人で目安</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9,000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円</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月数　が改善見込額。経験年数等により差額をつけることは可能。ただし不整合な差額は</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NG</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です。</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⑪基本給又は決まって毎月支払う手当</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⑩のうち最低</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は毎月支払う額とする。</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例）</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9,000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円</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月のうち、</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6,000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円</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月を毎月支払う場合、</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6,000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円</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６月＝</a:t>
          </a:r>
          <a:r>
            <a:rPr kumimoji="1" lang="en-US" altLang="ja-JP" sz="14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36,000</a:t>
          </a:r>
          <a:r>
            <a:rPr kumimoji="1" lang="ja-JP" altLang="en-US" sz="14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円</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となる（残り</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18,000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円は一時金）</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⑫その他（自動反映）</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一時金等、決まって毎月支払う以外の金額（手書きの場合⑩</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-⑪</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⑬事業主負担分の増分</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本賃金改善により、法定福利費等の事業主負担分が増となる場合には、最下段の合計額にその総額を記入</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法定福利費等の事業主負担分の総額については、以下の算式より算定した金額を</a:t>
          </a:r>
          <a:r>
            <a:rPr kumimoji="1" lang="ja-JP" altLang="en-US" sz="14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標準</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とする（個々の実情に合わせた算出も可）。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＜算式＞「前年度における法定福利費等の事業主負担分の総額」</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前年度における</a:t>
          </a:r>
          <a:r>
            <a:rPr kumimoji="1" lang="ja-JP" altLang="en-US" sz="14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賃金の総額</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「賃金改善額」</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⑭１月あたりの改善額</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⑩</a:t>
          </a:r>
          <a:r>
            <a:rPr kumimoji="1" lang="ja-JP"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／⑧の金額を記入</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PC</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は自動反映）</a:t>
          </a:r>
          <a:endParaRPr kumimoji="0" lang="ja-JP"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⑮備考</a:t>
          </a: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年度途中の採用や退職、賃金改善額が他の職員と比較して高額（低額）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である場合についてはその理由を記載すること。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a:t>
          </a:r>
          <a:r>
            <a:rPr kumimoji="1" lang="ja-JP" altLang="en-US" sz="1600" b="0" i="0" u="none" strike="noStrike" kern="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注意</a:t>
          </a:r>
          <a:r>
            <a:rPr kumimoji="1" lang="en-US" altLang="ja-JP" sz="1600" b="0" i="0" u="none" strike="noStrike" kern="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⑩</a:t>
          </a:r>
          <a:r>
            <a:rPr kumimoji="1" lang="en-US" altLang="ja-JP" sz="1600" b="0" i="0" u="none" strike="noStrike" kern="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+⑬</a:t>
          </a:r>
          <a:r>
            <a:rPr kumimoji="1" lang="ja-JP" altLang="en-US" sz="1600" b="0" i="0" u="none" strike="noStrike" kern="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が⑨補助基準額と同額以上とならない場合は補助対象外となる</a:t>
          </a:r>
          <a:endParaRPr kumimoji="1" lang="ja-JP" altLang="en-US" sz="1800" b="0" i="0" u="none" strike="noStrike" kern="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15</xdr:col>
      <xdr:colOff>990599</xdr:colOff>
      <xdr:row>11</xdr:row>
      <xdr:rowOff>85725</xdr:rowOff>
    </xdr:from>
    <xdr:to>
      <xdr:col>19</xdr:col>
      <xdr:colOff>793375</xdr:colOff>
      <xdr:row>26</xdr:row>
      <xdr:rowOff>133350</xdr:rowOff>
    </xdr:to>
    <xdr:sp macro="" textlink="">
      <xdr:nvSpPr>
        <xdr:cNvPr id="4" name="吹き出し: 四角形 3">
          <a:extLst>
            <a:ext uri="{FF2B5EF4-FFF2-40B4-BE49-F238E27FC236}">
              <a16:creationId xmlns:a16="http://schemas.microsoft.com/office/drawing/2014/main" id="{00000000-0008-0000-0B00-000004000000}"/>
            </a:ext>
          </a:extLst>
        </xdr:cNvPr>
        <xdr:cNvSpPr/>
      </xdr:nvSpPr>
      <xdr:spPr>
        <a:xfrm>
          <a:off x="13401674" y="2905125"/>
          <a:ext cx="4289051" cy="3476625"/>
        </a:xfrm>
        <a:prstGeom prst="wedgeRectCallout">
          <a:avLst>
            <a:gd name="adj1" fmla="val -68377"/>
            <a:gd name="adj2" fmla="val 4441"/>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⑦常勤職員がいないクラブの場合</a:t>
          </a:r>
          <a:endParaRPr kumimoji="1" lang="en-US" altLang="ja-JP" sz="1400" b="0" i="0" u="none" strike="noStrike" kern="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a:t>
          </a:r>
          <a:r>
            <a:rPr kumimoji="0" lang="ja-JP"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非常勤職員の１</a:t>
          </a:r>
          <a:r>
            <a:rPr kumimoji="0" lang="ja-JP" altLang="en-US"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か</a:t>
          </a:r>
          <a:r>
            <a:rPr kumimoji="0" lang="ja-JP"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月当たりの勤務時間数</a:t>
          </a:r>
          <a:r>
            <a:rPr kumimoji="0"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0" lang="ja-JP"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⑤</a:t>
          </a:r>
          <a:r>
            <a:rPr kumimoji="0"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0" lang="ja-JP" altLang="en-US"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放課後児童クラブの始業から終業までの時間</a:t>
          </a:r>
          <a:r>
            <a:rPr kumimoji="0" lang="ja-JP"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（小数点第２位を四捨五入）</a:t>
          </a:r>
          <a:endParaRPr kumimoji="0"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a:t>
          </a:r>
          <a:endParaRPr kumimoji="1"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１</a:t>
          </a:r>
          <a:r>
            <a:rPr kumimoji="1"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勤務時間数は、超過勤務時間、休憩時間を除いて算出してください。</a:t>
          </a:r>
          <a:endParaRPr kumimoji="1"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２</a:t>
          </a:r>
          <a:r>
            <a:rPr kumimoji="1"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直近月の平均　前年度の勤務実績など、 適切な方法で算出してください。</a:t>
          </a:r>
          <a:endParaRPr kumimoji="1"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始業から終業までの時間は、定めがなければ、就業規則で定めてください。</a:t>
          </a:r>
          <a:endParaRPr kumimoji="1" lang="en-US" altLang="ja-JP"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133350</xdr:colOff>
      <xdr:row>31</xdr:row>
      <xdr:rowOff>133350</xdr:rowOff>
    </xdr:from>
    <xdr:to>
      <xdr:col>26</xdr:col>
      <xdr:colOff>31750</xdr:colOff>
      <xdr:row>40</xdr:row>
      <xdr:rowOff>161925</xdr:rowOff>
    </xdr:to>
    <xdr:sp macro="" textlink="">
      <xdr:nvSpPr>
        <xdr:cNvPr id="2" name="吹き出し: 角を丸めた四角形 1">
          <a:extLst>
            <a:ext uri="{FF2B5EF4-FFF2-40B4-BE49-F238E27FC236}">
              <a16:creationId xmlns:a16="http://schemas.microsoft.com/office/drawing/2014/main" id="{00000000-0008-0000-0E00-000002000000}"/>
            </a:ext>
          </a:extLst>
        </xdr:cNvPr>
        <xdr:cNvSpPr/>
      </xdr:nvSpPr>
      <xdr:spPr>
        <a:xfrm>
          <a:off x="3381375" y="6162675"/>
          <a:ext cx="4327525" cy="1828800"/>
        </a:xfrm>
        <a:prstGeom prst="wedgeRoundRectCallout">
          <a:avLst>
            <a:gd name="adj1" fmla="val -35900"/>
            <a:gd name="adj2" fmla="val -979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最終的な交付決定額と精算額を</a:t>
          </a:r>
          <a:r>
            <a:rPr kumimoji="1" lang="ja-JP" altLang="en-US" sz="1600">
              <a:solidFill>
                <a:schemeClr val="bg1"/>
              </a:solidFill>
              <a:latin typeface="BIZ UDPゴシック" panose="020B0400000000000000" pitchFamily="50" charset="-128"/>
              <a:ea typeface="BIZ UDPゴシック" panose="020B0400000000000000" pitchFamily="50" charset="-128"/>
            </a:rPr>
            <a:t>確認してください。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当初交付した額よりも変更交付が少なくなる場合、差額を返金していただきます。</a:t>
          </a:r>
        </a:p>
      </xdr:txBody>
    </xdr:sp>
    <xdr:clientData/>
  </xdr:twoCellAnchor>
  <xdr:twoCellAnchor>
    <xdr:from>
      <xdr:col>3</xdr:col>
      <xdr:colOff>120650</xdr:colOff>
      <xdr:row>44</xdr:row>
      <xdr:rowOff>47625</xdr:rowOff>
    </xdr:from>
    <xdr:to>
      <xdr:col>11</xdr:col>
      <xdr:colOff>284955</xdr:colOff>
      <xdr:row>50</xdr:row>
      <xdr:rowOff>104774</xdr:rowOff>
    </xdr:to>
    <xdr:sp macro="" textlink="">
      <xdr:nvSpPr>
        <xdr:cNvPr id="3" name="吹き出し: 角を丸めた四角形 2">
          <a:extLst>
            <a:ext uri="{FF2B5EF4-FFF2-40B4-BE49-F238E27FC236}">
              <a16:creationId xmlns:a16="http://schemas.microsoft.com/office/drawing/2014/main" id="{00000000-0008-0000-0E00-000003000000}"/>
            </a:ext>
          </a:extLst>
        </xdr:cNvPr>
        <xdr:cNvSpPr/>
      </xdr:nvSpPr>
      <xdr:spPr>
        <a:xfrm>
          <a:off x="1006475" y="8677275"/>
          <a:ext cx="2526505" cy="1257299"/>
        </a:xfrm>
        <a:prstGeom prst="wedgeRoundRectCallout">
          <a:avLst>
            <a:gd name="adj1" fmla="val 42432"/>
            <a:gd name="adj2" fmla="val -730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チェックシートを確認し、</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添付書類を入力してください。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47625</xdr:colOff>
      <xdr:row>20</xdr:row>
      <xdr:rowOff>15875</xdr:rowOff>
    </xdr:from>
    <xdr:to>
      <xdr:col>19</xdr:col>
      <xdr:colOff>206375</xdr:colOff>
      <xdr:row>28</xdr:row>
      <xdr:rowOff>76201</xdr:rowOff>
    </xdr:to>
    <xdr:sp macro="" textlink="">
      <xdr:nvSpPr>
        <xdr:cNvPr id="2" name="吹き出し: 角を丸めた四角形 1">
          <a:extLst>
            <a:ext uri="{FF2B5EF4-FFF2-40B4-BE49-F238E27FC236}">
              <a16:creationId xmlns:a16="http://schemas.microsoft.com/office/drawing/2014/main" id="{00000000-0008-0000-0F00-000002000000}"/>
            </a:ext>
          </a:extLst>
        </xdr:cNvPr>
        <xdr:cNvSpPr/>
      </xdr:nvSpPr>
      <xdr:spPr>
        <a:xfrm>
          <a:off x="1228725" y="3806825"/>
          <a:ext cx="4587875" cy="1660526"/>
        </a:xfrm>
        <a:prstGeom prst="wedgeRoundRectCallout">
          <a:avLst>
            <a:gd name="adj1" fmla="val -32664"/>
            <a:gd name="adj2" fmla="val -1082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年間の主な行事等を</a:t>
          </a:r>
          <a:r>
            <a:rPr kumimoji="1" lang="ja-JP" altLang="en-US" sz="1600">
              <a:solidFill>
                <a:schemeClr val="bg1"/>
              </a:solidFill>
              <a:latin typeface="BIZ UDPゴシック" panose="020B0400000000000000" pitchFamily="50" charset="-128"/>
              <a:ea typeface="BIZ UDPゴシック" panose="020B0400000000000000" pitchFamily="50" charset="-128"/>
            </a:rPr>
            <a:t>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運営委員会・避難訓練・消火訓練の実施については、必ず入力してください。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152400</xdr:colOff>
      <xdr:row>6</xdr:row>
      <xdr:rowOff>43961</xdr:rowOff>
    </xdr:from>
    <xdr:to>
      <xdr:col>23</xdr:col>
      <xdr:colOff>9525</xdr:colOff>
      <xdr:row>12</xdr:row>
      <xdr:rowOff>142875</xdr:rowOff>
    </xdr:to>
    <xdr:sp macro="" textlink="">
      <xdr:nvSpPr>
        <xdr:cNvPr id="2" name="吹き出し: 角を丸めた四角形 1">
          <a:extLst>
            <a:ext uri="{FF2B5EF4-FFF2-40B4-BE49-F238E27FC236}">
              <a16:creationId xmlns:a16="http://schemas.microsoft.com/office/drawing/2014/main" id="{00000000-0008-0000-1000-000002000000}"/>
            </a:ext>
          </a:extLst>
        </xdr:cNvPr>
        <xdr:cNvSpPr/>
      </xdr:nvSpPr>
      <xdr:spPr>
        <a:xfrm>
          <a:off x="1924050" y="1472711"/>
          <a:ext cx="4876800" cy="1499089"/>
        </a:xfrm>
        <a:prstGeom prst="wedgeRoundRectCallout">
          <a:avLst>
            <a:gd name="adj1" fmla="val -67100"/>
            <a:gd name="adj2" fmla="val -469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会費は、利用者から徴収した会費等を入力してください。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摘要欄には人数、単価等を入力してください。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8060</xdr:colOff>
      <xdr:row>14</xdr:row>
      <xdr:rowOff>10992</xdr:rowOff>
    </xdr:from>
    <xdr:to>
      <xdr:col>22</xdr:col>
      <xdr:colOff>114300</xdr:colOff>
      <xdr:row>18</xdr:row>
      <xdr:rowOff>180975</xdr:rowOff>
    </xdr:to>
    <xdr:sp macro="" textlink="">
      <xdr:nvSpPr>
        <xdr:cNvPr id="3" name="吹き出し: 角を丸めた四角形 2">
          <a:extLst>
            <a:ext uri="{FF2B5EF4-FFF2-40B4-BE49-F238E27FC236}">
              <a16:creationId xmlns:a16="http://schemas.microsoft.com/office/drawing/2014/main" id="{00000000-0008-0000-1000-000003000000}"/>
            </a:ext>
          </a:extLst>
        </xdr:cNvPr>
        <xdr:cNvSpPr/>
      </xdr:nvSpPr>
      <xdr:spPr>
        <a:xfrm>
          <a:off x="2074985" y="3316167"/>
          <a:ext cx="4535365" cy="1122483"/>
        </a:xfrm>
        <a:prstGeom prst="wedgeRoundRectCallout">
          <a:avLst>
            <a:gd name="adj1" fmla="val -67046"/>
            <a:gd name="adj2" fmla="val -480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補助金は、事業計画変更申請書から自動反映します。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142875</xdr:colOff>
      <xdr:row>29</xdr:row>
      <xdr:rowOff>9525</xdr:rowOff>
    </xdr:from>
    <xdr:to>
      <xdr:col>19</xdr:col>
      <xdr:colOff>130315</xdr:colOff>
      <xdr:row>31</xdr:row>
      <xdr:rowOff>229543</xdr:rowOff>
    </xdr:to>
    <xdr:sp macro="" textlink="">
      <xdr:nvSpPr>
        <xdr:cNvPr id="4" name="吹き出し: 角を丸めた四角形 3">
          <a:extLst>
            <a:ext uri="{FF2B5EF4-FFF2-40B4-BE49-F238E27FC236}">
              <a16:creationId xmlns:a16="http://schemas.microsoft.com/office/drawing/2014/main" id="{00000000-0008-0000-1000-000004000000}"/>
            </a:ext>
          </a:extLst>
        </xdr:cNvPr>
        <xdr:cNvSpPr/>
      </xdr:nvSpPr>
      <xdr:spPr>
        <a:xfrm>
          <a:off x="733425" y="6886575"/>
          <a:ext cx="5007115" cy="696268"/>
        </a:xfrm>
        <a:prstGeom prst="wedgeRoundRectCallout">
          <a:avLst>
            <a:gd name="adj1" fmla="val 44810"/>
            <a:gd name="adj2" fmla="val 1102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物価高騰補助金の交付額を入力してください。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104775</xdr:colOff>
      <xdr:row>44</xdr:row>
      <xdr:rowOff>85724</xdr:rowOff>
    </xdr:from>
    <xdr:to>
      <xdr:col>18</xdr:col>
      <xdr:colOff>38100</xdr:colOff>
      <xdr:row>47</xdr:row>
      <xdr:rowOff>38099</xdr:rowOff>
    </xdr:to>
    <xdr:sp macro="" textlink="">
      <xdr:nvSpPr>
        <xdr:cNvPr id="5" name="吹き出し: 角を丸めた四角形 4">
          <a:extLst>
            <a:ext uri="{FF2B5EF4-FFF2-40B4-BE49-F238E27FC236}">
              <a16:creationId xmlns:a16="http://schemas.microsoft.com/office/drawing/2014/main" id="{00000000-0008-0000-1000-000005000000}"/>
            </a:ext>
          </a:extLst>
        </xdr:cNvPr>
        <xdr:cNvSpPr/>
      </xdr:nvSpPr>
      <xdr:spPr>
        <a:xfrm>
          <a:off x="1876425" y="10868024"/>
          <a:ext cx="3476625" cy="581025"/>
        </a:xfrm>
        <a:prstGeom prst="wedgeRoundRectCallout">
          <a:avLst>
            <a:gd name="adj1" fmla="val 68383"/>
            <a:gd name="adj2" fmla="val -4704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bg1"/>
              </a:solidFill>
              <a:latin typeface="BIZ UDPゴシック" panose="020B0400000000000000" pitchFamily="50" charset="-128"/>
              <a:ea typeface="BIZ UDPゴシック" panose="020B0400000000000000" pitchFamily="50" charset="-128"/>
            </a:rPr>
            <a:t>かかった人件費を入力してください。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152400</xdr:colOff>
      <xdr:row>35</xdr:row>
      <xdr:rowOff>114299</xdr:rowOff>
    </xdr:from>
    <xdr:to>
      <xdr:col>16</xdr:col>
      <xdr:colOff>117858</xdr:colOff>
      <xdr:row>40</xdr:row>
      <xdr:rowOff>142874</xdr:rowOff>
    </xdr:to>
    <xdr:sp macro="" textlink="">
      <xdr:nvSpPr>
        <xdr:cNvPr id="6" name="吹き出し: 角を丸めた四角形 5">
          <a:extLst>
            <a:ext uri="{FF2B5EF4-FFF2-40B4-BE49-F238E27FC236}">
              <a16:creationId xmlns:a16="http://schemas.microsoft.com/office/drawing/2014/main" id="{00000000-0008-0000-1000-000006000000}"/>
            </a:ext>
          </a:extLst>
        </xdr:cNvPr>
        <xdr:cNvSpPr/>
      </xdr:nvSpPr>
      <xdr:spPr>
        <a:xfrm>
          <a:off x="742950" y="8896349"/>
          <a:ext cx="4099308" cy="1190625"/>
        </a:xfrm>
        <a:prstGeom prst="wedgeRoundRectCallout">
          <a:avLst>
            <a:gd name="adj1" fmla="val 77693"/>
            <a:gd name="adj2" fmla="val -706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積立金がある場合、積立金から取り崩し、本会計の収入とした金額を入力してください。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161925</xdr:colOff>
      <xdr:row>42</xdr:row>
      <xdr:rowOff>152400</xdr:rowOff>
    </xdr:from>
    <xdr:to>
      <xdr:col>36</xdr:col>
      <xdr:colOff>85725</xdr:colOff>
      <xdr:row>63</xdr:row>
      <xdr:rowOff>114300</xdr:rowOff>
    </xdr:to>
    <xdr:sp macro="" textlink="">
      <xdr:nvSpPr>
        <xdr:cNvPr id="7" name="吹き出し: 角を丸めた四角形 6">
          <a:extLst>
            <a:ext uri="{FF2B5EF4-FFF2-40B4-BE49-F238E27FC236}">
              <a16:creationId xmlns:a16="http://schemas.microsoft.com/office/drawing/2014/main" id="{00000000-0008-0000-1000-000007000000}"/>
            </a:ext>
          </a:extLst>
        </xdr:cNvPr>
        <xdr:cNvSpPr/>
      </xdr:nvSpPr>
      <xdr:spPr>
        <a:xfrm>
          <a:off x="6953250" y="10515600"/>
          <a:ext cx="3762375" cy="4362450"/>
        </a:xfrm>
        <a:prstGeom prst="wedgeRoundRectCallout">
          <a:avLst>
            <a:gd name="adj1" fmla="val 29972"/>
            <a:gd name="adj2" fmla="val 357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支出の摘要欄には、会計帳簿上の「科目」＋「金額」を入力して、監査の際、決算書と突き合わせることができるようにしてください。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142875</xdr:colOff>
      <xdr:row>65</xdr:row>
      <xdr:rowOff>142875</xdr:rowOff>
    </xdr:from>
    <xdr:to>
      <xdr:col>16</xdr:col>
      <xdr:colOff>108333</xdr:colOff>
      <xdr:row>69</xdr:row>
      <xdr:rowOff>209550</xdr:rowOff>
    </xdr:to>
    <xdr:sp macro="" textlink="">
      <xdr:nvSpPr>
        <xdr:cNvPr id="8" name="吹き出し: 角を丸めた四角形 7">
          <a:extLst>
            <a:ext uri="{FF2B5EF4-FFF2-40B4-BE49-F238E27FC236}">
              <a16:creationId xmlns:a16="http://schemas.microsoft.com/office/drawing/2014/main" id="{00000000-0008-0000-1000-000008000000}"/>
            </a:ext>
          </a:extLst>
        </xdr:cNvPr>
        <xdr:cNvSpPr/>
      </xdr:nvSpPr>
      <xdr:spPr>
        <a:xfrm>
          <a:off x="733425" y="15325725"/>
          <a:ext cx="4099308" cy="933450"/>
        </a:xfrm>
        <a:prstGeom prst="wedgeRoundRectCallout">
          <a:avLst>
            <a:gd name="adj1" fmla="val 71187"/>
            <a:gd name="adj2" fmla="val -706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積立金がある場合、本会計から、積立金へ繰り入れた金額を入力してください。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0</xdr:colOff>
      <xdr:row>48</xdr:row>
      <xdr:rowOff>209548</xdr:rowOff>
    </xdr:from>
    <xdr:to>
      <xdr:col>15</xdr:col>
      <xdr:colOff>228600</xdr:colOff>
      <xdr:row>60</xdr:row>
      <xdr:rowOff>76199</xdr:rowOff>
    </xdr:to>
    <xdr:sp macro="" textlink="">
      <xdr:nvSpPr>
        <xdr:cNvPr id="9" name="吹き出し: 角を丸めた四角形 8">
          <a:extLst>
            <a:ext uri="{FF2B5EF4-FFF2-40B4-BE49-F238E27FC236}">
              <a16:creationId xmlns:a16="http://schemas.microsoft.com/office/drawing/2014/main" id="{00000000-0008-0000-1000-000009000000}"/>
            </a:ext>
          </a:extLst>
        </xdr:cNvPr>
        <xdr:cNvSpPr/>
      </xdr:nvSpPr>
      <xdr:spPr>
        <a:xfrm>
          <a:off x="1181100" y="11830048"/>
          <a:ext cx="3476625" cy="2381251"/>
        </a:xfrm>
        <a:prstGeom prst="wedgeRoundRectCallout">
          <a:avLst>
            <a:gd name="adj1" fmla="val 40164"/>
            <a:gd name="adj2" fmla="val -11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latin typeface="BIZ UDPゴシック" panose="020B0400000000000000" pitchFamily="50" charset="-128"/>
              <a:ea typeface="BIZ UDPゴシック" panose="020B0400000000000000" pitchFamily="50" charset="-128"/>
            </a:rPr>
            <a:t>提出日までの支出について、記載してください。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提出日以降の支出について入力し、確定した決算書については、令和６年５月</a:t>
          </a:r>
          <a:r>
            <a:rPr kumimoji="1" lang="en-US" altLang="ja-JP" sz="1400">
              <a:solidFill>
                <a:schemeClr val="bg1"/>
              </a:solidFill>
              <a:latin typeface="BIZ UDPゴシック" panose="020B0400000000000000" pitchFamily="50" charset="-128"/>
              <a:ea typeface="BIZ UDPゴシック" panose="020B0400000000000000" pitchFamily="50" charset="-128"/>
            </a:rPr>
            <a:t>31</a:t>
          </a:r>
          <a:r>
            <a:rPr kumimoji="1" lang="ja-JP" altLang="en-US" sz="1400">
              <a:solidFill>
                <a:schemeClr val="bg1"/>
              </a:solidFill>
              <a:latin typeface="BIZ UDPゴシック" panose="020B0400000000000000" pitchFamily="50" charset="-128"/>
              <a:ea typeface="BIZ UDPゴシック" panose="020B0400000000000000" pitchFamily="50" charset="-128"/>
            </a:rPr>
            <a:t>日までに、決算書のみ、提出してください。（令和６年度監査の際に使用します。）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174172</xdr:colOff>
      <xdr:row>15</xdr:row>
      <xdr:rowOff>27215</xdr:rowOff>
    </xdr:from>
    <xdr:to>
      <xdr:col>36</xdr:col>
      <xdr:colOff>97972</xdr:colOff>
      <xdr:row>32</xdr:row>
      <xdr:rowOff>13608</xdr:rowOff>
    </xdr:to>
    <xdr:sp macro="" textlink="">
      <xdr:nvSpPr>
        <xdr:cNvPr id="11" name="吹き出し: 角を丸めた四角形 10">
          <a:extLst>
            <a:ext uri="{FF2B5EF4-FFF2-40B4-BE49-F238E27FC236}">
              <a16:creationId xmlns:a16="http://schemas.microsoft.com/office/drawing/2014/main" id="{00000000-0008-0000-1000-00000B000000}"/>
            </a:ext>
          </a:extLst>
        </xdr:cNvPr>
        <xdr:cNvSpPr/>
      </xdr:nvSpPr>
      <xdr:spPr>
        <a:xfrm>
          <a:off x="7059386" y="3660322"/>
          <a:ext cx="3815443" cy="4150179"/>
        </a:xfrm>
        <a:prstGeom prst="wedgeRoundRectCallout">
          <a:avLst>
            <a:gd name="adj1" fmla="val 29972"/>
            <a:gd name="adj2" fmla="val 357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bg1"/>
              </a:solidFill>
              <a:latin typeface="BIZ UDPゴシック" panose="020B0400000000000000" pitchFamily="50" charset="-128"/>
              <a:ea typeface="BIZ UDPゴシック" panose="020B0400000000000000" pitchFamily="50" charset="-128"/>
            </a:rPr>
            <a:t>入力不要です。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85725</xdr:colOff>
      <xdr:row>0</xdr:row>
      <xdr:rowOff>289341</xdr:rowOff>
    </xdr:from>
    <xdr:to>
      <xdr:col>1</xdr:col>
      <xdr:colOff>1282562</xdr:colOff>
      <xdr:row>6</xdr:row>
      <xdr:rowOff>157783</xdr:rowOff>
    </xdr:to>
    <xdr:sp macro="" textlink="">
      <xdr:nvSpPr>
        <xdr:cNvPr id="2" name="吹き出し: 角を丸めた四角形 1">
          <a:extLst>
            <a:ext uri="{FF2B5EF4-FFF2-40B4-BE49-F238E27FC236}">
              <a16:creationId xmlns:a16="http://schemas.microsoft.com/office/drawing/2014/main" id="{00000000-0008-0000-1100-000002000000}"/>
            </a:ext>
          </a:extLst>
        </xdr:cNvPr>
        <xdr:cNvSpPr/>
      </xdr:nvSpPr>
      <xdr:spPr>
        <a:xfrm>
          <a:off x="85725" y="289341"/>
          <a:ext cx="2558912" cy="1754392"/>
        </a:xfrm>
        <a:prstGeom prst="wedgeRoundRectCallout">
          <a:avLst>
            <a:gd name="adj1" fmla="val -21126"/>
            <a:gd name="adj2" fmla="val -3235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「令和４年度末の現在高」と「預金利子」のみ、入力してください。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147432</xdr:colOff>
      <xdr:row>0</xdr:row>
      <xdr:rowOff>281194</xdr:rowOff>
    </xdr:from>
    <xdr:to>
      <xdr:col>4</xdr:col>
      <xdr:colOff>1104487</xdr:colOff>
      <xdr:row>6</xdr:row>
      <xdr:rowOff>135833</xdr:rowOff>
    </xdr:to>
    <xdr:sp macro="" textlink="">
      <xdr:nvSpPr>
        <xdr:cNvPr id="3" name="吹き出し: 角を丸めた四角形 2">
          <a:extLst>
            <a:ext uri="{FF2B5EF4-FFF2-40B4-BE49-F238E27FC236}">
              <a16:creationId xmlns:a16="http://schemas.microsoft.com/office/drawing/2014/main" id="{00000000-0008-0000-1100-000003000000}"/>
            </a:ext>
          </a:extLst>
        </xdr:cNvPr>
        <xdr:cNvSpPr/>
      </xdr:nvSpPr>
      <xdr:spPr>
        <a:xfrm>
          <a:off x="4557507" y="281194"/>
          <a:ext cx="2319130" cy="1740589"/>
        </a:xfrm>
        <a:prstGeom prst="wedgeRoundRectCallout">
          <a:avLst>
            <a:gd name="adj1" fmla="val -22008"/>
            <a:gd name="adj2" fmla="val -3805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「取崩額」と「繰入金」は、決算書からリンクしています。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1151283</xdr:colOff>
      <xdr:row>12</xdr:row>
      <xdr:rowOff>107674</xdr:rowOff>
    </xdr:from>
    <xdr:to>
      <xdr:col>4</xdr:col>
      <xdr:colOff>1076739</xdr:colOff>
      <xdr:row>22</xdr:row>
      <xdr:rowOff>99391</xdr:rowOff>
    </xdr:to>
    <xdr:sp macro="" textlink="">
      <xdr:nvSpPr>
        <xdr:cNvPr id="4" name="吹き出し: 角を丸めた四角形 3">
          <a:extLst>
            <a:ext uri="{FF2B5EF4-FFF2-40B4-BE49-F238E27FC236}">
              <a16:creationId xmlns:a16="http://schemas.microsoft.com/office/drawing/2014/main" id="{00000000-0008-0000-1100-000004000000}"/>
            </a:ext>
          </a:extLst>
        </xdr:cNvPr>
        <xdr:cNvSpPr/>
      </xdr:nvSpPr>
      <xdr:spPr>
        <a:xfrm>
          <a:off x="5561358" y="3936724"/>
          <a:ext cx="1287531" cy="1715742"/>
        </a:xfrm>
        <a:prstGeom prst="wedgeRoundRectCallout">
          <a:avLst>
            <a:gd name="adj1" fmla="val 39282"/>
            <a:gd name="adj2" fmla="val -9805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「令和</a:t>
          </a:r>
          <a:r>
            <a:rPr kumimoji="1" lang="en-US" altLang="ja-JP" sz="1600">
              <a:solidFill>
                <a:schemeClr val="bg1"/>
              </a:solidFill>
              <a:latin typeface="BIZ UDPゴシック" panose="020B0400000000000000" pitchFamily="50" charset="-128"/>
              <a:ea typeface="BIZ UDPゴシック" panose="020B0400000000000000" pitchFamily="50" charset="-128"/>
            </a:rPr>
            <a:t>5</a:t>
          </a:r>
          <a:r>
            <a:rPr kumimoji="1" lang="ja-JP" altLang="en-US" sz="1600">
              <a:solidFill>
                <a:schemeClr val="bg1"/>
              </a:solidFill>
              <a:latin typeface="BIZ UDPゴシック" panose="020B0400000000000000" pitchFamily="50" charset="-128"/>
              <a:ea typeface="BIZ UDPゴシック" panose="020B0400000000000000" pitchFamily="50" charset="-128"/>
            </a:rPr>
            <a:t>年度末の現在高」を確認してください。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800100</xdr:colOff>
      <xdr:row>6</xdr:row>
      <xdr:rowOff>161925</xdr:rowOff>
    </xdr:from>
    <xdr:to>
      <xdr:col>0</xdr:col>
      <xdr:colOff>800101</xdr:colOff>
      <xdr:row>8</xdr:row>
      <xdr:rowOff>266700</xdr:rowOff>
    </xdr:to>
    <xdr:cxnSp macro="">
      <xdr:nvCxnSpPr>
        <xdr:cNvPr id="6" name="直線矢印コネクタ 5">
          <a:extLst>
            <a:ext uri="{FF2B5EF4-FFF2-40B4-BE49-F238E27FC236}">
              <a16:creationId xmlns:a16="http://schemas.microsoft.com/office/drawing/2014/main" id="{00000000-0008-0000-1100-000006000000}"/>
            </a:ext>
          </a:extLst>
        </xdr:cNvPr>
        <xdr:cNvCxnSpPr/>
      </xdr:nvCxnSpPr>
      <xdr:spPr>
        <a:xfrm flipH="1">
          <a:off x="800100" y="2047875"/>
          <a:ext cx="1" cy="6572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1108006</xdr:colOff>
      <xdr:row>6</xdr:row>
      <xdr:rowOff>138733</xdr:rowOff>
    </xdr:from>
    <xdr:to>
      <xdr:col>2</xdr:col>
      <xdr:colOff>733425</xdr:colOff>
      <xdr:row>8</xdr:row>
      <xdr:rowOff>428625</xdr:rowOff>
    </xdr:to>
    <xdr:cxnSp macro="">
      <xdr:nvCxnSpPr>
        <xdr:cNvPr id="7" name="直線矢印コネクタ 6">
          <a:extLst>
            <a:ext uri="{FF2B5EF4-FFF2-40B4-BE49-F238E27FC236}">
              <a16:creationId xmlns:a16="http://schemas.microsoft.com/office/drawing/2014/main" id="{00000000-0008-0000-1100-000007000000}"/>
            </a:ext>
          </a:extLst>
        </xdr:cNvPr>
        <xdr:cNvCxnSpPr/>
      </xdr:nvCxnSpPr>
      <xdr:spPr>
        <a:xfrm>
          <a:off x="2470081" y="2024683"/>
          <a:ext cx="1311344" cy="84234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1181102</xdr:colOff>
      <xdr:row>6</xdr:row>
      <xdr:rowOff>47625</xdr:rowOff>
    </xdr:from>
    <xdr:to>
      <xdr:col>3</xdr:col>
      <xdr:colOff>219075</xdr:colOff>
      <xdr:row>8</xdr:row>
      <xdr:rowOff>276225</xdr:rowOff>
    </xdr:to>
    <xdr:cxnSp macro="">
      <xdr:nvCxnSpPr>
        <xdr:cNvPr id="10" name="直線矢印コネクタ 9">
          <a:extLst>
            <a:ext uri="{FF2B5EF4-FFF2-40B4-BE49-F238E27FC236}">
              <a16:creationId xmlns:a16="http://schemas.microsoft.com/office/drawing/2014/main" id="{00000000-0008-0000-1100-00000A000000}"/>
            </a:ext>
          </a:extLst>
        </xdr:cNvPr>
        <xdr:cNvCxnSpPr/>
      </xdr:nvCxnSpPr>
      <xdr:spPr>
        <a:xfrm flipH="1">
          <a:off x="2543177" y="1933575"/>
          <a:ext cx="2085973" cy="78105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219075</xdr:colOff>
      <xdr:row>6</xdr:row>
      <xdr:rowOff>28575</xdr:rowOff>
    </xdr:from>
    <xdr:to>
      <xdr:col>3</xdr:col>
      <xdr:colOff>771526</xdr:colOff>
      <xdr:row>8</xdr:row>
      <xdr:rowOff>295275</xdr:rowOff>
    </xdr:to>
    <xdr:cxnSp macro="">
      <xdr:nvCxnSpPr>
        <xdr:cNvPr id="12" name="直線矢印コネクタ 11">
          <a:extLst>
            <a:ext uri="{FF2B5EF4-FFF2-40B4-BE49-F238E27FC236}">
              <a16:creationId xmlns:a16="http://schemas.microsoft.com/office/drawing/2014/main" id="{00000000-0008-0000-1100-00000C000000}"/>
            </a:ext>
          </a:extLst>
        </xdr:cNvPr>
        <xdr:cNvCxnSpPr/>
      </xdr:nvCxnSpPr>
      <xdr:spPr>
        <a:xfrm>
          <a:off x="4629150" y="1914525"/>
          <a:ext cx="552451" cy="81915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298173</xdr:colOff>
      <xdr:row>14</xdr:row>
      <xdr:rowOff>149087</xdr:rowOff>
    </xdr:from>
    <xdr:to>
      <xdr:col>2</xdr:col>
      <xdr:colOff>2486440</xdr:colOff>
      <xdr:row>26</xdr:row>
      <xdr:rowOff>43070</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795130" y="3627783"/>
          <a:ext cx="4267201" cy="1981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入力もれのチェックシートです。</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オレンジ色のセルがある場合は、</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該当箇所を確認してください。</a:t>
          </a:r>
          <a:endParaRPr kumimoji="1" lang="en-US" altLang="ja-JP" sz="1600">
            <a:latin typeface="BIZ UDPゴシック" panose="020B0400000000000000" pitchFamily="50" charset="-128"/>
            <a:ea typeface="BIZ UDPゴシック" panose="020B0400000000000000" pitchFamily="50" charset="-128"/>
          </a:endParaRPr>
        </a:p>
        <a:p>
          <a:pPr algn="l"/>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b="1" u="sng">
              <a:solidFill>
                <a:schemeClr val="bg1"/>
              </a:solidFill>
              <a:latin typeface="BIZ UDPゴシック" panose="020B0400000000000000" pitchFamily="50" charset="-128"/>
              <a:ea typeface="BIZ UDPゴシック" panose="020B0400000000000000" pitchFamily="50" charset="-128"/>
            </a:rPr>
            <a:t>★このシート自体の提出は不要です。</a:t>
          </a:r>
          <a:endParaRPr kumimoji="1" lang="en-US" altLang="ja-JP" sz="1600" b="1" u="sng">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324971</xdr:colOff>
      <xdr:row>2</xdr:row>
      <xdr:rowOff>57977</xdr:rowOff>
    </xdr:from>
    <xdr:to>
      <xdr:col>11</xdr:col>
      <xdr:colOff>149087</xdr:colOff>
      <xdr:row>8</xdr:row>
      <xdr:rowOff>33617</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1232647" y="472595"/>
          <a:ext cx="4306469" cy="1544463"/>
        </a:xfrm>
        <a:prstGeom prst="wedgeRoundRectCallout">
          <a:avLst>
            <a:gd name="adj1" fmla="val 69248"/>
            <a:gd name="adj2" fmla="val -172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ひとりあたりの金額を入力</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学年により異なる場合は、最も高い金額を入力</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p>
      </xdr:txBody>
    </xdr:sp>
    <xdr:clientData/>
  </xdr:twoCellAnchor>
  <xdr:twoCellAnchor>
    <xdr:from>
      <xdr:col>11</xdr:col>
      <xdr:colOff>291353</xdr:colOff>
      <xdr:row>8</xdr:row>
      <xdr:rowOff>158832</xdr:rowOff>
    </xdr:from>
    <xdr:to>
      <xdr:col>19</xdr:col>
      <xdr:colOff>44336</xdr:colOff>
      <xdr:row>14</xdr:row>
      <xdr:rowOff>100853</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5681382" y="2142273"/>
          <a:ext cx="3193189" cy="1555668"/>
        </a:xfrm>
        <a:prstGeom prst="wedgeRoundRectCallout">
          <a:avLst>
            <a:gd name="adj1" fmla="val 65424"/>
            <a:gd name="adj2" fmla="val -653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割引額は自動計算です。</a:t>
          </a:r>
          <a:endParaRPr kumimoji="1" lang="en-US" altLang="ja-JP" sz="1600">
            <a:latin typeface="BIZ UDPゴシック" panose="020B0400000000000000" pitchFamily="50" charset="-128"/>
            <a:ea typeface="BIZ UDPゴシック" panose="020B0400000000000000" pitchFamily="50" charset="-128"/>
          </a:endParaRPr>
        </a:p>
        <a:p>
          <a:pPr algn="l"/>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学年により異なる場合は、</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手入力</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1</xdr:row>
      <xdr:rowOff>76200</xdr:rowOff>
    </xdr:from>
    <xdr:to>
      <xdr:col>15</xdr:col>
      <xdr:colOff>123825</xdr:colOff>
      <xdr:row>18</xdr:row>
      <xdr:rowOff>142875</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1990725" y="247650"/>
          <a:ext cx="5829300" cy="3105150"/>
        </a:xfrm>
        <a:prstGeom prst="wedgeRoundRectCallout">
          <a:avLst>
            <a:gd name="adj1" fmla="val -68225"/>
            <a:gd name="adj2" fmla="val -697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①クラブ児童数</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週の利用頻度により分けて入力</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・週５利用→１人　　　　・週４利用→</a:t>
          </a:r>
          <a:r>
            <a:rPr kumimoji="1" lang="en-US" altLang="ja-JP" sz="1600">
              <a:solidFill>
                <a:schemeClr val="bg1"/>
              </a:solidFill>
              <a:latin typeface="BIZ UDPゴシック" panose="020B0400000000000000" pitchFamily="50" charset="-128"/>
              <a:ea typeface="BIZ UDPゴシック" panose="020B0400000000000000" pitchFamily="50" charset="-128"/>
            </a:rPr>
            <a:t>0.8</a:t>
          </a:r>
          <a:r>
            <a:rPr kumimoji="1" lang="ja-JP" altLang="en-US" sz="1600">
              <a:solidFill>
                <a:schemeClr val="bg1"/>
              </a:solidFill>
              <a:latin typeface="BIZ UDPゴシック" panose="020B0400000000000000" pitchFamily="50" charset="-128"/>
              <a:ea typeface="BIZ UDPゴシック" panose="020B0400000000000000" pitchFamily="50" charset="-128"/>
            </a:rPr>
            <a:t>人</a:t>
          </a: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・週３利用→</a:t>
          </a:r>
          <a:r>
            <a:rPr kumimoji="1" lang="en-US" altLang="ja-JP" sz="1600">
              <a:solidFill>
                <a:schemeClr val="bg1"/>
              </a:solidFill>
              <a:latin typeface="BIZ UDPゴシック" panose="020B0400000000000000" pitchFamily="50" charset="-128"/>
              <a:ea typeface="BIZ UDPゴシック" panose="020B0400000000000000" pitchFamily="50" charset="-128"/>
            </a:rPr>
            <a:t>0.6</a:t>
          </a:r>
          <a:r>
            <a:rPr kumimoji="1" lang="ja-JP" altLang="en-US" sz="1600">
              <a:solidFill>
                <a:schemeClr val="bg1"/>
              </a:solidFill>
              <a:latin typeface="BIZ UDPゴシック" panose="020B0400000000000000" pitchFamily="50" charset="-128"/>
              <a:ea typeface="BIZ UDPゴシック" panose="020B0400000000000000" pitchFamily="50" charset="-128"/>
            </a:rPr>
            <a:t>人　　・週２利用→</a:t>
          </a:r>
          <a:r>
            <a:rPr kumimoji="1" lang="en-US" altLang="ja-JP" sz="1600">
              <a:solidFill>
                <a:schemeClr val="bg1"/>
              </a:solidFill>
              <a:latin typeface="BIZ UDPゴシック" panose="020B0400000000000000" pitchFamily="50" charset="-128"/>
              <a:ea typeface="BIZ UDPゴシック" panose="020B0400000000000000" pitchFamily="50" charset="-128"/>
            </a:rPr>
            <a:t>0.4</a:t>
          </a:r>
          <a:r>
            <a:rPr kumimoji="1" lang="ja-JP" altLang="en-US" sz="1600">
              <a:solidFill>
                <a:schemeClr val="bg1"/>
              </a:solidFill>
              <a:latin typeface="BIZ UDPゴシック" panose="020B0400000000000000" pitchFamily="50" charset="-128"/>
              <a:ea typeface="BIZ UDPゴシック" panose="020B0400000000000000" pitchFamily="50" charset="-128"/>
            </a:rPr>
            <a:t>人</a:t>
          </a: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・週１利用→</a:t>
          </a:r>
          <a:r>
            <a:rPr kumimoji="1" lang="en-US" altLang="ja-JP" sz="1600">
              <a:solidFill>
                <a:schemeClr val="bg1"/>
              </a:solidFill>
              <a:latin typeface="BIZ UDPゴシック" panose="020B0400000000000000" pitchFamily="50" charset="-128"/>
              <a:ea typeface="BIZ UDPゴシック" panose="020B0400000000000000" pitchFamily="50" charset="-128"/>
            </a:rPr>
            <a:t>0.2</a:t>
          </a:r>
          <a:r>
            <a:rPr kumimoji="1" lang="ja-JP" altLang="en-US" sz="1600">
              <a:solidFill>
                <a:schemeClr val="bg1"/>
              </a:solidFill>
              <a:latin typeface="BIZ UDPゴシック" panose="020B0400000000000000" pitchFamily="50" charset="-128"/>
              <a:ea typeface="BIZ UDPゴシック" panose="020B0400000000000000" pitchFamily="50" charset="-128"/>
            </a:rPr>
            <a:t>人　　で計算してください。</a:t>
          </a: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②うち障害児</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月ごとに障害児の人数を入力してください。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en-US" altLang="ja-JP" sz="1800" b="1" u="sng">
              <a:solidFill>
                <a:schemeClr val="bg1"/>
              </a:solidFill>
              <a:latin typeface="HGS創英角ｺﾞｼｯｸUB" panose="020B0900000000000000" pitchFamily="50" charset="-128"/>
              <a:ea typeface="HGS創英角ｺﾞｼｯｸUB" panose="020B0900000000000000" pitchFamily="50" charset="-128"/>
            </a:rPr>
            <a:t>A</a:t>
          </a:r>
          <a:r>
            <a:rPr kumimoji="1" lang="ja-JP" altLang="en-US" sz="1800" b="1" u="sng">
              <a:solidFill>
                <a:schemeClr val="bg1"/>
              </a:solidFill>
              <a:latin typeface="HGS創英角ｺﾞｼｯｸUB" panose="020B0900000000000000" pitchFamily="50" charset="-128"/>
              <a:ea typeface="HGS創英角ｺﾞｼｯｸUB" panose="020B0900000000000000" pitchFamily="50" charset="-128"/>
            </a:rPr>
            <a:t>に入力したら</a:t>
          </a:r>
          <a:r>
            <a:rPr kumimoji="1" lang="en-US" altLang="ja-JP" sz="1800" b="1" u="sng">
              <a:solidFill>
                <a:schemeClr val="bg1"/>
              </a:solidFill>
              <a:latin typeface="HGS創英角ｺﾞｼｯｸUB" panose="020B0900000000000000" pitchFamily="50" charset="-128"/>
              <a:ea typeface="HGS創英角ｺﾞｼｯｸUB" panose="020B0900000000000000" pitchFamily="50" charset="-128"/>
            </a:rPr>
            <a:t>B</a:t>
          </a:r>
          <a:r>
            <a:rPr kumimoji="1" lang="ja-JP" altLang="en-US" sz="1800" b="1" u="sng">
              <a:solidFill>
                <a:schemeClr val="bg1"/>
              </a:solidFill>
              <a:latin typeface="HGS創英角ｺﾞｼｯｸUB" panose="020B0900000000000000" pitchFamily="50" charset="-128"/>
              <a:ea typeface="HGS創英角ｺﾞｼｯｸUB" panose="020B0900000000000000" pitchFamily="50" charset="-128"/>
            </a:rPr>
            <a:t>には入力しないでください！</a:t>
          </a:r>
        </a:p>
      </xdr:txBody>
    </xdr:sp>
    <xdr:clientData/>
  </xdr:twoCellAnchor>
  <xdr:twoCellAnchor>
    <xdr:from>
      <xdr:col>16</xdr:col>
      <xdr:colOff>628650</xdr:colOff>
      <xdr:row>4</xdr:row>
      <xdr:rowOff>142875</xdr:rowOff>
    </xdr:from>
    <xdr:to>
      <xdr:col>21</xdr:col>
      <xdr:colOff>457200</xdr:colOff>
      <xdr:row>11</xdr:row>
      <xdr:rowOff>114300</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8905875" y="866775"/>
          <a:ext cx="4629150" cy="1200150"/>
        </a:xfrm>
        <a:prstGeom prst="wedgeRoundRectCallout">
          <a:avLst>
            <a:gd name="adj1" fmla="val -56130"/>
            <a:gd name="adj2" fmla="val -227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u="none">
              <a:latin typeface="BIZ UDPゴシック" panose="020B0400000000000000" pitchFamily="50" charset="-128"/>
              <a:ea typeface="BIZ UDPゴシック" panose="020B0400000000000000" pitchFamily="50" charset="-128"/>
            </a:rPr>
            <a:t>様式１と比較し、合計が合っていない場合は</a:t>
          </a:r>
          <a:endParaRPr kumimoji="1" lang="en-US" altLang="ja-JP" sz="1600" b="0" u="none">
            <a:latin typeface="BIZ UDPゴシック" panose="020B0400000000000000" pitchFamily="50" charset="-128"/>
            <a:ea typeface="BIZ UDPゴシック" panose="020B0400000000000000" pitchFamily="50" charset="-128"/>
          </a:endParaRPr>
        </a:p>
        <a:p>
          <a:pPr algn="l"/>
          <a:r>
            <a:rPr kumimoji="1" lang="ja-JP" altLang="en-US" sz="1600" b="0" u="none">
              <a:latin typeface="BIZ UDPゴシック" panose="020B0400000000000000" pitchFamily="50" charset="-128"/>
              <a:ea typeface="BIZ UDPゴシック" panose="020B0400000000000000" pitchFamily="50" charset="-128"/>
            </a:rPr>
            <a:t>エラーが出ます。</a:t>
          </a:r>
          <a:endParaRPr kumimoji="1" lang="en-US" altLang="ja-JP" sz="1600" b="0" u="none">
            <a:latin typeface="BIZ UDPゴシック" panose="020B0400000000000000" pitchFamily="50" charset="-128"/>
            <a:ea typeface="BIZ UDPゴシック" panose="020B0400000000000000" pitchFamily="50" charset="-128"/>
          </a:endParaRPr>
        </a:p>
        <a:p>
          <a:pPr algn="l"/>
          <a:r>
            <a:rPr kumimoji="1" lang="ja-JP" altLang="en-US" sz="1600" b="0" u="none">
              <a:latin typeface="BIZ UDPゴシック" panose="020B0400000000000000" pitchFamily="50" charset="-128"/>
              <a:ea typeface="BIZ UDPゴシック" panose="020B0400000000000000" pitchFamily="50" charset="-128"/>
            </a:rPr>
            <a:t>「</a:t>
          </a:r>
          <a:r>
            <a:rPr kumimoji="1" lang="en-US" altLang="ja-JP" sz="1600" b="0" u="none">
              <a:latin typeface="BIZ UDPゴシック" panose="020B0400000000000000" pitchFamily="50" charset="-128"/>
              <a:ea typeface="BIZ UDPゴシック" panose="020B0400000000000000" pitchFamily="50" charset="-128"/>
            </a:rPr>
            <a:t>OK</a:t>
          </a:r>
          <a:r>
            <a:rPr kumimoji="1" lang="ja-JP" altLang="en-US" sz="1600" b="0" u="none">
              <a:latin typeface="BIZ UDPゴシック" panose="020B0400000000000000" pitchFamily="50" charset="-128"/>
              <a:ea typeface="BIZ UDPゴシック" panose="020B0400000000000000" pitchFamily="50" charset="-128"/>
            </a:rPr>
            <a:t>」のみになれば提出可能です。</a:t>
          </a:r>
          <a:endParaRPr kumimoji="1" lang="en-US" altLang="ja-JP" sz="1600" b="0" u="none">
            <a:latin typeface="BIZ UDPゴシック" panose="020B0400000000000000" pitchFamily="50" charset="-128"/>
            <a:ea typeface="BIZ UDPゴシック" panose="020B0400000000000000" pitchFamily="50" charset="-128"/>
          </a:endParaRPr>
        </a:p>
        <a:p>
          <a:pPr algn="l"/>
          <a:endParaRPr kumimoji="1" lang="en-US" altLang="ja-JP" sz="1600" b="0" u="none">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723900</xdr:colOff>
      <xdr:row>14</xdr:row>
      <xdr:rowOff>9525</xdr:rowOff>
    </xdr:from>
    <xdr:to>
      <xdr:col>21</xdr:col>
      <xdr:colOff>228600</xdr:colOff>
      <xdr:row>20</xdr:row>
      <xdr:rowOff>200025</xdr:rowOff>
    </xdr:to>
    <xdr:sp macro="" textlink="">
      <xdr:nvSpPr>
        <xdr:cNvPr id="8" name="吹き出し: 角を丸めた四角形 7">
          <a:extLst>
            <a:ext uri="{FF2B5EF4-FFF2-40B4-BE49-F238E27FC236}">
              <a16:creationId xmlns:a16="http://schemas.microsoft.com/office/drawing/2014/main" id="{00000000-0008-0000-0300-000008000000}"/>
            </a:ext>
          </a:extLst>
        </xdr:cNvPr>
        <xdr:cNvSpPr/>
      </xdr:nvSpPr>
      <xdr:spPr>
        <a:xfrm>
          <a:off x="9001125" y="2495550"/>
          <a:ext cx="4305300" cy="1266825"/>
        </a:xfrm>
        <a:prstGeom prst="wedgeRoundRectCallout">
          <a:avLst>
            <a:gd name="adj1" fmla="val -61223"/>
            <a:gd name="adj2" fmla="val -4422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u="sng">
              <a:solidFill>
                <a:schemeClr val="bg1"/>
              </a:solidFill>
              <a:latin typeface="HGS創英角ｺﾞｼｯｸUB" panose="020B0900000000000000" pitchFamily="50" charset="-128"/>
              <a:ea typeface="HGS創英角ｺﾞｼｯｸUB" panose="020B0900000000000000" pitchFamily="50" charset="-128"/>
            </a:rPr>
            <a:t>Ｂに入力したらＡには入力しないでください！</a:t>
          </a:r>
          <a:endParaRPr kumimoji="1" lang="en-US" altLang="ja-JP" sz="1600" b="0" u="none">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0</xdr:colOff>
      <xdr:row>25</xdr:row>
      <xdr:rowOff>228600</xdr:rowOff>
    </xdr:from>
    <xdr:to>
      <xdr:col>0</xdr:col>
      <xdr:colOff>352424</xdr:colOff>
      <xdr:row>34</xdr:row>
      <xdr:rowOff>111371</xdr:rowOff>
    </xdr:to>
    <xdr:sp macro="" textlink="">
      <xdr:nvSpPr>
        <xdr:cNvPr id="9" name="矢印: 上向き折線 8">
          <a:extLst>
            <a:ext uri="{FF2B5EF4-FFF2-40B4-BE49-F238E27FC236}">
              <a16:creationId xmlns:a16="http://schemas.microsoft.com/office/drawing/2014/main" id="{00000000-0008-0000-0300-000009000000}"/>
            </a:ext>
          </a:extLst>
        </xdr:cNvPr>
        <xdr:cNvSpPr/>
      </xdr:nvSpPr>
      <xdr:spPr>
        <a:xfrm rot="10800000">
          <a:off x="0" y="5029200"/>
          <a:ext cx="352424" cy="2216396"/>
        </a:xfrm>
        <a:prstGeom prst="bentUpArrow">
          <a:avLst>
            <a:gd name="adj1" fmla="val 32857"/>
            <a:gd name="adj2" fmla="val 36119"/>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118240</xdr:colOff>
      <xdr:row>34</xdr:row>
      <xdr:rowOff>158996</xdr:rowOff>
    </xdr:from>
    <xdr:to>
      <xdr:col>16</xdr:col>
      <xdr:colOff>866775</xdr:colOff>
      <xdr:row>43</xdr:row>
      <xdr:rowOff>57150</xdr:rowOff>
    </xdr:to>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18240" y="7293221"/>
          <a:ext cx="9025760" cy="1441204"/>
        </a:xfrm>
        <a:prstGeom prst="wedgeRectCallout">
          <a:avLst>
            <a:gd name="adj1" fmla="val 18943"/>
            <a:gd name="adj2" fmla="val -286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HGｺﾞｼｯｸE" panose="020B0909000000000000" pitchFamily="49" charset="-128"/>
              <a:ea typeface="HGｺﾞｼｯｸE" panose="020B0909000000000000" pitchFamily="49" charset="-128"/>
            </a:rPr>
            <a:t>手書きの場合</a:t>
          </a:r>
          <a:endParaRPr kumimoji="1" lang="en-US" altLang="ja-JP" sz="1600">
            <a:latin typeface="HGｺﾞｼｯｸE" panose="020B0909000000000000" pitchFamily="49" charset="-128"/>
            <a:ea typeface="HGｺﾞｼｯｸE" panose="020B0909000000000000" pitchFamily="49" charset="-128"/>
          </a:endParaRPr>
        </a:p>
        <a:p>
          <a:pPr algn="l"/>
          <a:r>
            <a:rPr kumimoji="1" lang="ja-JP" altLang="en-US" sz="1600">
              <a:latin typeface="HGｺﾞｼｯｸE" panose="020B0909000000000000" pitchFamily="49" charset="-128"/>
              <a:ea typeface="HGｺﾞｼｯｸE" panose="020B0909000000000000" pitchFamily="49" charset="-128"/>
            </a:rPr>
            <a:t>　障害児受入加算　　：</a:t>
          </a:r>
          <a:r>
            <a:rPr kumimoji="1" lang="en-US" altLang="ja-JP" sz="1600">
              <a:latin typeface="HGｺﾞｼｯｸE" panose="020B0909000000000000" pitchFamily="49" charset="-128"/>
              <a:ea typeface="HGｺﾞｼｯｸE" panose="020B0909000000000000" pitchFamily="49" charset="-128"/>
            </a:rPr>
            <a:t>2,009,000</a:t>
          </a:r>
          <a:r>
            <a:rPr kumimoji="1" lang="ja-JP" altLang="en-US" sz="1600">
              <a:latin typeface="HGｺﾞｼｯｸE" panose="020B0909000000000000" pitchFamily="49" charset="-128"/>
              <a:ea typeface="HGｺﾞｼｯｸE" panose="020B0909000000000000" pitchFamily="49" charset="-128"/>
            </a:rPr>
            <a:t>　</a:t>
          </a:r>
          <a:r>
            <a:rPr kumimoji="1" lang="en-US" altLang="ja-JP" sz="1600">
              <a:latin typeface="HGｺﾞｼｯｸE" panose="020B0909000000000000" pitchFamily="49" charset="-128"/>
              <a:ea typeface="HGｺﾞｼｯｸE" panose="020B0909000000000000" pitchFamily="49" charset="-128"/>
            </a:rPr>
            <a:t>×</a:t>
          </a:r>
          <a:r>
            <a:rPr kumimoji="1" lang="ja-JP" altLang="en-US" sz="1600">
              <a:latin typeface="HGｺﾞｼｯｸE" panose="020B0909000000000000" pitchFamily="49" charset="-128"/>
              <a:ea typeface="HGｺﾞｼｯｸE" panose="020B0909000000000000" pitchFamily="49" charset="-128"/>
            </a:rPr>
            <a:t>　対象月数　</a:t>
          </a:r>
          <a:r>
            <a:rPr kumimoji="1" lang="en-US" altLang="ja-JP" sz="1600">
              <a:latin typeface="HGｺﾞｼｯｸE" panose="020B0909000000000000" pitchFamily="49" charset="-128"/>
              <a:ea typeface="HGｺﾞｼｯｸE" panose="020B0909000000000000" pitchFamily="49" charset="-128"/>
            </a:rPr>
            <a:t>÷</a:t>
          </a:r>
          <a:r>
            <a:rPr kumimoji="1" lang="ja-JP" altLang="en-US" sz="1600">
              <a:latin typeface="HGｺﾞｼｯｸE" panose="020B0909000000000000" pitchFamily="49" charset="-128"/>
              <a:ea typeface="HGｺﾞｼｯｸE" panose="020B0909000000000000" pitchFamily="49" charset="-128"/>
            </a:rPr>
            <a:t>　</a:t>
          </a:r>
          <a:r>
            <a:rPr kumimoji="1" lang="en-US" altLang="ja-JP" sz="1600">
              <a:latin typeface="HGｺﾞｼｯｸE" panose="020B0909000000000000" pitchFamily="49" charset="-128"/>
              <a:ea typeface="HGｺﾞｼｯｸE" panose="020B0909000000000000" pitchFamily="49" charset="-128"/>
            </a:rPr>
            <a:t>12</a:t>
          </a:r>
          <a:r>
            <a:rPr kumimoji="1" lang="ja-JP" altLang="en-US" sz="1600">
              <a:latin typeface="HGｺﾞｼｯｸE" panose="020B0909000000000000" pitchFamily="49" charset="-128"/>
              <a:ea typeface="HGｺﾞｼｯｸE" panose="020B0909000000000000" pitchFamily="49" charset="-128"/>
            </a:rPr>
            <a:t>　</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千円未満切り捨て</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a:t>
          </a:r>
          <a:endParaRPr kumimoji="1" lang="en-US" altLang="ja-JP" sz="1600">
            <a:latin typeface="HGｺﾞｼｯｸE" panose="020B0909000000000000" pitchFamily="49" charset="-128"/>
            <a:ea typeface="HGｺﾞｼｯｸE" panose="020B0909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latin typeface="HGｺﾞｼｯｸE" panose="020B0909000000000000" pitchFamily="49" charset="-128"/>
              <a:ea typeface="HGｺﾞｼｯｸE" panose="020B0909000000000000" pitchFamily="49" charset="-128"/>
            </a:rPr>
            <a:t>　障害児受入特別加算：　</a:t>
          </a:r>
          <a:r>
            <a:rPr kumimoji="1" lang="en-US" altLang="ja-JP" sz="1600">
              <a:latin typeface="HGｺﾞｼｯｸE" panose="020B0909000000000000" pitchFamily="49" charset="-128"/>
              <a:ea typeface="HGｺﾞｼｯｸE" panose="020B0909000000000000" pitchFamily="49" charset="-128"/>
            </a:rPr>
            <a:t>401,000</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　</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　対象月数　</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　</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12</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　</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千円未満切り捨て</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HGｺﾞｼｯｸE" panose="020B0909000000000000" pitchFamily="49" charset="-128"/>
              <a:ea typeface="HGｺﾞｼｯｸE" panose="020B0909000000000000" pitchFamily="49" charset="-128"/>
              <a:cs typeface="+mn-cs"/>
            </a:rPr>
            <a:t>　障害児受入強化加算</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2,000,000</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　</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　対象月数　</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　</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12</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　</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a:t>
          </a:r>
          <a:r>
            <a:rPr kumimoji="1" lang="ja-JP" altLang="ja-JP" sz="1600">
              <a:solidFill>
                <a:schemeClr val="lt1"/>
              </a:solidFill>
              <a:effectLst/>
              <a:latin typeface="HGｺﾞｼｯｸE" panose="020B0909000000000000" pitchFamily="49" charset="-128"/>
              <a:ea typeface="HGｺﾞｼｯｸE" panose="020B0909000000000000" pitchFamily="49" charset="-128"/>
              <a:cs typeface="+mn-cs"/>
            </a:rPr>
            <a:t>千円未満切り捨て</a:t>
          </a:r>
          <a:r>
            <a:rPr kumimoji="1" lang="en-US" altLang="ja-JP" sz="1600">
              <a:solidFill>
                <a:schemeClr val="lt1"/>
              </a:solidFill>
              <a:effectLst/>
              <a:latin typeface="HGｺﾞｼｯｸE" panose="020B0909000000000000" pitchFamily="49" charset="-128"/>
              <a:ea typeface="HGｺﾞｼｯｸE" panose="020B0909000000000000" pitchFamily="49" charset="-128"/>
              <a:cs typeface="+mn-cs"/>
            </a:rPr>
            <a:t>)</a:t>
          </a:r>
          <a:endParaRPr kumimoji="1" lang="ja-JP" altLang="en-US" sz="1600">
            <a:latin typeface="HGｺﾞｼｯｸE" panose="020B0909000000000000" pitchFamily="49" charset="-128"/>
            <a:ea typeface="HGｺﾞｼｯｸE" panose="020B0909000000000000" pitchFamily="49" charset="-128"/>
          </a:endParaRPr>
        </a:p>
      </xdr:txBody>
    </xdr:sp>
    <xdr:clientData/>
  </xdr:twoCellAnchor>
  <xdr:twoCellAnchor>
    <xdr:from>
      <xdr:col>1</xdr:col>
      <xdr:colOff>342900</xdr:colOff>
      <xdr:row>23</xdr:row>
      <xdr:rowOff>152760</xdr:rowOff>
    </xdr:from>
    <xdr:to>
      <xdr:col>9</xdr:col>
      <xdr:colOff>191039</xdr:colOff>
      <xdr:row>29</xdr:row>
      <xdr:rowOff>28575</xdr:rowOff>
    </xdr:to>
    <xdr:sp macro="" textlink="">
      <xdr:nvSpPr>
        <xdr:cNvPr id="11" name="吹き出し: 角を丸めた四角形 10">
          <a:extLst>
            <a:ext uri="{FF2B5EF4-FFF2-40B4-BE49-F238E27FC236}">
              <a16:creationId xmlns:a16="http://schemas.microsoft.com/office/drawing/2014/main" id="{00000000-0008-0000-0300-00000B000000}"/>
            </a:ext>
          </a:extLst>
        </xdr:cNvPr>
        <xdr:cNvSpPr/>
      </xdr:nvSpPr>
      <xdr:spPr>
        <a:xfrm>
          <a:off x="723900" y="4277085"/>
          <a:ext cx="4134389" cy="1695090"/>
        </a:xfrm>
        <a:prstGeom prst="wedgeRoundRectCallout">
          <a:avLst>
            <a:gd name="adj1" fmla="val 70830"/>
            <a:gd name="adj2" fmla="val -55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u="none">
              <a:latin typeface="BIZ UDPゴシック" panose="020B0400000000000000" pitchFamily="50" charset="-128"/>
              <a:ea typeface="BIZ UDPゴシック" panose="020B0400000000000000" pitchFamily="50" charset="-128"/>
            </a:rPr>
            <a:t>障害児の人件費を</a:t>
          </a:r>
          <a:r>
            <a:rPr kumimoji="1" lang="ja-JP" altLang="en-US" sz="1600" b="0" u="none">
              <a:solidFill>
                <a:schemeClr val="bg1"/>
              </a:solidFill>
              <a:latin typeface="BIZ UDPゴシック" panose="020B0400000000000000" pitchFamily="50" charset="-128"/>
              <a:ea typeface="BIZ UDPゴシック" panose="020B0400000000000000" pitchFamily="50" charset="-128"/>
            </a:rPr>
            <a:t>入力してください。</a:t>
          </a:r>
          <a:endParaRPr kumimoji="1" lang="en-US" altLang="ja-JP" sz="1600" b="0" u="none">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b="0" u="none">
              <a:solidFill>
                <a:schemeClr val="bg1"/>
              </a:solidFill>
              <a:latin typeface="BIZ UDPゴシック" panose="020B0400000000000000" pitchFamily="50" charset="-128"/>
              <a:ea typeface="BIZ UDPゴシック" panose="020B0400000000000000" pitchFamily="50" charset="-128"/>
            </a:rPr>
            <a:t>カレンダーが入力済みであれば、</a:t>
          </a:r>
          <a:endParaRPr kumimoji="1" lang="en-US" altLang="ja-JP" sz="1600" b="0" u="none">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b="0" u="none">
              <a:solidFill>
                <a:schemeClr val="bg1"/>
              </a:solidFill>
              <a:latin typeface="BIZ UDPゴシック" panose="020B0400000000000000" pitchFamily="50" charset="-128"/>
              <a:ea typeface="BIZ UDPゴシック" panose="020B0400000000000000" pitchFamily="50" charset="-128"/>
            </a:rPr>
            <a:t>基本額以下は自動計算されます。</a:t>
          </a:r>
          <a:endParaRPr kumimoji="1" lang="en-US" altLang="ja-JP" sz="1600" b="0" u="none">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161924</xdr:colOff>
      <xdr:row>15</xdr:row>
      <xdr:rowOff>47624</xdr:rowOff>
    </xdr:from>
    <xdr:to>
      <xdr:col>13</xdr:col>
      <xdr:colOff>180974</xdr:colOff>
      <xdr:row>18</xdr:row>
      <xdr:rowOff>142874</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771524" y="5562599"/>
          <a:ext cx="4467225" cy="1438275"/>
        </a:xfrm>
        <a:prstGeom prst="wedgeRoundRectCallout">
          <a:avLst>
            <a:gd name="adj1" fmla="val -37582"/>
            <a:gd name="adj2" fmla="val -83564"/>
            <a:gd name="adj3" fmla="val 16667"/>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bg1"/>
              </a:solidFill>
              <a:latin typeface="BIZ UDPゴシック" panose="020B0400000000000000" pitchFamily="50" charset="-128"/>
              <a:ea typeface="BIZ UDPゴシック" panose="020B0400000000000000" pitchFamily="50" charset="-128"/>
            </a:rPr>
            <a:t>年度途中で支援員になった場合は、</a:t>
          </a:r>
          <a:endParaRPr kumimoji="1" lang="en-US" altLang="ja-JP" sz="1800" b="1">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b="1">
              <a:solidFill>
                <a:schemeClr val="bg1"/>
              </a:solidFill>
              <a:latin typeface="BIZ UDPゴシック" panose="020B0400000000000000" pitchFamily="50" charset="-128"/>
              <a:ea typeface="BIZ UDPゴシック" panose="020B0400000000000000" pitchFamily="50" charset="-128"/>
            </a:rPr>
            <a:t>二段に分けて記入してください。</a:t>
          </a:r>
          <a:endParaRPr kumimoji="1" lang="en-US" altLang="ja-JP" sz="1600" b="1">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b="1">
              <a:solidFill>
                <a:schemeClr val="bg1"/>
              </a:solidFill>
              <a:latin typeface="BIZ UDPゴシック" panose="020B0400000000000000" pitchFamily="50" charset="-128"/>
              <a:ea typeface="BIZ UDPゴシック" panose="020B0400000000000000" pitchFamily="50" charset="-128"/>
            </a:rPr>
            <a:t>支給額は支援員の行に入力してください。</a:t>
          </a:r>
        </a:p>
      </xdr:txBody>
    </xdr:sp>
    <xdr:clientData/>
  </xdr:twoCellAnchor>
  <xdr:twoCellAnchor>
    <xdr:from>
      <xdr:col>18</xdr:col>
      <xdr:colOff>342900</xdr:colOff>
      <xdr:row>1</xdr:row>
      <xdr:rowOff>56030</xdr:rowOff>
    </xdr:from>
    <xdr:to>
      <xdr:col>21</xdr:col>
      <xdr:colOff>498491</xdr:colOff>
      <xdr:row>4</xdr:row>
      <xdr:rowOff>67235</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10591800" y="294155"/>
          <a:ext cx="2946416" cy="725580"/>
        </a:xfrm>
        <a:prstGeom prst="wedgeRoundRectCallout">
          <a:avLst>
            <a:gd name="adj1" fmla="val 84033"/>
            <a:gd name="adj2" fmla="val -384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bg1"/>
              </a:solidFill>
              <a:latin typeface="BIZ UDPゴシック" panose="020B0400000000000000" pitchFamily="50" charset="-128"/>
              <a:ea typeface="BIZ UDPゴシック" panose="020B0400000000000000" pitchFamily="50" charset="-128"/>
            </a:rPr>
            <a:t>プルダウンで選択してください。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en-US" altLang="ja-JP" sz="1600">
              <a:solidFill>
                <a:schemeClr val="bg1"/>
              </a:solidFill>
              <a:latin typeface="HGS創英角ｺﾞｼｯｸUB" panose="020B0900000000000000" pitchFamily="50" charset="-128"/>
              <a:ea typeface="HGS創英角ｺﾞｼｯｸUB" panose="020B0900000000000000" pitchFamily="50" charset="-128"/>
            </a:rPr>
            <a:t>※</a:t>
          </a:r>
          <a:r>
            <a:rPr kumimoji="1" lang="ja-JP" altLang="en-US" sz="1600">
              <a:solidFill>
                <a:schemeClr val="bg1"/>
              </a:solidFill>
              <a:latin typeface="HGS創英角ｺﾞｼｯｸUB" panose="020B0900000000000000" pitchFamily="50" charset="-128"/>
              <a:ea typeface="HGS創英角ｺﾞｼｯｸUB" panose="020B0900000000000000" pitchFamily="50" charset="-128"/>
            </a:rPr>
            <a:t>漏れが多い箇所です。</a:t>
          </a:r>
          <a:endParaRPr kumimoji="1" lang="en-US" altLang="ja-JP" sz="1600">
            <a:solidFill>
              <a:schemeClr val="bg1"/>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18</xdr:col>
      <xdr:colOff>448235</xdr:colOff>
      <xdr:row>7</xdr:row>
      <xdr:rowOff>179295</xdr:rowOff>
    </xdr:from>
    <xdr:to>
      <xdr:col>26</xdr:col>
      <xdr:colOff>638735</xdr:colOff>
      <xdr:row>14</xdr:row>
      <xdr:rowOff>9525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697135" y="2112870"/>
          <a:ext cx="8934450" cy="2963955"/>
        </a:xfrm>
        <a:prstGeom prst="rect">
          <a:avLst/>
        </a:prstGeom>
        <a:solidFill>
          <a:srgbClr val="FF00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0" i="0">
              <a:solidFill>
                <a:schemeClr val="bg1"/>
              </a:solidFill>
              <a:latin typeface="BIZ UDPゴシック" panose="020B0400000000000000" pitchFamily="50" charset="-128"/>
              <a:ea typeface="BIZ UDPゴシック" panose="020B0400000000000000" pitchFamily="50" charset="-128"/>
            </a:rPr>
            <a:t>「支給した額」は、いただいた賃金台帳と照らし合わせて、</a:t>
          </a:r>
          <a:endParaRPr kumimoji="1" lang="en-US" altLang="ja-JP" sz="2000" b="0" i="0">
            <a:solidFill>
              <a:schemeClr val="bg1"/>
            </a:solidFill>
            <a:latin typeface="BIZ UDPゴシック" panose="020B0400000000000000" pitchFamily="50" charset="-128"/>
            <a:ea typeface="BIZ UDPゴシック" panose="020B0400000000000000" pitchFamily="50" charset="-128"/>
          </a:endParaRPr>
        </a:p>
        <a:p>
          <a:r>
            <a:rPr kumimoji="1" lang="ja-JP" altLang="en-US" sz="2000" b="0" i="0">
              <a:solidFill>
                <a:schemeClr val="bg1"/>
              </a:solidFill>
              <a:latin typeface="BIZ UDPゴシック" panose="020B0400000000000000" pitchFamily="50" charset="-128"/>
              <a:ea typeface="BIZ UDPゴシック" panose="020B0400000000000000" pitchFamily="50" charset="-128"/>
            </a:rPr>
            <a:t>整合性があるかを確認します。</a:t>
          </a:r>
          <a:endParaRPr kumimoji="1" lang="en-US" altLang="ja-JP" sz="2000" b="0" i="0">
            <a:solidFill>
              <a:schemeClr val="bg1"/>
            </a:solidFill>
            <a:latin typeface="BIZ UDPゴシック" panose="020B0400000000000000" pitchFamily="50" charset="-128"/>
            <a:ea typeface="BIZ UDPゴシック" panose="020B0400000000000000" pitchFamily="50" charset="-128"/>
          </a:endParaRPr>
        </a:p>
        <a:p>
          <a:r>
            <a:rPr kumimoji="1" lang="ja-JP" altLang="en-US" sz="2000" b="0" i="0" u="sng">
              <a:solidFill>
                <a:schemeClr val="bg1"/>
              </a:solidFill>
              <a:latin typeface="HGS創英角ｺﾞｼｯｸUB" panose="020B0900000000000000" pitchFamily="50" charset="-128"/>
              <a:ea typeface="HGS創英角ｺﾞｼｯｸUB" panose="020B0900000000000000" pitchFamily="50" charset="-128"/>
            </a:rPr>
            <a:t>記載されている数字と同じ金額が台帳にないと確認が難しいため、</a:t>
          </a:r>
          <a:endParaRPr kumimoji="1" lang="en-US" altLang="ja-JP" sz="2000" b="0" i="0" u="sng">
            <a:solidFill>
              <a:schemeClr val="bg1"/>
            </a:solidFill>
            <a:latin typeface="HGS創英角ｺﾞｼｯｸUB" panose="020B0900000000000000" pitchFamily="50" charset="-128"/>
            <a:ea typeface="HGS創英角ｺﾞｼｯｸUB" panose="020B0900000000000000" pitchFamily="50" charset="-128"/>
          </a:endParaRPr>
        </a:p>
        <a:p>
          <a:r>
            <a:rPr kumimoji="1" lang="ja-JP" altLang="en-US" sz="2000" b="0" i="0" u="sng">
              <a:solidFill>
                <a:schemeClr val="bg1"/>
              </a:solidFill>
              <a:latin typeface="HGS創英角ｺﾞｼｯｸUB" panose="020B0900000000000000" pitchFamily="50" charset="-128"/>
              <a:ea typeface="HGS創英角ｺﾞｼｯｸUB" panose="020B0900000000000000" pitchFamily="50" charset="-128"/>
            </a:rPr>
            <a:t>マーカーを引く、計算方法を書く、対象額を分けて書くなどしてください。</a:t>
          </a:r>
          <a:endParaRPr kumimoji="1" lang="en-US" altLang="ja-JP" sz="2000" b="0" i="0" u="sng">
            <a:solidFill>
              <a:schemeClr val="bg1"/>
            </a:solidFill>
            <a:latin typeface="HGS創英角ｺﾞｼｯｸUB" panose="020B0900000000000000" pitchFamily="50" charset="-128"/>
            <a:ea typeface="HGS創英角ｺﾞｼｯｸUB" panose="020B0900000000000000" pitchFamily="50" charset="-128"/>
          </a:endParaRPr>
        </a:p>
        <a:p>
          <a:r>
            <a:rPr kumimoji="1" lang="ja-JP" altLang="en-US" sz="2000" b="0" i="0">
              <a:solidFill>
                <a:schemeClr val="bg1"/>
              </a:solidFill>
              <a:latin typeface="BIZ UDPゴシック" panose="020B0400000000000000" pitchFamily="50" charset="-128"/>
              <a:ea typeface="BIZ UDPゴシック" panose="020B0400000000000000" pitchFamily="50" charset="-128"/>
            </a:rPr>
            <a:t>問い合わせを減らすため、ご協力をお願いします。</a:t>
          </a:r>
          <a:endParaRPr kumimoji="1" lang="en-US" altLang="ja-JP" sz="2000" b="0" i="0">
            <a:solidFill>
              <a:schemeClr val="bg1"/>
            </a:solidFill>
            <a:latin typeface="BIZ UDPゴシック" panose="020B0400000000000000" pitchFamily="50" charset="-128"/>
            <a:ea typeface="BIZ UDPゴシック" panose="020B0400000000000000" pitchFamily="50" charset="-128"/>
          </a:endParaRPr>
        </a:p>
        <a:p>
          <a:r>
            <a:rPr kumimoji="1" lang="ja-JP" altLang="en-US" sz="2000" b="1" i="0" u="sng">
              <a:solidFill>
                <a:schemeClr val="bg1"/>
              </a:solidFill>
              <a:latin typeface="BIZ UDPゴシック" panose="020B0400000000000000" pitchFamily="50" charset="-128"/>
              <a:ea typeface="BIZ UDPゴシック" panose="020B0400000000000000" pitchFamily="50" charset="-128"/>
            </a:rPr>
            <a:t>（確認ができない場合は、支給ができません）</a:t>
          </a:r>
          <a:endParaRPr kumimoji="1" lang="en-US" altLang="ja-JP" sz="2000" b="1" i="0" u="sng">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21</xdr:col>
      <xdr:colOff>1154205</xdr:colOff>
      <xdr:row>20</xdr:row>
      <xdr:rowOff>352426</xdr:rowOff>
    </xdr:from>
    <xdr:to>
      <xdr:col>26</xdr:col>
      <xdr:colOff>818029</xdr:colOff>
      <xdr:row>26</xdr:row>
      <xdr:rowOff>11208</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14193930" y="8105776"/>
          <a:ext cx="5616949" cy="2344832"/>
        </a:xfrm>
        <a:prstGeom prst="wedgeRoundRectCallout">
          <a:avLst>
            <a:gd name="adj1" fmla="val -44714"/>
            <a:gd name="adj2" fmla="val 851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法定福利費を充てる場合は記入してください。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なお、法定福利費は「各支給した額に伴って上がった金額」についてしか対象とできませんのでご注意ください。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＊常勤職員の処遇改善で充てられる中退共については、「法定福利費」に含めてください。</a:t>
          </a: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392207</xdr:colOff>
      <xdr:row>32</xdr:row>
      <xdr:rowOff>425823</xdr:rowOff>
    </xdr:from>
    <xdr:to>
      <xdr:col>15</xdr:col>
      <xdr:colOff>1457325</xdr:colOff>
      <xdr:row>35</xdr:row>
      <xdr:rowOff>133350</xdr:rowOff>
    </xdr:to>
    <xdr:sp macro="" textlink="">
      <xdr:nvSpPr>
        <xdr:cNvPr id="6" name="吹き出し: 角を丸めた四角形 5">
          <a:extLst>
            <a:ext uri="{FF2B5EF4-FFF2-40B4-BE49-F238E27FC236}">
              <a16:creationId xmlns:a16="http://schemas.microsoft.com/office/drawing/2014/main" id="{00000000-0008-0000-0400-000006000000}"/>
            </a:ext>
          </a:extLst>
        </xdr:cNvPr>
        <xdr:cNvSpPr/>
      </xdr:nvSpPr>
      <xdr:spPr>
        <a:xfrm>
          <a:off x="4402232" y="13189323"/>
          <a:ext cx="3579718" cy="650502"/>
        </a:xfrm>
        <a:prstGeom prst="wedgeRoundRectCallout">
          <a:avLst>
            <a:gd name="adj1" fmla="val 63691"/>
            <a:gd name="adj2" fmla="val -120031"/>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確認後、〇を選んでください。</a:t>
          </a:r>
        </a:p>
      </xdr:txBody>
    </xdr:sp>
    <xdr:clientData/>
  </xdr:twoCellAnchor>
  <xdr:twoCellAnchor>
    <xdr:from>
      <xdr:col>11</xdr:col>
      <xdr:colOff>112058</xdr:colOff>
      <xdr:row>25</xdr:row>
      <xdr:rowOff>409575</xdr:rowOff>
    </xdr:from>
    <xdr:to>
      <xdr:col>20</xdr:col>
      <xdr:colOff>1154205</xdr:colOff>
      <xdr:row>30</xdr:row>
      <xdr:rowOff>280147</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a:xfrm>
          <a:off x="4122083" y="10401300"/>
          <a:ext cx="8881222" cy="1708897"/>
        </a:xfrm>
        <a:prstGeom prst="wedgeRoundRectCallout">
          <a:avLst>
            <a:gd name="adj1" fmla="val 66814"/>
            <a:gd name="adj2" fmla="val 1272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上限額を超えると、チェック欄に「</a:t>
          </a:r>
          <a:r>
            <a:rPr kumimoji="1" lang="en-US" altLang="ja-JP" sz="1600">
              <a:solidFill>
                <a:schemeClr val="bg1"/>
              </a:solidFill>
              <a:latin typeface="BIZ UDPゴシック" panose="020B0400000000000000" pitchFamily="50" charset="-128"/>
              <a:ea typeface="BIZ UDPゴシック" panose="020B0400000000000000" pitchFamily="50" charset="-128"/>
            </a:rPr>
            <a:t>NG</a:t>
          </a:r>
          <a:r>
            <a:rPr kumimoji="1" lang="ja-JP" altLang="en-US" sz="1600">
              <a:solidFill>
                <a:schemeClr val="bg1"/>
              </a:solidFill>
              <a:latin typeface="BIZ UDPゴシック" panose="020B0400000000000000" pitchFamily="50" charset="-128"/>
              <a:ea typeface="BIZ UDPゴシック" panose="020B0400000000000000" pitchFamily="50" charset="-128"/>
            </a:rPr>
            <a:t>」が表示されます。金額は</a:t>
          </a:r>
          <a:r>
            <a:rPr kumimoji="1" lang="en-US" altLang="ja-JP" sz="1600">
              <a:solidFill>
                <a:schemeClr val="bg1"/>
              </a:solidFill>
              <a:latin typeface="BIZ UDPゴシック" panose="020B0400000000000000" pitchFamily="50" charset="-128"/>
              <a:ea typeface="BIZ UDPゴシック" panose="020B0400000000000000" pitchFamily="50" charset="-128"/>
            </a:rPr>
            <a:t>OK</a:t>
          </a:r>
          <a:r>
            <a:rPr kumimoji="1" lang="ja-JP" altLang="en-US" sz="1600">
              <a:solidFill>
                <a:schemeClr val="bg1"/>
              </a:solidFill>
              <a:latin typeface="BIZ UDPゴシック" panose="020B0400000000000000" pitchFamily="50" charset="-128"/>
              <a:ea typeface="BIZ UDPゴシック" panose="020B0400000000000000" pitchFamily="50" charset="-128"/>
            </a:rPr>
            <a:t>の範囲内に収めてください。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処遇改善に関しては、常勤職員の処遇改善（一番上段の「処遇改善の種類」で（</a:t>
          </a:r>
          <a:r>
            <a:rPr kumimoji="1" lang="en-US" altLang="ja-JP" sz="1600">
              <a:solidFill>
                <a:schemeClr val="bg1"/>
              </a:solidFill>
              <a:latin typeface="BIZ UDPゴシック" panose="020B0400000000000000" pitchFamily="50" charset="-128"/>
              <a:ea typeface="BIZ UDPゴシック" panose="020B0400000000000000" pitchFamily="50" charset="-128"/>
            </a:rPr>
            <a:t>B</a:t>
          </a:r>
          <a:r>
            <a:rPr kumimoji="1" lang="ja-JP" altLang="en-US" sz="1600">
              <a:solidFill>
                <a:schemeClr val="bg1"/>
              </a:solidFill>
              <a:latin typeface="BIZ UDPゴシック" panose="020B0400000000000000" pitchFamily="50" charset="-128"/>
              <a:ea typeface="BIZ UDPゴシック" panose="020B0400000000000000" pitchFamily="50" charset="-128"/>
            </a:rPr>
            <a:t>）を選択）の場合、「様式</a:t>
          </a:r>
          <a:r>
            <a:rPr kumimoji="1" lang="en-US" altLang="ja-JP" sz="1600">
              <a:solidFill>
                <a:schemeClr val="bg1"/>
              </a:solidFill>
              <a:latin typeface="BIZ UDPゴシック" panose="020B0400000000000000" pitchFamily="50" charset="-128"/>
              <a:ea typeface="BIZ UDPゴシック" panose="020B0400000000000000" pitchFamily="50" charset="-128"/>
            </a:rPr>
            <a:t>17</a:t>
          </a:r>
          <a:r>
            <a:rPr kumimoji="1" lang="ja-JP" altLang="en-US" sz="1600">
              <a:solidFill>
                <a:schemeClr val="bg1"/>
              </a:solidFill>
              <a:latin typeface="BIZ UDPゴシック" panose="020B0400000000000000" pitchFamily="50" charset="-128"/>
              <a:ea typeface="BIZ UDPゴシック" panose="020B0400000000000000" pitchFamily="50" charset="-128"/>
            </a:rPr>
            <a:t>決算書」の総人件費が入っていないと上限額がでませんので、先に入力をお願いします。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19</xdr:col>
      <xdr:colOff>312964</xdr:colOff>
      <xdr:row>40</xdr:row>
      <xdr:rowOff>272142</xdr:rowOff>
    </xdr:from>
    <xdr:to>
      <xdr:col>25</xdr:col>
      <xdr:colOff>509237</xdr:colOff>
      <xdr:row>41</xdr:row>
      <xdr:rowOff>221342</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1348357" y="16151678"/>
          <a:ext cx="7054273" cy="1092200"/>
        </a:xfrm>
        <a:prstGeom prst="rect">
          <a:avLst/>
        </a:prstGeom>
        <a:solidFill>
          <a:schemeClr val="accen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latin typeface="BIZ UDPゴシック" panose="020B0400000000000000" pitchFamily="50" charset="-128"/>
              <a:ea typeface="BIZ UDPゴシック" panose="020B0400000000000000" pitchFamily="50" charset="-128"/>
            </a:rPr>
            <a:t>入力をお願いします。</a:t>
          </a:r>
          <a:endParaRPr kumimoji="1" lang="en-US" altLang="ja-JP" sz="1800" b="1">
            <a:solidFill>
              <a:schemeClr val="bg1"/>
            </a:solidFill>
            <a:latin typeface="BIZ UDPゴシック" panose="020B0400000000000000" pitchFamily="50" charset="-128"/>
            <a:ea typeface="BIZ UDPゴシック" panose="020B0400000000000000" pitchFamily="50" charset="-128"/>
          </a:endParaRPr>
        </a:p>
        <a:p>
          <a:r>
            <a:rPr kumimoji="1" lang="ja-JP" altLang="en-US" sz="1800" b="1">
              <a:solidFill>
                <a:schemeClr val="bg1"/>
              </a:solidFill>
              <a:latin typeface="BIZ UDPゴシック" panose="020B0400000000000000" pitchFamily="50" charset="-128"/>
              <a:ea typeface="BIZ UDPゴシック" panose="020B0400000000000000" pitchFamily="50" charset="-128"/>
            </a:rPr>
            <a:t>当初申請と同じですのでコピー</a:t>
          </a:r>
          <a:r>
            <a:rPr kumimoji="1" lang="en-US" altLang="ja-JP" sz="1800" b="1">
              <a:solidFill>
                <a:schemeClr val="bg1"/>
              </a:solidFill>
              <a:latin typeface="BIZ UDPゴシック" panose="020B0400000000000000" pitchFamily="50" charset="-128"/>
              <a:ea typeface="BIZ UDPゴシック" panose="020B0400000000000000" pitchFamily="50" charset="-128"/>
            </a:rPr>
            <a:t>&amp;</a:t>
          </a:r>
          <a:r>
            <a:rPr kumimoji="1" lang="ja-JP" altLang="en-US" sz="1800" b="1">
              <a:solidFill>
                <a:schemeClr val="bg1"/>
              </a:solidFill>
              <a:latin typeface="BIZ UDPゴシック" panose="020B0400000000000000" pitchFamily="50" charset="-128"/>
              <a:ea typeface="BIZ UDPゴシック" panose="020B0400000000000000" pitchFamily="50" charset="-128"/>
            </a:rPr>
            <a:t>ペースト可能です。</a:t>
          </a:r>
          <a:endParaRPr kumimoji="1" lang="en-US" altLang="ja-JP" sz="1800" b="1">
            <a:solidFill>
              <a:schemeClr val="bg1"/>
            </a:solidFill>
            <a:latin typeface="BIZ UDPゴシック" panose="020B0400000000000000" pitchFamily="50" charset="-128"/>
            <a:ea typeface="BIZ UDPゴシック" panose="020B0400000000000000" pitchFamily="50" charset="-128"/>
          </a:endParaRPr>
        </a:p>
        <a:p>
          <a:r>
            <a:rPr kumimoji="1" lang="ja-JP" altLang="en-US" sz="1800" b="1">
              <a:solidFill>
                <a:schemeClr val="bg1"/>
              </a:solidFill>
              <a:latin typeface="BIZ UDPゴシック" panose="020B0400000000000000" pitchFamily="50" charset="-128"/>
              <a:ea typeface="BIZ UDPゴシック" panose="020B0400000000000000" pitchFamily="50" charset="-128"/>
            </a:rPr>
            <a:t>変更があれば修正してください。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47625</xdr:colOff>
      <xdr:row>4</xdr:row>
      <xdr:rowOff>76200</xdr:rowOff>
    </xdr:from>
    <xdr:to>
      <xdr:col>17</xdr:col>
      <xdr:colOff>238125</xdr:colOff>
      <xdr:row>17</xdr:row>
      <xdr:rowOff>47625</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3895725" y="1943100"/>
          <a:ext cx="6819900" cy="2324100"/>
        </a:xfrm>
        <a:prstGeom prst="wedgeRoundRectCallout">
          <a:avLst>
            <a:gd name="adj1" fmla="val -60507"/>
            <a:gd name="adj2" fmla="val -429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FF00"/>
              </a:solidFill>
              <a:latin typeface="BIZ UDPゴシック" panose="020B0400000000000000" pitchFamily="50" charset="-128"/>
              <a:ea typeface="BIZ UDPゴシック" panose="020B0400000000000000" pitchFamily="50" charset="-128"/>
            </a:rPr>
            <a:t>注意：開所時刻～閉所時刻とは、職員が２名出勤していて、児童を受け入れることが可能な時間のこと。１名しか出勤していない時間は含めない</a:t>
          </a:r>
          <a:endParaRPr kumimoji="1" lang="en-US" altLang="ja-JP" sz="1600" b="1">
            <a:solidFill>
              <a:srgbClr val="FFFF00"/>
            </a:solidFill>
            <a:latin typeface="BIZ UDPゴシック" panose="020B0400000000000000" pitchFamily="50" charset="-128"/>
            <a:ea typeface="BIZ UDPゴシック" panose="020B0400000000000000" pitchFamily="50" charset="-128"/>
          </a:endParaRPr>
        </a:p>
        <a:p>
          <a:pPr algn="l"/>
          <a:endParaRPr kumimoji="1" lang="en-US" altLang="ja-JP" sz="16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600" b="1">
              <a:solidFill>
                <a:srgbClr val="FFFF00"/>
              </a:solidFill>
              <a:latin typeface="BIZ UDPゴシック" panose="020B0400000000000000" pitchFamily="50" charset="-128"/>
              <a:ea typeface="BIZ UDPゴシック" panose="020B0400000000000000" pitchFamily="50" charset="-128"/>
            </a:rPr>
            <a:t>注意２：</a:t>
          </a:r>
          <a:r>
            <a:rPr lang="ja-JP" altLang="en-US" sz="1600" b="1" i="0">
              <a:solidFill>
                <a:srgbClr val="FFFF00"/>
              </a:solidFill>
              <a:effectLst/>
              <a:latin typeface="BIZ UDPゴシック" panose="020B0400000000000000" pitchFamily="50" charset="-128"/>
              <a:ea typeface="BIZ UDPゴシック" panose="020B0400000000000000" pitchFamily="50" charset="-128"/>
              <a:cs typeface="+mn-cs"/>
            </a:rPr>
            <a:t>コロナ等でやむを得ず閉所にした場合は、 平日と土日祝長期のそれぞれ「開所とみなす閉所」を選んでください</a:t>
          </a:r>
          <a:r>
            <a:rPr lang="en-US" altLang="ja-JP" sz="1600" b="1" i="0">
              <a:solidFill>
                <a:srgbClr val="FFFF00"/>
              </a:solidFill>
              <a:effectLst/>
              <a:latin typeface="BIZ UDPゴシック" panose="020B0400000000000000" pitchFamily="50" charset="-128"/>
              <a:ea typeface="BIZ UDPゴシック" panose="020B0400000000000000" pitchFamily="50" charset="-128"/>
              <a:cs typeface="+mn-cs"/>
            </a:rPr>
            <a:t>(</a:t>
          </a:r>
          <a:r>
            <a:rPr lang="ja-JP" altLang="en-US" sz="1600" b="1" i="0">
              <a:solidFill>
                <a:srgbClr val="FFFF00"/>
              </a:solidFill>
              <a:effectLst/>
              <a:latin typeface="BIZ UDPゴシック" panose="020B0400000000000000" pitchFamily="50" charset="-128"/>
              <a:ea typeface="BIZ UDPゴシック" panose="020B0400000000000000" pitchFamily="50" charset="-128"/>
              <a:cs typeface="+mn-cs"/>
            </a:rPr>
            <a:t>元々、休所予定だった日は除く</a:t>
          </a:r>
          <a:r>
            <a:rPr lang="en-US" altLang="ja-JP" sz="1600" b="1" i="0">
              <a:solidFill>
                <a:srgbClr val="FFFF00"/>
              </a:solidFill>
              <a:effectLst/>
              <a:latin typeface="BIZ UDPゴシック" panose="020B0400000000000000" pitchFamily="50" charset="-128"/>
              <a:ea typeface="BIZ UDPゴシック" panose="020B0400000000000000" pitchFamily="50" charset="-128"/>
              <a:cs typeface="+mn-cs"/>
            </a:rPr>
            <a:t>)</a:t>
          </a:r>
          <a:r>
            <a:rPr lang="ja-JP" altLang="en-US" sz="1600" b="1" i="0">
              <a:solidFill>
                <a:srgbClr val="FFFF00"/>
              </a:solidFill>
              <a:effectLst/>
              <a:latin typeface="BIZ UDPゴシック" panose="020B0400000000000000" pitchFamily="50" charset="-128"/>
              <a:ea typeface="BIZ UDPゴシック" panose="020B0400000000000000" pitchFamily="50" charset="-128"/>
              <a:cs typeface="+mn-cs"/>
            </a:rPr>
            <a:t>。</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18</xdr:col>
      <xdr:colOff>152400</xdr:colOff>
      <xdr:row>8</xdr:row>
      <xdr:rowOff>38100</xdr:rowOff>
    </xdr:from>
    <xdr:to>
      <xdr:col>28</xdr:col>
      <xdr:colOff>419100</xdr:colOff>
      <xdr:row>23</xdr:row>
      <xdr:rowOff>142875</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11077575" y="2628900"/>
          <a:ext cx="6324600" cy="2819400"/>
        </a:xfrm>
        <a:prstGeom prst="wedgeRoundRectCallout">
          <a:avLst>
            <a:gd name="adj1" fmla="val -43593"/>
            <a:gd name="adj2" fmla="val -698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原則、出勤した職員を全員プルダウンから選んでください。</a:t>
          </a: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監査等で確認しますので、ミスのないようお願いします。</a:t>
          </a: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配置基準が守られていることを確認してください。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・通常は、２名以上配置（うち支援員１名以上）</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・障害児加算を申請している場合は、３名以上配置（うち支援員１名以上、加配職員１名以上）</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990600</xdr:colOff>
      <xdr:row>25</xdr:row>
      <xdr:rowOff>76200</xdr:rowOff>
    </xdr:from>
    <xdr:to>
      <xdr:col>19</xdr:col>
      <xdr:colOff>523875</xdr:colOff>
      <xdr:row>32</xdr:row>
      <xdr:rowOff>114300</xdr:rowOff>
    </xdr:to>
    <xdr:sp macro="" textlink="">
      <xdr:nvSpPr>
        <xdr:cNvPr id="6" name="吹き出し: 角を丸めた四角形 5">
          <a:extLst>
            <a:ext uri="{FF2B5EF4-FFF2-40B4-BE49-F238E27FC236}">
              <a16:creationId xmlns:a16="http://schemas.microsoft.com/office/drawing/2014/main" id="{00000000-0008-0000-0500-000006000000}"/>
            </a:ext>
          </a:extLst>
        </xdr:cNvPr>
        <xdr:cNvSpPr/>
      </xdr:nvSpPr>
      <xdr:spPr>
        <a:xfrm>
          <a:off x="8429625" y="5743575"/>
          <a:ext cx="3676650" cy="1304925"/>
        </a:xfrm>
        <a:prstGeom prst="wedgeRoundRectCallout">
          <a:avLst>
            <a:gd name="adj1" fmla="val -6063"/>
            <a:gd name="adj2" fmla="val -7704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その日の利用児童の人数と、うち障害児の人数を記入してください（国への報告が必要な項目です）。</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32</xdr:col>
      <xdr:colOff>38099</xdr:colOff>
      <xdr:row>7</xdr:row>
      <xdr:rowOff>47625</xdr:rowOff>
    </xdr:from>
    <xdr:to>
      <xdr:col>41</xdr:col>
      <xdr:colOff>95249</xdr:colOff>
      <xdr:row>14</xdr:row>
      <xdr:rowOff>47625</xdr:rowOff>
    </xdr:to>
    <xdr:sp macro="" textlink="">
      <xdr:nvSpPr>
        <xdr:cNvPr id="7" name="吹き出し: 角を丸めた四角形 6">
          <a:extLst>
            <a:ext uri="{FF2B5EF4-FFF2-40B4-BE49-F238E27FC236}">
              <a16:creationId xmlns:a16="http://schemas.microsoft.com/office/drawing/2014/main" id="{00000000-0008-0000-0500-000007000000}"/>
            </a:ext>
          </a:extLst>
        </xdr:cNvPr>
        <xdr:cNvSpPr/>
      </xdr:nvSpPr>
      <xdr:spPr>
        <a:xfrm>
          <a:off x="19402424" y="2457450"/>
          <a:ext cx="6105525" cy="1266825"/>
        </a:xfrm>
        <a:prstGeom prst="wedgeRoundRectCallout">
          <a:avLst>
            <a:gd name="adj1" fmla="val 48410"/>
            <a:gd name="adj2" fmla="val -7399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エラーが出ている場合は、ミスがないかチェックしてください。</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提出はエラーが出ないことが条件です。</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428624</xdr:colOff>
      <xdr:row>339</xdr:row>
      <xdr:rowOff>161926</xdr:rowOff>
    </xdr:from>
    <xdr:to>
      <xdr:col>16</xdr:col>
      <xdr:colOff>247650</xdr:colOff>
      <xdr:row>356</xdr:row>
      <xdr:rowOff>152401</xdr:rowOff>
    </xdr:to>
    <xdr:sp macro="" textlink="">
      <xdr:nvSpPr>
        <xdr:cNvPr id="8" name="吹き出し: 角を丸めた四角形 7">
          <a:extLst>
            <a:ext uri="{FF2B5EF4-FFF2-40B4-BE49-F238E27FC236}">
              <a16:creationId xmlns:a16="http://schemas.microsoft.com/office/drawing/2014/main" id="{00000000-0008-0000-0500-000008000000}"/>
            </a:ext>
          </a:extLst>
        </xdr:cNvPr>
        <xdr:cNvSpPr/>
      </xdr:nvSpPr>
      <xdr:spPr>
        <a:xfrm>
          <a:off x="3038474" y="62760226"/>
          <a:ext cx="7239001" cy="3067050"/>
        </a:xfrm>
        <a:prstGeom prst="wedgeRoundRectCallout">
          <a:avLst>
            <a:gd name="adj1" fmla="val -14627"/>
            <a:gd name="adj2" fmla="val 450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600">
              <a:solidFill>
                <a:schemeClr val="lt1"/>
              </a:solidFill>
              <a:effectLst/>
              <a:latin typeface="BIZ UDPゴシック" panose="020B0400000000000000" pitchFamily="50" charset="-128"/>
              <a:ea typeface="BIZ UDPゴシック" panose="020B0400000000000000" pitchFamily="50" charset="-128"/>
              <a:cs typeface="+mn-cs"/>
            </a:rPr>
            <a:t>４～３月</a:t>
          </a:r>
          <a:r>
            <a:rPr kumimoji="1" lang="ja-JP" altLang="ja-JP" sz="1600">
              <a:solidFill>
                <a:schemeClr val="bg1"/>
              </a:solidFill>
              <a:effectLst/>
              <a:latin typeface="BIZ UDPゴシック" panose="020B0400000000000000" pitchFamily="50" charset="-128"/>
              <a:ea typeface="BIZ UDPゴシック" panose="020B0400000000000000" pitchFamily="50" charset="-128"/>
              <a:cs typeface="+mn-cs"/>
            </a:rPr>
            <a:t>までの状況を入力すると、最下部で以下の項目が算出され、他シートに反映され</a:t>
          </a:r>
          <a:r>
            <a:rPr kumimoji="1" lang="ja-JP" altLang="en-US" sz="1600">
              <a:solidFill>
                <a:schemeClr val="bg1"/>
              </a:solidFill>
              <a:effectLst/>
              <a:latin typeface="BIZ UDPゴシック" panose="020B0400000000000000" pitchFamily="50" charset="-128"/>
              <a:ea typeface="BIZ UDPゴシック" panose="020B0400000000000000" pitchFamily="50" charset="-128"/>
              <a:cs typeface="+mn-cs"/>
            </a:rPr>
            <a:t>ます</a:t>
          </a:r>
          <a:r>
            <a:rPr kumimoji="1" lang="ja-JP" altLang="ja-JP" sz="1600">
              <a:solidFill>
                <a:schemeClr val="bg1"/>
              </a:solidFill>
              <a:effectLst/>
              <a:latin typeface="BIZ UDPゴシック" panose="020B0400000000000000" pitchFamily="50" charset="-128"/>
              <a:ea typeface="BIZ UDPゴシック" panose="020B0400000000000000" pitchFamily="50" charset="-128"/>
              <a:cs typeface="+mn-cs"/>
            </a:rPr>
            <a:t>。</a:t>
          </a:r>
          <a:endParaRPr lang="ja-JP" altLang="ja-JP" sz="1600">
            <a:solidFill>
              <a:schemeClr val="bg1"/>
            </a:solidFill>
            <a:effectLst/>
            <a:latin typeface="BIZ UDPゴシック" panose="020B0400000000000000" pitchFamily="50" charset="-128"/>
            <a:ea typeface="BIZ UDPゴシック" panose="020B0400000000000000" pitchFamily="50" charset="-128"/>
          </a:endParaRPr>
        </a:p>
        <a:p>
          <a:r>
            <a:rPr kumimoji="1" lang="ja-JP" altLang="ja-JP" sz="1600">
              <a:solidFill>
                <a:schemeClr val="bg1"/>
              </a:solidFill>
              <a:effectLst/>
              <a:latin typeface="BIZ UDPゴシック" panose="020B0400000000000000" pitchFamily="50" charset="-128"/>
              <a:ea typeface="BIZ UDPゴシック" panose="020B0400000000000000" pitchFamily="50" charset="-128"/>
              <a:cs typeface="+mn-cs"/>
            </a:rPr>
            <a:t>　①開所日数加算</a:t>
          </a:r>
          <a:endParaRPr lang="ja-JP" altLang="ja-JP" sz="1600">
            <a:solidFill>
              <a:schemeClr val="bg1"/>
            </a:solidFill>
            <a:effectLst/>
            <a:latin typeface="BIZ UDPゴシック" panose="020B0400000000000000" pitchFamily="50" charset="-128"/>
            <a:ea typeface="BIZ UDPゴシック" panose="020B0400000000000000" pitchFamily="50" charset="-128"/>
          </a:endParaRPr>
        </a:p>
        <a:p>
          <a:r>
            <a:rPr kumimoji="1" lang="ja-JP" altLang="ja-JP" sz="1600">
              <a:solidFill>
                <a:schemeClr val="bg1"/>
              </a:solidFill>
              <a:effectLst/>
              <a:latin typeface="BIZ UDPゴシック" panose="020B0400000000000000" pitchFamily="50" charset="-128"/>
              <a:ea typeface="BIZ UDPゴシック" panose="020B0400000000000000" pitchFamily="50" charset="-128"/>
              <a:cs typeface="+mn-cs"/>
            </a:rPr>
            <a:t>　②長時間開所加算</a:t>
          </a:r>
          <a:r>
            <a:rPr kumimoji="1" lang="en-US" altLang="ja-JP" sz="1600">
              <a:solidFill>
                <a:schemeClr val="bg1"/>
              </a:solidFill>
              <a:effectLst/>
              <a:latin typeface="BIZ UDPゴシック" panose="020B0400000000000000" pitchFamily="50" charset="-128"/>
              <a:ea typeface="BIZ UDPゴシック" panose="020B0400000000000000" pitchFamily="50" charset="-128"/>
              <a:cs typeface="+mn-cs"/>
            </a:rPr>
            <a:t>(</a:t>
          </a:r>
          <a:r>
            <a:rPr kumimoji="1" lang="ja-JP" altLang="ja-JP" sz="1600">
              <a:solidFill>
                <a:schemeClr val="bg1"/>
              </a:solidFill>
              <a:effectLst/>
              <a:latin typeface="BIZ UDPゴシック" panose="020B0400000000000000" pitchFamily="50" charset="-128"/>
              <a:ea typeface="BIZ UDPゴシック" panose="020B0400000000000000" pitchFamily="50" charset="-128"/>
              <a:cs typeface="+mn-cs"/>
            </a:rPr>
            <a:t>平日分</a:t>
          </a:r>
          <a:r>
            <a:rPr kumimoji="1" lang="en-US" altLang="ja-JP" sz="1600">
              <a:solidFill>
                <a:schemeClr val="bg1"/>
              </a:solidFill>
              <a:effectLst/>
              <a:latin typeface="BIZ UDPゴシック" panose="020B0400000000000000" pitchFamily="50" charset="-128"/>
              <a:ea typeface="BIZ UDPゴシック" panose="020B0400000000000000" pitchFamily="50" charset="-128"/>
              <a:cs typeface="+mn-cs"/>
            </a:rPr>
            <a:t>)</a:t>
          </a:r>
          <a:endParaRPr lang="ja-JP" altLang="ja-JP" sz="1600">
            <a:solidFill>
              <a:schemeClr val="bg1"/>
            </a:solidFill>
            <a:effectLst/>
            <a:latin typeface="BIZ UDPゴシック" panose="020B0400000000000000" pitchFamily="50" charset="-128"/>
            <a:ea typeface="BIZ UDPゴシック" panose="020B0400000000000000" pitchFamily="50" charset="-128"/>
          </a:endParaRPr>
        </a:p>
        <a:p>
          <a:r>
            <a:rPr kumimoji="1" lang="ja-JP" altLang="ja-JP" sz="1600">
              <a:solidFill>
                <a:schemeClr val="bg1"/>
              </a:solidFill>
              <a:effectLst/>
              <a:latin typeface="BIZ UDPゴシック" panose="020B0400000000000000" pitchFamily="50" charset="-128"/>
              <a:ea typeface="BIZ UDPゴシック" panose="020B0400000000000000" pitchFamily="50" charset="-128"/>
              <a:cs typeface="+mn-cs"/>
            </a:rPr>
            <a:t>　③長時間開所加算</a:t>
          </a:r>
          <a:r>
            <a:rPr kumimoji="1" lang="en-US" altLang="ja-JP" sz="1600">
              <a:solidFill>
                <a:schemeClr val="bg1"/>
              </a:solidFill>
              <a:effectLst/>
              <a:latin typeface="BIZ UDPゴシック" panose="020B0400000000000000" pitchFamily="50" charset="-128"/>
              <a:ea typeface="BIZ UDPゴシック" panose="020B0400000000000000" pitchFamily="50" charset="-128"/>
              <a:cs typeface="+mn-cs"/>
            </a:rPr>
            <a:t>(</a:t>
          </a:r>
          <a:r>
            <a:rPr kumimoji="1" lang="ja-JP" altLang="ja-JP" sz="1600">
              <a:solidFill>
                <a:schemeClr val="bg1"/>
              </a:solidFill>
              <a:effectLst/>
              <a:latin typeface="BIZ UDPゴシック" panose="020B0400000000000000" pitchFamily="50" charset="-128"/>
              <a:ea typeface="BIZ UDPゴシック" panose="020B0400000000000000" pitchFamily="50" charset="-128"/>
              <a:cs typeface="+mn-cs"/>
            </a:rPr>
            <a:t>長期休暇等</a:t>
          </a:r>
          <a:r>
            <a:rPr kumimoji="1" lang="ja-JP" altLang="ja-JP" sz="1600">
              <a:solidFill>
                <a:schemeClr val="lt1"/>
              </a:solidFill>
              <a:effectLst/>
              <a:latin typeface="BIZ UDPゴシック" panose="020B0400000000000000" pitchFamily="50" charset="-128"/>
              <a:ea typeface="BIZ UDPゴシック" panose="020B0400000000000000" pitchFamily="50" charset="-128"/>
              <a:cs typeface="+mn-cs"/>
            </a:rPr>
            <a:t>分</a:t>
          </a:r>
          <a:r>
            <a:rPr kumimoji="1" lang="en-US" altLang="ja-JP" sz="1600">
              <a:solidFill>
                <a:schemeClr val="lt1"/>
              </a:solidFill>
              <a:effectLst/>
              <a:latin typeface="BIZ UDPゴシック" panose="020B0400000000000000" pitchFamily="50" charset="-128"/>
              <a:ea typeface="BIZ UDPゴシック" panose="020B0400000000000000" pitchFamily="50" charset="-128"/>
              <a:cs typeface="+mn-cs"/>
            </a:rPr>
            <a:t>)</a:t>
          </a:r>
        </a:p>
        <a:p>
          <a:endParaRPr kumimoji="1" lang="en-US" altLang="ja-JP" sz="1600" b="1">
            <a:solidFill>
              <a:srgbClr val="FFFF00"/>
            </a:solidFill>
            <a:latin typeface="BIZ UDPゴシック" panose="020B0400000000000000" pitchFamily="50" charset="-128"/>
            <a:ea typeface="BIZ UDPゴシック" panose="020B0400000000000000" pitchFamily="50" charset="-128"/>
          </a:endParaRPr>
        </a:p>
        <a:p>
          <a:r>
            <a:rPr kumimoji="1" lang="en-US" altLang="ja-JP" sz="1600" b="1">
              <a:solidFill>
                <a:srgbClr val="FFFF00"/>
              </a:solidFill>
              <a:latin typeface="BIZ UDPゴシック" panose="020B0400000000000000" pitchFamily="50" charset="-128"/>
              <a:ea typeface="BIZ UDPゴシック" panose="020B0400000000000000" pitchFamily="50" charset="-128"/>
            </a:rPr>
            <a:t>※</a:t>
          </a:r>
          <a:r>
            <a:rPr kumimoji="1" lang="ja-JP" altLang="en-US" sz="1600" b="1">
              <a:solidFill>
                <a:srgbClr val="FFFF00"/>
              </a:solidFill>
              <a:latin typeface="BIZ UDPゴシック" panose="020B0400000000000000" pitchFamily="50" charset="-128"/>
              <a:ea typeface="BIZ UDPゴシック" panose="020B0400000000000000" pitchFamily="50" charset="-128"/>
            </a:rPr>
            <a:t>記入漏れや誤りがあった場合に、　会計検査や監査で指摘され、返金となる場合がありますので、正確に入力していただくようお願いします。</a:t>
          </a:r>
          <a:endParaRPr kumimoji="1" lang="en-US" altLang="ja-JP" sz="1600" b="1">
            <a:solidFill>
              <a:srgbClr val="FFFF00"/>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314324</xdr:colOff>
      <xdr:row>371</xdr:row>
      <xdr:rowOff>104775</xdr:rowOff>
    </xdr:from>
    <xdr:to>
      <xdr:col>13</xdr:col>
      <xdr:colOff>457199</xdr:colOff>
      <xdr:row>375</xdr:row>
      <xdr:rowOff>180975</xdr:rowOff>
    </xdr:to>
    <xdr:sp macro="" textlink="">
      <xdr:nvSpPr>
        <xdr:cNvPr id="9" name="吹き出し: 角を丸めた四角形 8">
          <a:extLst>
            <a:ext uri="{FF2B5EF4-FFF2-40B4-BE49-F238E27FC236}">
              <a16:creationId xmlns:a16="http://schemas.microsoft.com/office/drawing/2014/main" id="{00000000-0008-0000-0500-000009000000}"/>
            </a:ext>
          </a:extLst>
        </xdr:cNvPr>
        <xdr:cNvSpPr/>
      </xdr:nvSpPr>
      <xdr:spPr>
        <a:xfrm>
          <a:off x="4162424" y="68532375"/>
          <a:ext cx="4962525" cy="800100"/>
        </a:xfrm>
        <a:prstGeom prst="wedgeRoundRectCallout">
          <a:avLst>
            <a:gd name="adj1" fmla="val -49289"/>
            <a:gd name="adj2" fmla="val -723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エラーメッセージが出たら内容を確認してください。</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400051</xdr:colOff>
      <xdr:row>377</xdr:row>
      <xdr:rowOff>666750</xdr:rowOff>
    </xdr:from>
    <xdr:to>
      <xdr:col>7</xdr:col>
      <xdr:colOff>536576</xdr:colOff>
      <xdr:row>378</xdr:row>
      <xdr:rowOff>676275</xdr:rowOff>
    </xdr:to>
    <xdr:sp macro="" textlink="">
      <xdr:nvSpPr>
        <xdr:cNvPr id="11" name="吹き出し: 角を丸めた四角形 10">
          <a:extLst>
            <a:ext uri="{FF2B5EF4-FFF2-40B4-BE49-F238E27FC236}">
              <a16:creationId xmlns:a16="http://schemas.microsoft.com/office/drawing/2014/main" id="{00000000-0008-0000-0500-00000B000000}"/>
            </a:ext>
          </a:extLst>
        </xdr:cNvPr>
        <xdr:cNvSpPr/>
      </xdr:nvSpPr>
      <xdr:spPr>
        <a:xfrm>
          <a:off x="1590676" y="71628000"/>
          <a:ext cx="3403600" cy="914400"/>
        </a:xfrm>
        <a:prstGeom prst="wedgeRoundRectCallout">
          <a:avLst>
            <a:gd name="adj1" fmla="val 56654"/>
            <a:gd name="adj2" fmla="val -948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算出された補助額を確認</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76200</xdr:colOff>
      <xdr:row>377</xdr:row>
      <xdr:rowOff>419099</xdr:rowOff>
    </xdr:from>
    <xdr:to>
      <xdr:col>29</xdr:col>
      <xdr:colOff>365125</xdr:colOff>
      <xdr:row>379</xdr:row>
      <xdr:rowOff>9524</xdr:rowOff>
    </xdr:to>
    <xdr:sp macro="" textlink="">
      <xdr:nvSpPr>
        <xdr:cNvPr id="12" name="吹き出し: 角を丸めた四角形 11">
          <a:extLst>
            <a:ext uri="{FF2B5EF4-FFF2-40B4-BE49-F238E27FC236}">
              <a16:creationId xmlns:a16="http://schemas.microsoft.com/office/drawing/2014/main" id="{00000000-0008-0000-0500-00000C000000}"/>
            </a:ext>
          </a:extLst>
        </xdr:cNvPr>
        <xdr:cNvSpPr/>
      </xdr:nvSpPr>
      <xdr:spPr>
        <a:xfrm>
          <a:off x="14030325" y="71380349"/>
          <a:ext cx="3898900" cy="1400175"/>
        </a:xfrm>
        <a:prstGeom prst="wedgeRoundRectCallout">
          <a:avLst>
            <a:gd name="adj1" fmla="val -39517"/>
            <a:gd name="adj2" fmla="val -985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運営規程の開所時間を記入してください。</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266700</xdr:colOff>
      <xdr:row>377</xdr:row>
      <xdr:rowOff>819149</xdr:rowOff>
    </xdr:from>
    <xdr:to>
      <xdr:col>16</xdr:col>
      <xdr:colOff>409575</xdr:colOff>
      <xdr:row>379</xdr:row>
      <xdr:rowOff>790574</xdr:rowOff>
    </xdr:to>
    <xdr:sp macro="" textlink="">
      <xdr:nvSpPr>
        <xdr:cNvPr id="13" name="吹き出し: 角を丸めた四角形 12">
          <a:extLst>
            <a:ext uri="{FF2B5EF4-FFF2-40B4-BE49-F238E27FC236}">
              <a16:creationId xmlns:a16="http://schemas.microsoft.com/office/drawing/2014/main" id="{00000000-0008-0000-0500-00000D000000}"/>
            </a:ext>
          </a:extLst>
        </xdr:cNvPr>
        <xdr:cNvSpPr/>
      </xdr:nvSpPr>
      <xdr:spPr>
        <a:xfrm>
          <a:off x="6076950" y="71780399"/>
          <a:ext cx="4362450" cy="1781175"/>
        </a:xfrm>
        <a:prstGeom prst="wedgeRoundRectCallout">
          <a:avLst>
            <a:gd name="adj1" fmla="val 18358"/>
            <a:gd name="adj2" fmla="val -1261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該当日がある場合はセルがクリーム色になっています。</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市からクラブへの問い合わせを減らすため、理由を記入してください。</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18</xdr:col>
      <xdr:colOff>238125</xdr:colOff>
      <xdr:row>378</xdr:row>
      <xdr:rowOff>371474</xdr:rowOff>
    </xdr:from>
    <xdr:to>
      <xdr:col>22</xdr:col>
      <xdr:colOff>123825</xdr:colOff>
      <xdr:row>379</xdr:row>
      <xdr:rowOff>400050</xdr:rowOff>
    </xdr:to>
    <xdr:sp macro="" textlink="">
      <xdr:nvSpPr>
        <xdr:cNvPr id="14" name="吹き出し: 角を丸めた四角形 13">
          <a:extLst>
            <a:ext uri="{FF2B5EF4-FFF2-40B4-BE49-F238E27FC236}">
              <a16:creationId xmlns:a16="http://schemas.microsoft.com/office/drawing/2014/main" id="{00000000-0008-0000-0500-00000E000000}"/>
            </a:ext>
          </a:extLst>
        </xdr:cNvPr>
        <xdr:cNvSpPr/>
      </xdr:nvSpPr>
      <xdr:spPr>
        <a:xfrm>
          <a:off x="11163300" y="72237599"/>
          <a:ext cx="2343150" cy="933451"/>
        </a:xfrm>
        <a:prstGeom prst="wedgeRoundRectCallout">
          <a:avLst>
            <a:gd name="adj1" fmla="val -72453"/>
            <a:gd name="adj2" fmla="val -13136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確認し、〇を入力</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533400</xdr:colOff>
      <xdr:row>358</xdr:row>
      <xdr:rowOff>19051</xdr:rowOff>
    </xdr:from>
    <xdr:to>
      <xdr:col>16</xdr:col>
      <xdr:colOff>171450</xdr:colOff>
      <xdr:row>368</xdr:row>
      <xdr:rowOff>95251</xdr:rowOff>
    </xdr:to>
    <xdr:sp macro="" textlink="">
      <xdr:nvSpPr>
        <xdr:cNvPr id="15" name="吹き出し: 角を丸めた四角形 14">
          <a:extLst>
            <a:ext uri="{FF2B5EF4-FFF2-40B4-BE49-F238E27FC236}">
              <a16:creationId xmlns:a16="http://schemas.microsoft.com/office/drawing/2014/main" id="{00000000-0008-0000-0500-00000F000000}"/>
            </a:ext>
          </a:extLst>
        </xdr:cNvPr>
        <xdr:cNvSpPr/>
      </xdr:nvSpPr>
      <xdr:spPr>
        <a:xfrm>
          <a:off x="3143250" y="66055876"/>
          <a:ext cx="7058025" cy="1885950"/>
        </a:xfrm>
        <a:prstGeom prst="wedgeRoundRectCallout">
          <a:avLst>
            <a:gd name="adj1" fmla="val -42864"/>
            <a:gd name="adj2" fmla="val -330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提出日以降の日にち分は、「見込み」で入力してください。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提出日以降の日にち分について入力し、確定した開所カレンダーについては、令和６年５月</a:t>
          </a:r>
          <a:r>
            <a:rPr kumimoji="1" lang="en-US" altLang="ja-JP" sz="1600">
              <a:solidFill>
                <a:schemeClr val="bg1"/>
              </a:solidFill>
              <a:latin typeface="BIZ UDPゴシック" panose="020B0400000000000000" pitchFamily="50" charset="-128"/>
              <a:ea typeface="BIZ UDPゴシック" panose="020B0400000000000000" pitchFamily="50" charset="-128"/>
            </a:rPr>
            <a:t>31</a:t>
          </a:r>
          <a:r>
            <a:rPr kumimoji="1" lang="ja-JP" altLang="en-US" sz="1600">
              <a:solidFill>
                <a:schemeClr val="bg1"/>
              </a:solidFill>
              <a:latin typeface="BIZ UDPゴシック" panose="020B0400000000000000" pitchFamily="50" charset="-128"/>
              <a:ea typeface="BIZ UDPゴシック" panose="020B0400000000000000" pitchFamily="50" charset="-128"/>
            </a:rPr>
            <a:t>日までに、開所カレンダーのみ、提出してください。（令和６年度監査の際に使用します。）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323850</xdr:colOff>
      <xdr:row>18</xdr:row>
      <xdr:rowOff>19050</xdr:rowOff>
    </xdr:from>
    <xdr:to>
      <xdr:col>12</xdr:col>
      <xdr:colOff>790575</xdr:colOff>
      <xdr:row>33</xdr:row>
      <xdr:rowOff>76200</xdr:rowOff>
    </xdr:to>
    <xdr:sp macro="" textlink="">
      <xdr:nvSpPr>
        <xdr:cNvPr id="17" name="吹き出し: 角を丸めた四角形 16">
          <a:extLst>
            <a:ext uri="{FF2B5EF4-FFF2-40B4-BE49-F238E27FC236}">
              <a16:creationId xmlns:a16="http://schemas.microsoft.com/office/drawing/2014/main" id="{00000000-0008-0000-0500-000011000000}"/>
            </a:ext>
          </a:extLst>
        </xdr:cNvPr>
        <xdr:cNvSpPr/>
      </xdr:nvSpPr>
      <xdr:spPr>
        <a:xfrm>
          <a:off x="1514475" y="4419600"/>
          <a:ext cx="6715125" cy="2771775"/>
        </a:xfrm>
        <a:prstGeom prst="wedgeRoundRectCallout">
          <a:avLst>
            <a:gd name="adj1" fmla="val -30396"/>
            <a:gd name="adj2" fmla="val -748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いわゆる「お泊り保育」は、運営規程の開所時間の範囲内で入力してください。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（例）土・日・祝・長期休暇が、９時～</a:t>
          </a:r>
          <a:r>
            <a:rPr kumimoji="1" lang="en-US" altLang="ja-JP" sz="1600">
              <a:solidFill>
                <a:schemeClr val="bg1"/>
              </a:solidFill>
              <a:latin typeface="BIZ UDPゴシック" panose="020B0400000000000000" pitchFamily="50" charset="-128"/>
              <a:ea typeface="BIZ UDPゴシック" panose="020B0400000000000000" pitchFamily="50" charset="-128"/>
            </a:rPr>
            <a:t>18</a:t>
          </a:r>
          <a:r>
            <a:rPr kumimoji="1" lang="ja-JP" altLang="en-US" sz="1600">
              <a:solidFill>
                <a:schemeClr val="bg1"/>
              </a:solidFill>
              <a:latin typeface="BIZ UDPゴシック" panose="020B0400000000000000" pitchFamily="50" charset="-128"/>
              <a:ea typeface="BIZ UDPゴシック" panose="020B0400000000000000" pitchFamily="50" charset="-128"/>
            </a:rPr>
            <a:t>時のクラブ</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・通常保育が、土曜日の９時から</a:t>
          </a:r>
          <a:r>
            <a:rPr kumimoji="1" lang="en-US" altLang="ja-JP" sz="1600">
              <a:solidFill>
                <a:schemeClr val="bg1"/>
              </a:solidFill>
              <a:latin typeface="BIZ UDPゴシック" panose="020B0400000000000000" pitchFamily="50" charset="-128"/>
              <a:ea typeface="BIZ UDPゴシック" panose="020B0400000000000000" pitchFamily="50" charset="-128"/>
            </a:rPr>
            <a:t>17</a:t>
          </a:r>
          <a:r>
            <a:rPr kumimoji="1" lang="ja-JP" altLang="en-US" sz="1600">
              <a:solidFill>
                <a:schemeClr val="bg1"/>
              </a:solidFill>
              <a:latin typeface="BIZ UDPゴシック" panose="020B0400000000000000" pitchFamily="50" charset="-128"/>
              <a:ea typeface="BIZ UDPゴシック" panose="020B0400000000000000" pitchFamily="50" charset="-128"/>
            </a:rPr>
            <a:t>時までで、</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　お泊保育が、土曜日の</a:t>
          </a:r>
          <a:r>
            <a:rPr kumimoji="1" lang="en-US" altLang="ja-JP" sz="1600">
              <a:solidFill>
                <a:schemeClr val="bg1"/>
              </a:solidFill>
              <a:latin typeface="BIZ UDPゴシック" panose="020B0400000000000000" pitchFamily="50" charset="-128"/>
              <a:ea typeface="BIZ UDPゴシック" panose="020B0400000000000000" pitchFamily="50" charset="-128"/>
            </a:rPr>
            <a:t>17</a:t>
          </a:r>
          <a:r>
            <a:rPr kumimoji="1" lang="ja-JP" altLang="en-US" sz="1600">
              <a:solidFill>
                <a:schemeClr val="bg1"/>
              </a:solidFill>
              <a:latin typeface="BIZ UDPゴシック" panose="020B0400000000000000" pitchFamily="50" charset="-128"/>
              <a:ea typeface="BIZ UDPゴシック" panose="020B0400000000000000" pitchFamily="50" charset="-128"/>
            </a:rPr>
            <a:t>時から翌日曜日の</a:t>
          </a:r>
          <a:r>
            <a:rPr kumimoji="1" lang="en-US" altLang="ja-JP" sz="1600">
              <a:solidFill>
                <a:schemeClr val="bg1"/>
              </a:solidFill>
              <a:latin typeface="BIZ UDPゴシック" panose="020B0400000000000000" pitchFamily="50" charset="-128"/>
              <a:ea typeface="BIZ UDPゴシック" panose="020B0400000000000000" pitchFamily="50" charset="-128"/>
            </a:rPr>
            <a:t>12</a:t>
          </a:r>
          <a:r>
            <a:rPr kumimoji="1" lang="ja-JP" altLang="en-US" sz="1600">
              <a:solidFill>
                <a:schemeClr val="bg1"/>
              </a:solidFill>
              <a:latin typeface="BIZ UDPゴシック" panose="020B0400000000000000" pitchFamily="50" charset="-128"/>
              <a:ea typeface="BIZ UDPゴシック" panose="020B0400000000000000" pitchFamily="50" charset="-128"/>
            </a:rPr>
            <a:t>時までの場合</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・開所カレンダーは、土曜日の９時から</a:t>
          </a:r>
          <a:r>
            <a:rPr kumimoji="1" lang="en-US" altLang="ja-JP" sz="1600">
              <a:solidFill>
                <a:schemeClr val="bg1"/>
              </a:solidFill>
              <a:latin typeface="BIZ UDPゴシック" panose="020B0400000000000000" pitchFamily="50" charset="-128"/>
              <a:ea typeface="BIZ UDPゴシック" panose="020B0400000000000000" pitchFamily="50" charset="-128"/>
            </a:rPr>
            <a:t>18</a:t>
          </a:r>
          <a:r>
            <a:rPr kumimoji="1" lang="ja-JP" altLang="en-US" sz="1600">
              <a:solidFill>
                <a:schemeClr val="bg1"/>
              </a:solidFill>
              <a:latin typeface="BIZ UDPゴシック" panose="020B0400000000000000" pitchFamily="50" charset="-128"/>
              <a:ea typeface="BIZ UDPゴシック" panose="020B0400000000000000" pitchFamily="50" charset="-128"/>
            </a:rPr>
            <a:t>時まで。</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　翌日曜日は、９時から</a:t>
          </a:r>
          <a:r>
            <a:rPr kumimoji="1" lang="en-US" altLang="ja-JP" sz="1600">
              <a:solidFill>
                <a:schemeClr val="bg1"/>
              </a:solidFill>
              <a:latin typeface="BIZ UDPゴシック" panose="020B0400000000000000" pitchFamily="50" charset="-128"/>
              <a:ea typeface="BIZ UDPゴシック" panose="020B0400000000000000" pitchFamily="50" charset="-128"/>
            </a:rPr>
            <a:t>12</a:t>
          </a:r>
          <a:r>
            <a:rPr kumimoji="1" lang="ja-JP" altLang="en-US" sz="1600">
              <a:solidFill>
                <a:schemeClr val="bg1"/>
              </a:solidFill>
              <a:latin typeface="BIZ UDPゴシック" panose="020B0400000000000000" pitchFamily="50" charset="-128"/>
              <a:ea typeface="BIZ UDPゴシック" panose="020B0400000000000000" pitchFamily="50" charset="-128"/>
            </a:rPr>
            <a:t>時までのため、開所日になりません。</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57149</xdr:colOff>
      <xdr:row>2</xdr:row>
      <xdr:rowOff>142875</xdr:rowOff>
    </xdr:from>
    <xdr:to>
      <xdr:col>13</xdr:col>
      <xdr:colOff>161925</xdr:colOff>
      <xdr:row>3</xdr:row>
      <xdr:rowOff>828674</xdr:rowOff>
    </xdr:to>
    <xdr:sp macro="" textlink="">
      <xdr:nvSpPr>
        <xdr:cNvPr id="18" name="吹き出し: 角を丸めた四角形 17">
          <a:extLst>
            <a:ext uri="{FF2B5EF4-FFF2-40B4-BE49-F238E27FC236}">
              <a16:creationId xmlns:a16="http://schemas.microsoft.com/office/drawing/2014/main" id="{00000000-0008-0000-0500-000012000000}"/>
            </a:ext>
          </a:extLst>
        </xdr:cNvPr>
        <xdr:cNvSpPr/>
      </xdr:nvSpPr>
      <xdr:spPr>
        <a:xfrm>
          <a:off x="876299" y="504825"/>
          <a:ext cx="7953376" cy="1257299"/>
        </a:xfrm>
        <a:prstGeom prst="wedgeRoundRectCallout">
          <a:avLst>
            <a:gd name="adj1" fmla="val 48056"/>
            <a:gd name="adj2" fmla="val 33512"/>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事前に送付した開所カレンダーからコピーして作成する場合は、「値」を貼り付けしてください！</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クリーム色のセルのみ貼り付けができるようになっています。</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この場合は、職員名簿についてもコピー＆ペーストで作成してください。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47625</xdr:colOff>
      <xdr:row>45</xdr:row>
      <xdr:rowOff>152400</xdr:rowOff>
    </xdr:from>
    <xdr:to>
      <xdr:col>21</xdr:col>
      <xdr:colOff>228600</xdr:colOff>
      <xdr:row>48</xdr:row>
      <xdr:rowOff>114300</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5953125" y="8029575"/>
          <a:ext cx="476250" cy="47625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53</xdr:row>
          <xdr:rowOff>66675</xdr:rowOff>
        </xdr:from>
        <xdr:to>
          <xdr:col>9</xdr:col>
          <xdr:colOff>123825</xdr:colOff>
          <xdr:row>54</xdr:row>
          <xdr:rowOff>85725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55</xdr:row>
          <xdr:rowOff>28575</xdr:rowOff>
        </xdr:from>
        <xdr:to>
          <xdr:col>9</xdr:col>
          <xdr:colOff>123825</xdr:colOff>
          <xdr:row>56</xdr:row>
          <xdr:rowOff>85725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55</xdr:row>
          <xdr:rowOff>66675</xdr:rowOff>
        </xdr:from>
        <xdr:to>
          <xdr:col>20</xdr:col>
          <xdr:colOff>152400</xdr:colOff>
          <xdr:row>56</xdr:row>
          <xdr:rowOff>123825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53</xdr:row>
          <xdr:rowOff>66675</xdr:rowOff>
        </xdr:from>
        <xdr:to>
          <xdr:col>20</xdr:col>
          <xdr:colOff>142875</xdr:colOff>
          <xdr:row>54</xdr:row>
          <xdr:rowOff>85725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76200</xdr:rowOff>
        </xdr:from>
        <xdr:to>
          <xdr:col>3</xdr:col>
          <xdr:colOff>114300</xdr:colOff>
          <xdr:row>61</xdr:row>
          <xdr:rowOff>142875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66675</xdr:rowOff>
        </xdr:from>
        <xdr:to>
          <xdr:col>3</xdr:col>
          <xdr:colOff>114300</xdr:colOff>
          <xdr:row>59</xdr:row>
          <xdr:rowOff>85725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6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53</xdr:row>
          <xdr:rowOff>66675</xdr:rowOff>
        </xdr:from>
        <xdr:to>
          <xdr:col>9</xdr:col>
          <xdr:colOff>123825</xdr:colOff>
          <xdr:row>54</xdr:row>
          <xdr:rowOff>85725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6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55</xdr:row>
          <xdr:rowOff>28575</xdr:rowOff>
        </xdr:from>
        <xdr:to>
          <xdr:col>9</xdr:col>
          <xdr:colOff>123825</xdr:colOff>
          <xdr:row>56</xdr:row>
          <xdr:rowOff>85725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6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55</xdr:row>
          <xdr:rowOff>66675</xdr:rowOff>
        </xdr:from>
        <xdr:to>
          <xdr:col>20</xdr:col>
          <xdr:colOff>152400</xdr:colOff>
          <xdr:row>56</xdr:row>
          <xdr:rowOff>123825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6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53</xdr:row>
          <xdr:rowOff>66675</xdr:rowOff>
        </xdr:from>
        <xdr:to>
          <xdr:col>20</xdr:col>
          <xdr:colOff>142875</xdr:colOff>
          <xdr:row>54</xdr:row>
          <xdr:rowOff>85725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6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76200</xdr:rowOff>
        </xdr:from>
        <xdr:to>
          <xdr:col>3</xdr:col>
          <xdr:colOff>114300</xdr:colOff>
          <xdr:row>61</xdr:row>
          <xdr:rowOff>142875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66675</xdr:rowOff>
        </xdr:from>
        <xdr:to>
          <xdr:col>3</xdr:col>
          <xdr:colOff>114300</xdr:colOff>
          <xdr:row>59</xdr:row>
          <xdr:rowOff>85725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6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276225</xdr:colOff>
      <xdr:row>10</xdr:row>
      <xdr:rowOff>76200</xdr:rowOff>
    </xdr:from>
    <xdr:to>
      <xdr:col>22</xdr:col>
      <xdr:colOff>47626</xdr:colOff>
      <xdr:row>18</xdr:row>
      <xdr:rowOff>57150</xdr:rowOff>
    </xdr:to>
    <xdr:sp macro="" textlink="">
      <xdr:nvSpPr>
        <xdr:cNvPr id="14" name="吹き出し: 角を丸めた四角形 13">
          <a:extLst>
            <a:ext uri="{FF2B5EF4-FFF2-40B4-BE49-F238E27FC236}">
              <a16:creationId xmlns:a16="http://schemas.microsoft.com/office/drawing/2014/main" id="{00000000-0008-0000-0600-00000E000000}"/>
            </a:ext>
          </a:extLst>
        </xdr:cNvPr>
        <xdr:cNvSpPr/>
      </xdr:nvSpPr>
      <xdr:spPr>
        <a:xfrm>
          <a:off x="2343150" y="1905000"/>
          <a:ext cx="4200526" cy="1352550"/>
        </a:xfrm>
        <a:prstGeom prst="wedgeRoundRectCallout">
          <a:avLst>
            <a:gd name="adj1" fmla="val -43560"/>
            <a:gd name="adj2" fmla="val 817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責任者と担当者の両方必ず入力してください。書類に関する問い合わせは担当者の方にご連絡します。</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104775</xdr:colOff>
      <xdr:row>33</xdr:row>
      <xdr:rowOff>142876</xdr:rowOff>
    </xdr:from>
    <xdr:to>
      <xdr:col>22</xdr:col>
      <xdr:colOff>238125</xdr:colOff>
      <xdr:row>43</xdr:row>
      <xdr:rowOff>61912</xdr:rowOff>
    </xdr:to>
    <xdr:sp macro="" textlink="">
      <xdr:nvSpPr>
        <xdr:cNvPr id="15" name="吹き出し: 角を丸めた四角形 14">
          <a:extLst>
            <a:ext uri="{FF2B5EF4-FFF2-40B4-BE49-F238E27FC236}">
              <a16:creationId xmlns:a16="http://schemas.microsoft.com/office/drawing/2014/main" id="{00000000-0008-0000-0600-00000F000000}"/>
            </a:ext>
          </a:extLst>
        </xdr:cNvPr>
        <xdr:cNvSpPr/>
      </xdr:nvSpPr>
      <xdr:spPr>
        <a:xfrm>
          <a:off x="3648075" y="5962651"/>
          <a:ext cx="3086100" cy="1633536"/>
        </a:xfrm>
        <a:prstGeom prst="wedgeRoundRectCallout">
          <a:avLst>
            <a:gd name="adj1" fmla="val 32030"/>
            <a:gd name="adj2" fmla="val 89501"/>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口座が、法人・クラブ名義でない場合は、ここに押印が必須です。</a:t>
          </a:r>
          <a:endParaRPr kumimoji="1" lang="en-US" altLang="ja-JP" sz="1600" b="1"/>
        </a:p>
        <a:p>
          <a:pPr algn="l"/>
          <a:r>
            <a:rPr kumimoji="1" lang="ja-JP" altLang="en-US" sz="1600" b="1"/>
            <a:t>郵送で提出してください。</a:t>
          </a:r>
          <a:endParaRPr kumimoji="1" lang="en-US" altLang="ja-JP" sz="16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266700</xdr:colOff>
      <xdr:row>0</xdr:row>
      <xdr:rowOff>153865</xdr:rowOff>
    </xdr:from>
    <xdr:to>
      <xdr:col>26</xdr:col>
      <xdr:colOff>146539</xdr:colOff>
      <xdr:row>16</xdr:row>
      <xdr:rowOff>209550</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2924175" y="153865"/>
          <a:ext cx="4899514" cy="3446585"/>
        </a:xfrm>
        <a:prstGeom prst="wedgeRoundRectCallout">
          <a:avLst>
            <a:gd name="adj1" fmla="val -77184"/>
            <a:gd name="adj2" fmla="val 83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BIZ UDPゴシック" panose="020B0400000000000000" pitchFamily="50" charset="-128"/>
              <a:ea typeface="BIZ UDPゴシック" panose="020B0400000000000000" pitchFamily="50" charset="-128"/>
            </a:rPr>
            <a:t>①住所</a:t>
          </a:r>
          <a:r>
            <a:rPr kumimoji="1" lang="ja-JP" altLang="en-US" sz="1600">
              <a:solidFill>
                <a:schemeClr val="bg1"/>
              </a:solidFill>
              <a:latin typeface="BIZ UDPゴシック" panose="020B0400000000000000" pitchFamily="50" charset="-128"/>
              <a:ea typeface="BIZ UDPゴシック" panose="020B0400000000000000" pitchFamily="50" charset="-128"/>
            </a:rPr>
            <a:t>　</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②</a:t>
          </a:r>
          <a:r>
            <a:rPr kumimoji="1" lang="ja-JP" altLang="en-US" sz="1600" b="1" u="sng">
              <a:solidFill>
                <a:schemeClr val="bg1"/>
              </a:solidFill>
              <a:latin typeface="BIZ UDPゴシック" panose="020B0400000000000000" pitchFamily="50" charset="-128"/>
              <a:ea typeface="BIZ UDPゴシック" panose="020B0400000000000000" pitchFamily="50" charset="-128"/>
            </a:rPr>
            <a:t>法人名</a:t>
          </a:r>
          <a:r>
            <a:rPr kumimoji="1" lang="ja-JP" altLang="en-US" sz="1600" b="1">
              <a:solidFill>
                <a:schemeClr val="bg1"/>
              </a:solidFill>
              <a:latin typeface="BIZ UDPゴシック" panose="020B0400000000000000" pitchFamily="50" charset="-128"/>
              <a:ea typeface="BIZ UDPゴシック" panose="020B0400000000000000" pitchFamily="50" charset="-128"/>
            </a:rPr>
            <a:t>＋</a:t>
          </a:r>
          <a:r>
            <a:rPr kumimoji="1" lang="ja-JP" altLang="en-US" sz="1600">
              <a:solidFill>
                <a:schemeClr val="bg1"/>
              </a:solidFill>
              <a:latin typeface="BIZ UDPゴシック" panose="020B0400000000000000" pitchFamily="50" charset="-128"/>
              <a:ea typeface="BIZ UDPゴシック" panose="020B0400000000000000" pitchFamily="50" charset="-128"/>
            </a:rPr>
            <a:t>団体名</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③代表者役職、氏名</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は、正確に入力してください。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ここに入力したものが各シートの必要個所に反映されます。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代表者押印は不要です。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b="1" u="dbl">
              <a:solidFill>
                <a:schemeClr val="bg1"/>
              </a:solidFill>
              <a:latin typeface="BIZ UDPゴシック" panose="020B0400000000000000" pitchFamily="50" charset="-128"/>
              <a:ea typeface="BIZ UDPゴシック" panose="020B0400000000000000" pitchFamily="50" charset="-128"/>
            </a:rPr>
            <a:t>法人名・代表者役職は、抜け・誤りが多いです。</a:t>
          </a:r>
          <a:endParaRPr kumimoji="1" lang="en-US" altLang="ja-JP" sz="1600" b="1" u="dbl">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106974</xdr:colOff>
      <xdr:row>18</xdr:row>
      <xdr:rowOff>135548</xdr:rowOff>
    </xdr:from>
    <xdr:to>
      <xdr:col>22</xdr:col>
      <xdr:colOff>228600</xdr:colOff>
      <xdr:row>24</xdr:row>
      <xdr:rowOff>151667</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2764449" y="4078898"/>
          <a:ext cx="3960201" cy="1444869"/>
        </a:xfrm>
        <a:prstGeom prst="wedgeRoundRectCallout">
          <a:avLst>
            <a:gd name="adj1" fmla="val 45567"/>
            <a:gd name="adj2" fmla="val -6728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u="dbl">
              <a:latin typeface="BIZ UDPゴシック" panose="020B0400000000000000" pitchFamily="50" charset="-128"/>
              <a:ea typeface="BIZ UDPゴシック" panose="020B0400000000000000" pitchFamily="50" charset="-128"/>
            </a:rPr>
            <a:t>すでに交付決定を受けた金額を</a:t>
          </a:r>
          <a:r>
            <a:rPr kumimoji="1" lang="ja-JP" altLang="en-US" sz="1600" b="0" u="dbl">
              <a:solidFill>
                <a:schemeClr val="bg1"/>
              </a:solidFill>
              <a:latin typeface="BIZ UDPゴシック" panose="020B0400000000000000" pitchFamily="50" charset="-128"/>
              <a:ea typeface="BIZ UDPゴシック" panose="020B0400000000000000" pitchFamily="50" charset="-128"/>
            </a:rPr>
            <a:t>、正確に入力してください。</a:t>
          </a:r>
          <a:endParaRPr kumimoji="1" lang="en-US" altLang="ja-JP" sz="1600" b="0" u="dbl">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b="0" u="dbl">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b="0" u="dbl">
              <a:solidFill>
                <a:schemeClr val="bg1"/>
              </a:solidFill>
              <a:latin typeface="BIZ UDPゴシック" panose="020B0400000000000000" pitchFamily="50" charset="-128"/>
              <a:ea typeface="BIZ UDPゴシック" panose="020B0400000000000000" pitchFamily="50" charset="-128"/>
            </a:rPr>
            <a:t>物価高騰は、ここには入力しません。</a:t>
          </a:r>
          <a:endParaRPr kumimoji="1" lang="en-US" altLang="ja-JP" sz="1600" b="0" u="dbl">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230063</xdr:colOff>
      <xdr:row>25</xdr:row>
      <xdr:rowOff>142875</xdr:rowOff>
    </xdr:from>
    <xdr:to>
      <xdr:col>24</xdr:col>
      <xdr:colOff>150201</xdr:colOff>
      <xdr:row>30</xdr:row>
      <xdr:rowOff>131884</xdr:rowOff>
    </xdr:to>
    <xdr:sp macro="" textlink="">
      <xdr:nvSpPr>
        <xdr:cNvPr id="4" name="吹き出し: 角を丸めた四角形 3">
          <a:extLst>
            <a:ext uri="{FF2B5EF4-FFF2-40B4-BE49-F238E27FC236}">
              <a16:creationId xmlns:a16="http://schemas.microsoft.com/office/drawing/2014/main" id="{00000000-0008-0000-0700-000004000000}"/>
            </a:ext>
          </a:extLst>
        </xdr:cNvPr>
        <xdr:cNvSpPr/>
      </xdr:nvSpPr>
      <xdr:spPr>
        <a:xfrm>
          <a:off x="3773363" y="5753100"/>
          <a:ext cx="3463438" cy="1179634"/>
        </a:xfrm>
        <a:prstGeom prst="wedgeRoundRectCallout">
          <a:avLst>
            <a:gd name="adj1" fmla="val -48468"/>
            <a:gd name="adj2" fmla="val 160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u="dbl">
              <a:latin typeface="BIZ UDPゴシック" panose="020B0400000000000000" pitchFamily="50" charset="-128"/>
              <a:ea typeface="BIZ UDPゴシック" panose="020B0400000000000000" pitchFamily="50" charset="-128"/>
            </a:rPr>
            <a:t>３か所手入力の箇所があります。</a:t>
          </a:r>
          <a:endParaRPr kumimoji="1" lang="en-US" altLang="ja-JP" sz="1600" b="0" u="dbl">
            <a:latin typeface="BIZ UDPゴシック" panose="020B0400000000000000" pitchFamily="50" charset="-128"/>
            <a:ea typeface="BIZ UDPゴシック" panose="020B0400000000000000" pitchFamily="50" charset="-128"/>
          </a:endParaRPr>
        </a:p>
        <a:p>
          <a:pPr algn="l"/>
          <a:r>
            <a:rPr kumimoji="1" lang="ja-JP" altLang="en-US" sz="1600" b="0" u="dbl">
              <a:latin typeface="BIZ UDPゴシック" panose="020B0400000000000000" pitchFamily="50" charset="-128"/>
              <a:ea typeface="BIZ UDPゴシック" panose="020B0400000000000000" pitchFamily="50" charset="-128"/>
            </a:rPr>
            <a:t>（送迎支援、研修受講費、家賃補助）</a:t>
          </a:r>
          <a:endParaRPr kumimoji="1" lang="en-US" altLang="ja-JP" sz="1600" b="0" u="dbl">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156796</xdr:colOff>
      <xdr:row>41</xdr:row>
      <xdr:rowOff>9525</xdr:rowOff>
    </xdr:from>
    <xdr:to>
      <xdr:col>25</xdr:col>
      <xdr:colOff>219075</xdr:colOff>
      <xdr:row>54</xdr:row>
      <xdr:rowOff>57150</xdr:rowOff>
    </xdr:to>
    <xdr:sp macro="" textlink="">
      <xdr:nvSpPr>
        <xdr:cNvPr id="5" name="吹き出し: 角を丸めた四角形 4">
          <a:extLst>
            <a:ext uri="{FF2B5EF4-FFF2-40B4-BE49-F238E27FC236}">
              <a16:creationId xmlns:a16="http://schemas.microsoft.com/office/drawing/2014/main" id="{00000000-0008-0000-0700-000005000000}"/>
            </a:ext>
          </a:extLst>
        </xdr:cNvPr>
        <xdr:cNvSpPr/>
      </xdr:nvSpPr>
      <xdr:spPr>
        <a:xfrm>
          <a:off x="3700096" y="9744075"/>
          <a:ext cx="3900854" cy="2400300"/>
        </a:xfrm>
        <a:prstGeom prst="wedgeRoundRectCallout">
          <a:avLst>
            <a:gd name="adj1" fmla="val -64871"/>
            <a:gd name="adj2" fmla="val -66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u="dbl">
              <a:latin typeface="BIZ UDPゴシック" panose="020B0400000000000000" pitchFamily="50" charset="-128"/>
              <a:ea typeface="BIZ UDPゴシック" panose="020B0400000000000000" pitchFamily="50" charset="-128"/>
            </a:rPr>
            <a:t>入力項目</a:t>
          </a:r>
        </a:p>
        <a:p>
          <a:pPr algn="l"/>
          <a:r>
            <a:rPr kumimoji="1" lang="ja-JP" altLang="en-US" sz="1600" b="0" u="dbl">
              <a:latin typeface="BIZ UDPゴシック" panose="020B0400000000000000" pitchFamily="50" charset="-128"/>
              <a:ea typeface="BIZ UDPゴシック" panose="020B0400000000000000" pitchFamily="50" charset="-128"/>
            </a:rPr>
            <a:t>　①変更</a:t>
          </a:r>
          <a:r>
            <a:rPr kumimoji="1" lang="ja-JP" altLang="en-US" sz="1600" b="0" u="dbl">
              <a:solidFill>
                <a:schemeClr val="bg1"/>
              </a:solidFill>
              <a:latin typeface="BIZ UDPゴシック" panose="020B0400000000000000" pitchFamily="50" charset="-128"/>
              <a:ea typeface="BIZ UDPゴシック" panose="020B0400000000000000" pitchFamily="50" charset="-128"/>
            </a:rPr>
            <a:t>の理由</a:t>
          </a:r>
        </a:p>
        <a:p>
          <a:pPr algn="l"/>
          <a:r>
            <a:rPr kumimoji="1" lang="ja-JP" altLang="en-US" sz="1600" b="0" u="dbl">
              <a:solidFill>
                <a:schemeClr val="bg1"/>
              </a:solidFill>
              <a:latin typeface="BIZ UDPゴシック" panose="020B0400000000000000" pitchFamily="50" charset="-128"/>
              <a:ea typeface="BIZ UDPゴシック" panose="020B0400000000000000" pitchFamily="50" charset="-128"/>
            </a:rPr>
            <a:t>　　　例</a:t>
          </a:r>
          <a:r>
            <a:rPr kumimoji="1" lang="en-US" altLang="ja-JP" sz="1600" b="0" u="dbl">
              <a:solidFill>
                <a:schemeClr val="bg1"/>
              </a:solidFill>
              <a:latin typeface="BIZ UDPゴシック" panose="020B0400000000000000" pitchFamily="50" charset="-128"/>
              <a:ea typeface="BIZ UDPゴシック" panose="020B0400000000000000" pitchFamily="50" charset="-128"/>
            </a:rPr>
            <a:t>)</a:t>
          </a:r>
          <a:r>
            <a:rPr kumimoji="1" lang="ja-JP" altLang="en-US" sz="1600" b="0" u="dbl">
              <a:solidFill>
                <a:schemeClr val="bg1"/>
              </a:solidFill>
              <a:latin typeface="BIZ UDPゴシック" panose="020B0400000000000000" pitchFamily="50" charset="-128"/>
              <a:ea typeface="BIZ UDPゴシック" panose="020B0400000000000000" pitchFamily="50" charset="-128"/>
            </a:rPr>
            <a:t>　利用児童数の減　等</a:t>
          </a:r>
        </a:p>
        <a:p>
          <a:pPr algn="l"/>
          <a:r>
            <a:rPr kumimoji="1" lang="ja-JP" altLang="en-US" sz="1600" b="0" u="dbl">
              <a:solidFill>
                <a:schemeClr val="bg1"/>
              </a:solidFill>
              <a:latin typeface="BIZ UDPゴシック" panose="020B0400000000000000" pitchFamily="50" charset="-128"/>
              <a:ea typeface="BIZ UDPゴシック" panose="020B0400000000000000" pitchFamily="50" charset="-128"/>
            </a:rPr>
            <a:t>　②添付書類</a:t>
          </a:r>
        </a:p>
        <a:p>
          <a:pPr algn="l"/>
          <a:r>
            <a:rPr kumimoji="1" lang="ja-JP" altLang="en-US" sz="1600" b="0" u="dbl">
              <a:solidFill>
                <a:schemeClr val="bg1"/>
              </a:solidFill>
              <a:latin typeface="BIZ UDPゴシック" panose="020B0400000000000000" pitchFamily="50" charset="-128"/>
              <a:ea typeface="BIZ UDPゴシック" panose="020B0400000000000000" pitchFamily="50" charset="-128"/>
            </a:rPr>
            <a:t>　　　実績報告に添付するすべて</a:t>
          </a:r>
        </a:p>
        <a:p>
          <a:pPr algn="l"/>
          <a:r>
            <a:rPr kumimoji="1" lang="ja-JP" altLang="en-US" sz="1600" b="0" u="dbl">
              <a:solidFill>
                <a:schemeClr val="bg1"/>
              </a:solidFill>
              <a:latin typeface="BIZ UDPゴシック" panose="020B0400000000000000" pitchFamily="50" charset="-128"/>
              <a:ea typeface="BIZ UDPゴシック" panose="020B0400000000000000" pitchFamily="50" charset="-128"/>
            </a:rPr>
            <a:t>　　　の書類を入力してください。</a:t>
          </a:r>
          <a:endParaRPr kumimoji="1" lang="en-US" altLang="ja-JP" sz="1600" b="0" u="dbl">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0</xdr:colOff>
      <xdr:row>28</xdr:row>
      <xdr:rowOff>18317</xdr:rowOff>
    </xdr:from>
    <xdr:to>
      <xdr:col>12</xdr:col>
      <xdr:colOff>230063</xdr:colOff>
      <xdr:row>30</xdr:row>
      <xdr:rowOff>38100</xdr:rowOff>
    </xdr:to>
    <xdr:cxnSp macro="">
      <xdr:nvCxnSpPr>
        <xdr:cNvPr id="7" name="直線矢印コネクタ 6">
          <a:extLst>
            <a:ext uri="{FF2B5EF4-FFF2-40B4-BE49-F238E27FC236}">
              <a16:creationId xmlns:a16="http://schemas.microsoft.com/office/drawing/2014/main" id="{00000000-0008-0000-0700-000007000000}"/>
            </a:ext>
          </a:extLst>
        </xdr:cNvPr>
        <xdr:cNvCxnSpPr>
          <a:stCxn id="4" idx="1"/>
        </xdr:cNvCxnSpPr>
      </xdr:nvCxnSpPr>
      <xdr:spPr>
        <a:xfrm flipH="1">
          <a:off x="2952750" y="6342917"/>
          <a:ext cx="820613" cy="496033"/>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285750</xdr:colOff>
      <xdr:row>28</xdr:row>
      <xdr:rowOff>18317</xdr:rowOff>
    </xdr:from>
    <xdr:to>
      <xdr:col>12</xdr:col>
      <xdr:colOff>230063</xdr:colOff>
      <xdr:row>33</xdr:row>
      <xdr:rowOff>19050</xdr:rowOff>
    </xdr:to>
    <xdr:cxnSp macro="">
      <xdr:nvCxnSpPr>
        <xdr:cNvPr id="8" name="直線矢印コネクタ 7">
          <a:extLst>
            <a:ext uri="{FF2B5EF4-FFF2-40B4-BE49-F238E27FC236}">
              <a16:creationId xmlns:a16="http://schemas.microsoft.com/office/drawing/2014/main" id="{00000000-0008-0000-0700-000008000000}"/>
            </a:ext>
          </a:extLst>
        </xdr:cNvPr>
        <xdr:cNvCxnSpPr>
          <a:stCxn id="4" idx="1"/>
        </xdr:cNvCxnSpPr>
      </xdr:nvCxnSpPr>
      <xdr:spPr>
        <a:xfrm flipH="1">
          <a:off x="2943225" y="6342917"/>
          <a:ext cx="830138" cy="119135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28</xdr:row>
      <xdr:rowOff>18317</xdr:rowOff>
    </xdr:from>
    <xdr:to>
      <xdr:col>12</xdr:col>
      <xdr:colOff>230063</xdr:colOff>
      <xdr:row>34</xdr:row>
      <xdr:rowOff>85725</xdr:rowOff>
    </xdr:to>
    <xdr:cxnSp macro="">
      <xdr:nvCxnSpPr>
        <xdr:cNvPr id="9" name="直線矢印コネクタ 8">
          <a:extLst>
            <a:ext uri="{FF2B5EF4-FFF2-40B4-BE49-F238E27FC236}">
              <a16:creationId xmlns:a16="http://schemas.microsoft.com/office/drawing/2014/main" id="{00000000-0008-0000-0700-000009000000}"/>
            </a:ext>
          </a:extLst>
        </xdr:cNvPr>
        <xdr:cNvCxnSpPr>
          <a:stCxn id="4" idx="1"/>
        </xdr:cNvCxnSpPr>
      </xdr:nvCxnSpPr>
      <xdr:spPr>
        <a:xfrm flipH="1">
          <a:off x="2962275" y="6342917"/>
          <a:ext cx="811088" cy="149615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292344</xdr:colOff>
      <xdr:row>30</xdr:row>
      <xdr:rowOff>226400</xdr:rowOff>
    </xdr:from>
    <xdr:to>
      <xdr:col>24</xdr:col>
      <xdr:colOff>161925</xdr:colOff>
      <xdr:row>36</xdr:row>
      <xdr:rowOff>19050</xdr:rowOff>
    </xdr:to>
    <xdr:sp macro="" textlink="">
      <xdr:nvSpPr>
        <xdr:cNvPr id="18" name="吹き出し: 角を丸めた四角形 17">
          <a:extLst>
            <a:ext uri="{FF2B5EF4-FFF2-40B4-BE49-F238E27FC236}">
              <a16:creationId xmlns:a16="http://schemas.microsoft.com/office/drawing/2014/main" id="{00000000-0008-0000-0700-000012000000}"/>
            </a:ext>
          </a:extLst>
        </xdr:cNvPr>
        <xdr:cNvSpPr/>
      </xdr:nvSpPr>
      <xdr:spPr>
        <a:xfrm>
          <a:off x="3540369" y="7027250"/>
          <a:ext cx="3708156" cy="1221400"/>
        </a:xfrm>
        <a:prstGeom prst="wedgeRoundRectCallout">
          <a:avLst>
            <a:gd name="adj1" fmla="val 42323"/>
            <a:gd name="adj2" fmla="val 574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u="dbl">
              <a:solidFill>
                <a:schemeClr val="bg1"/>
              </a:solidFill>
              <a:latin typeface="BIZ UDPゴシック" panose="020B0400000000000000" pitchFamily="50" charset="-128"/>
              <a:ea typeface="BIZ UDPゴシック" panose="020B0400000000000000" pitchFamily="50" charset="-128"/>
            </a:rPr>
            <a:t>コロナは、前期分（確定額）と後期分（請求額）を合算して入力してください。</a:t>
          </a:r>
          <a:endParaRPr kumimoji="1" lang="en-US" altLang="ja-JP" sz="1600" b="0" u="dbl">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69274</xdr:colOff>
      <xdr:row>26</xdr:row>
      <xdr:rowOff>119737</xdr:rowOff>
    </xdr:from>
    <xdr:to>
      <xdr:col>4</xdr:col>
      <xdr:colOff>2104159</xdr:colOff>
      <xdr:row>36</xdr:row>
      <xdr:rowOff>121227</xdr:rowOff>
    </xdr:to>
    <xdr:sp macro="" textlink="">
      <xdr:nvSpPr>
        <xdr:cNvPr id="2" name="吹き出し: 角を丸めた四角形 1">
          <a:extLst>
            <a:ext uri="{FF2B5EF4-FFF2-40B4-BE49-F238E27FC236}">
              <a16:creationId xmlns:a16="http://schemas.microsoft.com/office/drawing/2014/main" id="{00000000-0008-0000-0800-000002000000}"/>
            </a:ext>
          </a:extLst>
        </xdr:cNvPr>
        <xdr:cNvSpPr/>
      </xdr:nvSpPr>
      <xdr:spPr>
        <a:xfrm>
          <a:off x="406979" y="4639782"/>
          <a:ext cx="4476748" cy="1759286"/>
        </a:xfrm>
        <a:prstGeom prst="wedgeRoundRectCallout">
          <a:avLst>
            <a:gd name="adj1" fmla="val 48056"/>
            <a:gd name="adj2" fmla="val 33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「変更交付申請・実績報告（一部）用」様式を作成すると対象額が計算されます。</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他の様式（１～７）を完成させてから金額を確認してください。</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2425142</xdr:colOff>
      <xdr:row>21</xdr:row>
      <xdr:rowOff>51358</xdr:rowOff>
    </xdr:from>
    <xdr:to>
      <xdr:col>5</xdr:col>
      <xdr:colOff>1912762</xdr:colOff>
      <xdr:row>31</xdr:row>
      <xdr:rowOff>129886</xdr:rowOff>
    </xdr:to>
    <xdr:sp macro="" textlink="">
      <xdr:nvSpPr>
        <xdr:cNvPr id="3" name="吹き出し: 角を丸めた四角形 2">
          <a:extLst>
            <a:ext uri="{FF2B5EF4-FFF2-40B4-BE49-F238E27FC236}">
              <a16:creationId xmlns:a16="http://schemas.microsoft.com/office/drawing/2014/main" id="{00000000-0008-0000-0800-000003000000}"/>
            </a:ext>
          </a:extLst>
        </xdr:cNvPr>
        <xdr:cNvSpPr/>
      </xdr:nvSpPr>
      <xdr:spPr>
        <a:xfrm>
          <a:off x="5204710" y="3688176"/>
          <a:ext cx="3306279" cy="1853642"/>
        </a:xfrm>
        <a:prstGeom prst="wedgeRoundRectCallout">
          <a:avLst>
            <a:gd name="adj1" fmla="val 75782"/>
            <a:gd name="adj2" fmla="val -780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BIZ UDPゴシック" panose="020B0400000000000000" pitchFamily="50" charset="-128"/>
              <a:ea typeface="BIZ UDPゴシック" panose="020B0400000000000000" pitchFamily="50" charset="-128"/>
            </a:rPr>
            <a:t>新型コロナウイルス感染症対策で手当等人件費分を</a:t>
          </a:r>
          <a:r>
            <a:rPr kumimoji="1" lang="ja-JP" altLang="en-US" sz="1600">
              <a:solidFill>
                <a:schemeClr val="bg1"/>
              </a:solidFill>
              <a:latin typeface="BIZ UDPゴシック" panose="020B0400000000000000" pitchFamily="50" charset="-128"/>
              <a:ea typeface="BIZ UDPゴシック" panose="020B0400000000000000" pitchFamily="50" charset="-128"/>
            </a:rPr>
            <a:t>交付済みの場合、その手当の全員分の総額を入力してください。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597477</xdr:colOff>
      <xdr:row>1</xdr:row>
      <xdr:rowOff>1</xdr:rowOff>
    </xdr:from>
    <xdr:to>
      <xdr:col>5</xdr:col>
      <xdr:colOff>2277341</xdr:colOff>
      <xdr:row>16</xdr:row>
      <xdr:rowOff>43296</xdr:rowOff>
    </xdr:to>
    <xdr:sp macro="" textlink="">
      <xdr:nvSpPr>
        <xdr:cNvPr id="4" name="吹き出し: 角を丸めた四角形 3">
          <a:extLst>
            <a:ext uri="{FF2B5EF4-FFF2-40B4-BE49-F238E27FC236}">
              <a16:creationId xmlns:a16="http://schemas.microsoft.com/office/drawing/2014/main" id="{00000000-0008-0000-0800-000004000000}"/>
            </a:ext>
          </a:extLst>
        </xdr:cNvPr>
        <xdr:cNvSpPr/>
      </xdr:nvSpPr>
      <xdr:spPr>
        <a:xfrm>
          <a:off x="935182" y="173183"/>
          <a:ext cx="7940386" cy="2641022"/>
        </a:xfrm>
        <a:prstGeom prst="wedgeRoundRectCallout">
          <a:avLst>
            <a:gd name="adj1" fmla="val 56736"/>
            <a:gd name="adj2" fmla="val 122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本シートは見込みで人件費を入力しますが、</a:t>
          </a: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実績報告書（残り）で提出する様式</a:t>
          </a:r>
          <a:r>
            <a:rPr kumimoji="1" lang="en-US" altLang="ja-JP" sz="1600">
              <a:solidFill>
                <a:schemeClr val="bg1"/>
              </a:solidFill>
              <a:latin typeface="BIZ UDPゴシック" panose="020B0400000000000000" pitchFamily="50" charset="-128"/>
              <a:ea typeface="BIZ UDPゴシック" panose="020B0400000000000000" pitchFamily="50" charset="-128"/>
            </a:rPr>
            <a:t>10</a:t>
          </a:r>
          <a:r>
            <a:rPr kumimoji="1" lang="ja-JP" altLang="en-US" sz="1600">
              <a:solidFill>
                <a:schemeClr val="bg1"/>
              </a:solidFill>
              <a:latin typeface="BIZ UDPゴシック" panose="020B0400000000000000" pitchFamily="50" charset="-128"/>
              <a:ea typeface="BIZ UDPゴシック" panose="020B0400000000000000" pitchFamily="50" charset="-128"/>
            </a:rPr>
            <a:t>「決算書」には、</a:t>
          </a: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確定した人件費を入力していただきます。</a:t>
          </a:r>
        </a:p>
        <a:p>
          <a:pPr algn="l"/>
          <a:endParaRPr kumimoji="1" lang="ja-JP" altLang="en-US"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本シートの人件費から、確定額が減額になる場合は、</a:t>
          </a: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返金となる可能性がありますので、早急に子育て支援課にご相談ください。</a:t>
          </a:r>
          <a:endParaRPr kumimoji="1" lang="en-US" altLang="ja-JP" sz="1600" b="1" u="sng">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8"/>
  <sheetViews>
    <sheetView view="pageBreakPreview" topLeftCell="A12" zoomScale="115" zoomScaleNormal="100" zoomScaleSheetLayoutView="115" workbookViewId="0">
      <selection activeCell="B9" sqref="B9:K27"/>
    </sheetView>
  </sheetViews>
  <sheetFormatPr defaultColWidth="9" defaultRowHeight="17.25"/>
  <cols>
    <col min="1" max="1" width="2.875" style="17" customWidth="1"/>
    <col min="2" max="2" width="5.375" style="17" customWidth="1"/>
    <col min="3" max="16384" width="9" style="17"/>
  </cols>
  <sheetData>
    <row r="1" spans="1:11">
      <c r="A1" s="632" t="s">
        <v>113</v>
      </c>
      <c r="B1" s="632"/>
      <c r="C1" s="632"/>
      <c r="D1" s="632"/>
      <c r="E1" s="632"/>
      <c r="F1" s="632"/>
      <c r="G1" s="632"/>
      <c r="H1" s="632"/>
      <c r="I1" s="632"/>
      <c r="J1" s="632"/>
      <c r="K1" s="632"/>
    </row>
    <row r="2" spans="1:11">
      <c r="A2" s="632"/>
      <c r="B2" s="632"/>
      <c r="C2" s="632"/>
      <c r="D2" s="632"/>
      <c r="E2" s="632"/>
      <c r="F2" s="632"/>
      <c r="G2" s="632"/>
      <c r="H2" s="632"/>
      <c r="I2" s="632"/>
      <c r="J2" s="632"/>
      <c r="K2" s="632"/>
    </row>
    <row r="4" spans="1:11">
      <c r="A4" s="633" t="s">
        <v>114</v>
      </c>
      <c r="B4" s="633"/>
      <c r="C4" s="633"/>
      <c r="D4" s="633"/>
      <c r="E4" s="633"/>
      <c r="F4" s="633"/>
      <c r="G4" s="633"/>
      <c r="H4" s="633"/>
      <c r="I4" s="633"/>
      <c r="J4" s="633"/>
      <c r="K4" s="633"/>
    </row>
    <row r="5" spans="1:11">
      <c r="A5" s="633"/>
      <c r="B5" s="633"/>
      <c r="C5" s="633"/>
      <c r="D5" s="633"/>
      <c r="E5" s="633"/>
      <c r="F5" s="633"/>
      <c r="G5" s="633"/>
      <c r="H5" s="633"/>
      <c r="I5" s="633"/>
      <c r="J5" s="633"/>
      <c r="K5" s="633"/>
    </row>
    <row r="7" spans="1:11">
      <c r="G7" s="18" t="s">
        <v>1</v>
      </c>
      <c r="H7" s="634" t="str">
        <f>+'様式６（事業計画変更申請書）'!J10</f>
        <v>●●法人　●●●●</v>
      </c>
      <c r="I7" s="634"/>
      <c r="J7" s="634"/>
      <c r="K7" s="634"/>
    </row>
    <row r="8" spans="1:11" ht="24" customHeight="1">
      <c r="B8" s="17" t="s">
        <v>115</v>
      </c>
    </row>
    <row r="9" spans="1:11" ht="10.5" customHeight="1">
      <c r="B9" s="623" t="s">
        <v>757</v>
      </c>
      <c r="C9" s="624"/>
      <c r="D9" s="624"/>
      <c r="E9" s="624"/>
      <c r="F9" s="624"/>
      <c r="G9" s="624"/>
      <c r="H9" s="624"/>
      <c r="I9" s="624"/>
      <c r="J9" s="624"/>
      <c r="K9" s="625"/>
    </row>
    <row r="10" spans="1:11" ht="24" customHeight="1">
      <c r="B10" s="626"/>
      <c r="C10" s="627"/>
      <c r="D10" s="627"/>
      <c r="E10" s="627"/>
      <c r="F10" s="627"/>
      <c r="G10" s="627"/>
      <c r="H10" s="627"/>
      <c r="I10" s="627"/>
      <c r="J10" s="627"/>
      <c r="K10" s="628"/>
    </row>
    <row r="11" spans="1:11" ht="24" customHeight="1">
      <c r="B11" s="626"/>
      <c r="C11" s="627"/>
      <c r="D11" s="627"/>
      <c r="E11" s="627"/>
      <c r="F11" s="627"/>
      <c r="G11" s="627"/>
      <c r="H11" s="627"/>
      <c r="I11" s="627"/>
      <c r="J11" s="627"/>
      <c r="K11" s="628"/>
    </row>
    <row r="12" spans="1:11" ht="24" customHeight="1">
      <c r="B12" s="626"/>
      <c r="C12" s="627"/>
      <c r="D12" s="627"/>
      <c r="E12" s="627"/>
      <c r="F12" s="627"/>
      <c r="G12" s="627"/>
      <c r="H12" s="627"/>
      <c r="I12" s="627"/>
      <c r="J12" s="627"/>
      <c r="K12" s="628"/>
    </row>
    <row r="13" spans="1:11" ht="24" customHeight="1">
      <c r="B13" s="626"/>
      <c r="C13" s="627"/>
      <c r="D13" s="627"/>
      <c r="E13" s="627"/>
      <c r="F13" s="627"/>
      <c r="G13" s="627"/>
      <c r="H13" s="627"/>
      <c r="I13" s="627"/>
      <c r="J13" s="627"/>
      <c r="K13" s="628"/>
    </row>
    <row r="14" spans="1:11" ht="24" customHeight="1">
      <c r="B14" s="626"/>
      <c r="C14" s="627"/>
      <c r="D14" s="627"/>
      <c r="E14" s="627"/>
      <c r="F14" s="627"/>
      <c r="G14" s="627"/>
      <c r="H14" s="627"/>
      <c r="I14" s="627"/>
      <c r="J14" s="627"/>
      <c r="K14" s="628"/>
    </row>
    <row r="15" spans="1:11" ht="24" customHeight="1">
      <c r="B15" s="626"/>
      <c r="C15" s="627"/>
      <c r="D15" s="627"/>
      <c r="E15" s="627"/>
      <c r="F15" s="627"/>
      <c r="G15" s="627"/>
      <c r="H15" s="627"/>
      <c r="I15" s="627"/>
      <c r="J15" s="627"/>
      <c r="K15" s="628"/>
    </row>
    <row r="16" spans="1:11" ht="24" customHeight="1">
      <c r="B16" s="626"/>
      <c r="C16" s="627"/>
      <c r="D16" s="627"/>
      <c r="E16" s="627"/>
      <c r="F16" s="627"/>
      <c r="G16" s="627"/>
      <c r="H16" s="627"/>
      <c r="I16" s="627"/>
      <c r="J16" s="627"/>
      <c r="K16" s="628"/>
    </row>
    <row r="17" spans="2:11" ht="24" customHeight="1">
      <c r="B17" s="626"/>
      <c r="C17" s="627"/>
      <c r="D17" s="627"/>
      <c r="E17" s="627"/>
      <c r="F17" s="627"/>
      <c r="G17" s="627"/>
      <c r="H17" s="627"/>
      <c r="I17" s="627"/>
      <c r="J17" s="627"/>
      <c r="K17" s="628"/>
    </row>
    <row r="18" spans="2:11" ht="24" customHeight="1">
      <c r="B18" s="626"/>
      <c r="C18" s="627"/>
      <c r="D18" s="627"/>
      <c r="E18" s="627"/>
      <c r="F18" s="627"/>
      <c r="G18" s="627"/>
      <c r="H18" s="627"/>
      <c r="I18" s="627"/>
      <c r="J18" s="627"/>
      <c r="K18" s="628"/>
    </row>
    <row r="19" spans="2:11" ht="24" customHeight="1">
      <c r="B19" s="626"/>
      <c r="C19" s="627"/>
      <c r="D19" s="627"/>
      <c r="E19" s="627"/>
      <c r="F19" s="627"/>
      <c r="G19" s="627"/>
      <c r="H19" s="627"/>
      <c r="I19" s="627"/>
      <c r="J19" s="627"/>
      <c r="K19" s="628"/>
    </row>
    <row r="20" spans="2:11" ht="24" customHeight="1">
      <c r="B20" s="626"/>
      <c r="C20" s="627"/>
      <c r="D20" s="627"/>
      <c r="E20" s="627"/>
      <c r="F20" s="627"/>
      <c r="G20" s="627"/>
      <c r="H20" s="627"/>
      <c r="I20" s="627"/>
      <c r="J20" s="627"/>
      <c r="K20" s="628"/>
    </row>
    <row r="21" spans="2:11" ht="24" customHeight="1">
      <c r="B21" s="626"/>
      <c r="C21" s="627"/>
      <c r="D21" s="627"/>
      <c r="E21" s="627"/>
      <c r="F21" s="627"/>
      <c r="G21" s="627"/>
      <c r="H21" s="627"/>
      <c r="I21" s="627"/>
      <c r="J21" s="627"/>
      <c r="K21" s="628"/>
    </row>
    <row r="22" spans="2:11" ht="11.1" customHeight="1">
      <c r="B22" s="626"/>
      <c r="C22" s="627"/>
      <c r="D22" s="627"/>
      <c r="E22" s="627"/>
      <c r="F22" s="627"/>
      <c r="G22" s="627"/>
      <c r="H22" s="627"/>
      <c r="I22" s="627"/>
      <c r="J22" s="627"/>
      <c r="K22" s="628"/>
    </row>
    <row r="23" spans="2:11" ht="14.45" customHeight="1">
      <c r="B23" s="626"/>
      <c r="C23" s="627"/>
      <c r="D23" s="627"/>
      <c r="E23" s="627"/>
      <c r="F23" s="627"/>
      <c r="G23" s="627"/>
      <c r="H23" s="627"/>
      <c r="I23" s="627"/>
      <c r="J23" s="627"/>
      <c r="K23" s="628"/>
    </row>
    <row r="24" spans="2:11" ht="24" customHeight="1">
      <c r="B24" s="626"/>
      <c r="C24" s="627"/>
      <c r="D24" s="627"/>
      <c r="E24" s="627"/>
      <c r="F24" s="627"/>
      <c r="G24" s="627"/>
      <c r="H24" s="627"/>
      <c r="I24" s="627"/>
      <c r="J24" s="627"/>
      <c r="K24" s="628"/>
    </row>
    <row r="25" spans="2:11" ht="24" customHeight="1">
      <c r="B25" s="626"/>
      <c r="C25" s="627"/>
      <c r="D25" s="627"/>
      <c r="E25" s="627"/>
      <c r="F25" s="627"/>
      <c r="G25" s="627"/>
      <c r="H25" s="627"/>
      <c r="I25" s="627"/>
      <c r="J25" s="627"/>
      <c r="K25" s="628"/>
    </row>
    <row r="26" spans="2:11" ht="24" customHeight="1">
      <c r="B26" s="626"/>
      <c r="C26" s="627"/>
      <c r="D26" s="627"/>
      <c r="E26" s="627"/>
      <c r="F26" s="627"/>
      <c r="G26" s="627"/>
      <c r="H26" s="627"/>
      <c r="I26" s="627"/>
      <c r="J26" s="627"/>
      <c r="K26" s="628"/>
    </row>
    <row r="27" spans="2:11" ht="12" customHeight="1">
      <c r="B27" s="629"/>
      <c r="C27" s="630"/>
      <c r="D27" s="630"/>
      <c r="E27" s="630"/>
      <c r="F27" s="630"/>
      <c r="G27" s="630"/>
      <c r="H27" s="630"/>
      <c r="I27" s="630"/>
      <c r="J27" s="630"/>
      <c r="K27" s="631"/>
    </row>
    <row r="28" spans="2:11" ht="24" customHeight="1">
      <c r="B28" s="84" t="s">
        <v>729</v>
      </c>
      <c r="C28" s="84"/>
      <c r="D28" s="84"/>
      <c r="E28" s="84"/>
      <c r="F28" s="84"/>
      <c r="G28" s="84"/>
      <c r="H28" s="84"/>
      <c r="I28" s="84"/>
      <c r="J28" s="84"/>
      <c r="K28" s="84"/>
    </row>
    <row r="29" spans="2:11" ht="24" customHeight="1"/>
    <row r="30" spans="2:11" ht="24" customHeight="1">
      <c r="B30" s="636" t="s">
        <v>116</v>
      </c>
      <c r="C30" s="636"/>
      <c r="D30" s="636"/>
      <c r="E30" s="637" t="s">
        <v>188</v>
      </c>
      <c r="F30" s="637"/>
      <c r="G30" s="637"/>
      <c r="H30" s="637"/>
      <c r="I30" s="637"/>
    </row>
    <row r="31" spans="2:11" ht="24" customHeight="1">
      <c r="B31" s="636"/>
      <c r="C31" s="636"/>
      <c r="D31" s="636"/>
      <c r="E31" s="637"/>
      <c r="F31" s="637"/>
      <c r="G31" s="637"/>
      <c r="H31" s="637"/>
      <c r="I31" s="637"/>
    </row>
    <row r="32" spans="2:11" ht="24" customHeight="1">
      <c r="B32" s="638" t="s">
        <v>636</v>
      </c>
      <c r="C32" s="638"/>
      <c r="D32" s="638"/>
      <c r="E32" s="638"/>
      <c r="F32" s="638"/>
      <c r="G32" s="638"/>
      <c r="H32" s="638"/>
      <c r="I32" s="638"/>
    </row>
    <row r="33" spans="2:10" ht="24" customHeight="1">
      <c r="B33" s="85" t="s">
        <v>301</v>
      </c>
      <c r="C33" s="85"/>
      <c r="D33" s="85"/>
      <c r="E33" s="85"/>
      <c r="F33" s="85"/>
      <c r="G33" s="85"/>
      <c r="H33" s="85"/>
      <c r="I33" s="85"/>
    </row>
    <row r="34" spans="2:10" ht="17.25" customHeight="1">
      <c r="B34" s="636" t="s">
        <v>119</v>
      </c>
      <c r="C34" s="636"/>
      <c r="D34" s="636"/>
      <c r="E34" s="639" t="s">
        <v>302</v>
      </c>
      <c r="F34" s="640"/>
      <c r="G34" s="641"/>
      <c r="H34" s="642" t="s">
        <v>303</v>
      </c>
      <c r="I34" s="642"/>
      <c r="J34" s="642"/>
    </row>
    <row r="35" spans="2:10" ht="36.75" customHeight="1">
      <c r="B35" s="636"/>
      <c r="C35" s="636"/>
      <c r="D35" s="636"/>
      <c r="E35" s="643" t="str">
        <f>'様式５（請求書）'!D21</f>
        <v>AA AA</v>
      </c>
      <c r="F35" s="644"/>
      <c r="G35" s="645"/>
      <c r="H35" s="610" t="str">
        <f>'様式５（請求書）'!D24</f>
        <v>BB　BB</v>
      </c>
      <c r="I35" s="610"/>
      <c r="J35" s="610"/>
    </row>
    <row r="36" spans="2:10" ht="24" customHeight="1">
      <c r="B36" s="635" t="s">
        <v>304</v>
      </c>
      <c r="C36" s="636"/>
      <c r="D36" s="636"/>
      <c r="E36" s="611" t="str">
        <f>'様式５（請求書）'!L21</f>
        <v>●●●-●●●●</v>
      </c>
      <c r="F36" s="612"/>
      <c r="G36" s="613"/>
      <c r="H36" s="610" t="str">
        <f>'様式５（請求書）'!L24</f>
        <v>同上</v>
      </c>
      <c r="I36" s="610"/>
      <c r="J36" s="610"/>
    </row>
    <row r="37" spans="2:10" ht="24" customHeight="1">
      <c r="B37" s="636"/>
      <c r="C37" s="636"/>
      <c r="D37" s="636"/>
      <c r="E37" s="614"/>
      <c r="F37" s="615"/>
      <c r="G37" s="616"/>
      <c r="H37" s="610"/>
      <c r="I37" s="610"/>
      <c r="J37" s="610"/>
    </row>
    <row r="38" spans="2:10" ht="24" customHeight="1">
      <c r="B38" s="635" t="s">
        <v>121</v>
      </c>
      <c r="C38" s="636"/>
      <c r="D38" s="636"/>
      <c r="E38" s="617"/>
      <c r="F38" s="618"/>
      <c r="G38" s="618"/>
      <c r="H38" s="618"/>
      <c r="I38" s="618"/>
      <c r="J38" s="619"/>
    </row>
    <row r="39" spans="2:10" ht="24" customHeight="1">
      <c r="B39" s="636"/>
      <c r="C39" s="636"/>
      <c r="D39" s="636"/>
      <c r="E39" s="620"/>
      <c r="F39" s="621"/>
      <c r="G39" s="621"/>
      <c r="H39" s="621"/>
      <c r="I39" s="621"/>
      <c r="J39" s="622"/>
    </row>
    <row r="40" spans="2:10" ht="24" customHeight="1"/>
    <row r="41" spans="2:10" ht="24" customHeight="1"/>
    <row r="42" spans="2:10" ht="24" customHeight="1"/>
    <row r="43" spans="2:10" ht="24" customHeight="1"/>
    <row r="44" spans="2:10" ht="24" customHeight="1"/>
    <row r="45" spans="2:10" ht="24" customHeight="1"/>
    <row r="46" spans="2:10" ht="24" customHeight="1"/>
    <row r="47" spans="2:10" ht="24" customHeight="1"/>
    <row r="48" spans="2:10" ht="24" customHeight="1"/>
  </sheetData>
  <sheetProtection selectLockedCells="1"/>
  <mergeCells count="17">
    <mergeCell ref="A1:K2"/>
    <mergeCell ref="A4:K5"/>
    <mergeCell ref="H7:K7"/>
    <mergeCell ref="B38:D39"/>
    <mergeCell ref="B30:D31"/>
    <mergeCell ref="E30:I31"/>
    <mergeCell ref="B34:D35"/>
    <mergeCell ref="B36:D37"/>
    <mergeCell ref="B32:I32"/>
    <mergeCell ref="E34:G34"/>
    <mergeCell ref="H34:J34"/>
    <mergeCell ref="E35:G35"/>
    <mergeCell ref="H35:J35"/>
    <mergeCell ref="E36:G37"/>
    <mergeCell ref="H36:J37"/>
    <mergeCell ref="E38:J39"/>
    <mergeCell ref="B9:K27"/>
  </mergeCells>
  <phoneticPr fontId="1"/>
  <pageMargins left="0.51181102362204722" right="0.51181102362204722" top="0.74803149606299213" bottom="0.74803149606299213" header="0.31496062992125984" footer="0.31496062992125984"/>
  <pageSetup paperSize="9" scale="95"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C98FF-E5D8-4452-B880-763CE32403FB}">
  <sheetPr>
    <pageSetUpPr fitToPage="1"/>
  </sheetPr>
  <dimension ref="A1:M32"/>
  <sheetViews>
    <sheetView view="pageBreakPreview" zoomScale="115" zoomScaleNormal="100" zoomScaleSheetLayoutView="115" workbookViewId="0">
      <selection activeCell="J8" sqref="J8"/>
    </sheetView>
  </sheetViews>
  <sheetFormatPr defaultRowHeight="57" customHeight="1"/>
  <cols>
    <col min="1" max="1" width="4.125" style="556" customWidth="1"/>
    <col min="2" max="2" width="32.75" style="556" customWidth="1"/>
    <col min="3" max="9" width="12.875" style="556" customWidth="1"/>
    <col min="10" max="10" width="15.125" style="556" customWidth="1"/>
    <col min="11" max="11" width="11.875" style="556" customWidth="1"/>
    <col min="12" max="16384" width="9" style="556"/>
  </cols>
  <sheetData>
    <row r="1" spans="1:13" ht="19.5" customHeight="1">
      <c r="A1" s="1063" t="s">
        <v>740</v>
      </c>
      <c r="B1" s="1063"/>
      <c r="C1" s="555"/>
      <c r="D1" s="555"/>
      <c r="E1" s="555"/>
      <c r="F1" s="555"/>
      <c r="G1" s="555"/>
      <c r="H1" s="555"/>
      <c r="I1" s="555"/>
    </row>
    <row r="2" spans="1:13" ht="19.5" customHeight="1">
      <c r="A2" s="557"/>
      <c r="B2" s="558"/>
      <c r="C2" s="558"/>
      <c r="D2" s="558"/>
      <c r="F2" s="558" t="s">
        <v>741</v>
      </c>
      <c r="G2" s="1064" t="str">
        <f>'様式６（事業計画変更申請書）'!J10</f>
        <v>●●法人　●●●●</v>
      </c>
      <c r="H2" s="1064"/>
      <c r="I2" s="1064"/>
      <c r="J2" s="1064"/>
    </row>
    <row r="3" spans="1:13" ht="19.5" customHeight="1" thickBot="1">
      <c r="A3" s="557"/>
      <c r="B3" s="558"/>
      <c r="C3" s="558"/>
      <c r="D3" s="558"/>
      <c r="F3" s="558"/>
      <c r="G3" s="559"/>
      <c r="H3" s="559"/>
      <c r="I3" s="559"/>
      <c r="J3" s="559"/>
    </row>
    <row r="4" spans="1:13" ht="19.5" customHeight="1" thickBot="1">
      <c r="A4" s="560" t="s">
        <v>742</v>
      </c>
      <c r="B4" s="1065" t="s">
        <v>743</v>
      </c>
      <c r="C4" s="1066"/>
      <c r="D4" s="1066"/>
      <c r="E4" s="1066"/>
      <c r="F4" s="1066"/>
      <c r="G4" s="1066"/>
      <c r="H4" s="1066"/>
      <c r="I4" s="1067"/>
      <c r="J4" s="561" t="s">
        <v>744</v>
      </c>
      <c r="K4" s="559"/>
    </row>
    <row r="5" spans="1:13" ht="94.5" customHeight="1">
      <c r="A5" s="562">
        <v>1</v>
      </c>
      <c r="B5" s="1068" t="s">
        <v>745</v>
      </c>
      <c r="C5" s="1069"/>
      <c r="D5" s="1069"/>
      <c r="E5" s="1069"/>
      <c r="F5" s="1069"/>
      <c r="G5" s="1069"/>
      <c r="H5" s="1069"/>
      <c r="I5" s="1070"/>
      <c r="J5" s="563" t="s">
        <v>670</v>
      </c>
      <c r="K5" s="564"/>
      <c r="L5" s="556" t="s">
        <v>173</v>
      </c>
    </row>
    <row r="6" spans="1:13" ht="41.25" customHeight="1">
      <c r="A6" s="565">
        <v>2</v>
      </c>
      <c r="B6" s="1060" t="s">
        <v>746</v>
      </c>
      <c r="C6" s="1061"/>
      <c r="D6" s="1061"/>
      <c r="E6" s="1061"/>
      <c r="F6" s="1061"/>
      <c r="G6" s="1061"/>
      <c r="H6" s="1061"/>
      <c r="I6" s="1062"/>
      <c r="J6" s="566" t="s">
        <v>670</v>
      </c>
      <c r="K6" s="564"/>
      <c r="L6" s="556" t="s">
        <v>173</v>
      </c>
      <c r="M6" s="556" t="s">
        <v>747</v>
      </c>
    </row>
    <row r="7" spans="1:13" ht="57" customHeight="1">
      <c r="A7" s="565">
        <v>3</v>
      </c>
      <c r="B7" s="1060" t="s">
        <v>748</v>
      </c>
      <c r="C7" s="1061"/>
      <c r="D7" s="1061"/>
      <c r="E7" s="1061"/>
      <c r="F7" s="1061"/>
      <c r="G7" s="1061"/>
      <c r="H7" s="1061"/>
      <c r="I7" s="1062"/>
      <c r="J7" s="566" t="s">
        <v>670</v>
      </c>
      <c r="K7" s="564"/>
      <c r="L7" s="556" t="s">
        <v>173</v>
      </c>
    </row>
    <row r="8" spans="1:13" ht="109.5" customHeight="1" thickBot="1">
      <c r="A8" s="567">
        <v>4</v>
      </c>
      <c r="B8" s="1052" t="s">
        <v>749</v>
      </c>
      <c r="C8" s="1053"/>
      <c r="D8" s="1053"/>
      <c r="E8" s="1053"/>
      <c r="F8" s="1053"/>
      <c r="G8" s="1053"/>
      <c r="H8" s="1053"/>
      <c r="I8" s="1054"/>
      <c r="J8" s="568" t="s">
        <v>670</v>
      </c>
      <c r="K8" s="564"/>
      <c r="L8" s="556" t="s">
        <v>173</v>
      </c>
    </row>
    <row r="9" spans="1:13" ht="19.5" customHeight="1">
      <c r="A9" s="559"/>
      <c r="B9" s="569"/>
      <c r="C9" s="569"/>
      <c r="D9" s="569"/>
      <c r="E9" s="569"/>
      <c r="F9" s="569"/>
      <c r="G9" s="569"/>
      <c r="H9" s="569"/>
      <c r="I9" s="569"/>
      <c r="J9" s="570"/>
      <c r="K9" s="564"/>
    </row>
    <row r="10" spans="1:13" ht="33.75" customHeight="1" thickBot="1">
      <c r="A10" s="1055" t="s">
        <v>760</v>
      </c>
      <c r="B10" s="1055"/>
      <c r="C10" s="1055"/>
      <c r="D10" s="1055"/>
      <c r="E10" s="1055"/>
      <c r="F10" s="1055"/>
      <c r="G10" s="1055"/>
      <c r="H10" s="1055"/>
      <c r="I10" s="1055"/>
      <c r="J10" s="1055"/>
    </row>
    <row r="11" spans="1:13" ht="19.5" customHeight="1">
      <c r="A11" s="1056" t="s">
        <v>742</v>
      </c>
      <c r="B11" s="1057" t="s">
        <v>130</v>
      </c>
      <c r="C11" s="1057" t="s">
        <v>80</v>
      </c>
      <c r="D11" s="1057" t="s">
        <v>360</v>
      </c>
      <c r="E11" s="1057" t="s">
        <v>750</v>
      </c>
      <c r="F11" s="1057"/>
      <c r="G11" s="1057"/>
      <c r="H11" s="1059"/>
    </row>
    <row r="12" spans="1:13" ht="19.5" customHeight="1" thickBot="1">
      <c r="A12" s="1047"/>
      <c r="B12" s="1058"/>
      <c r="C12" s="1058"/>
      <c r="D12" s="1058"/>
      <c r="E12" s="571" t="s">
        <v>751</v>
      </c>
      <c r="F12" s="572" t="s">
        <v>752</v>
      </c>
      <c r="G12" s="572" t="s">
        <v>753</v>
      </c>
      <c r="H12" s="573" t="s">
        <v>754</v>
      </c>
    </row>
    <row r="13" spans="1:13" ht="19.5" customHeight="1">
      <c r="A13" s="1046">
        <v>1</v>
      </c>
      <c r="B13" s="1048" t="s">
        <v>762</v>
      </c>
      <c r="C13" s="574" t="s">
        <v>755</v>
      </c>
      <c r="D13" s="583">
        <f>SUM(E13:H13)</f>
        <v>1231</v>
      </c>
      <c r="E13" s="575">
        <v>1071</v>
      </c>
      <c r="F13" s="575">
        <v>100</v>
      </c>
      <c r="G13" s="575">
        <v>60</v>
      </c>
      <c r="H13" s="576"/>
    </row>
    <row r="14" spans="1:13" ht="19.5" customHeight="1">
      <c r="A14" s="1050"/>
      <c r="B14" s="1051"/>
      <c r="C14" s="577" t="s">
        <v>756</v>
      </c>
      <c r="D14" s="584">
        <f t="shared" ref="D14:D32" si="0">SUM(E14:H14)</f>
        <v>1272</v>
      </c>
      <c r="E14" s="578">
        <v>1112</v>
      </c>
      <c r="F14" s="578">
        <v>100</v>
      </c>
      <c r="G14" s="578">
        <v>60</v>
      </c>
      <c r="H14" s="579"/>
    </row>
    <row r="15" spans="1:13" ht="19.5" customHeight="1">
      <c r="A15" s="1046">
        <v>2</v>
      </c>
      <c r="B15" s="1048" t="s">
        <v>761</v>
      </c>
      <c r="C15" s="574" t="s">
        <v>755</v>
      </c>
      <c r="D15" s="583">
        <f t="shared" si="0"/>
        <v>1121</v>
      </c>
      <c r="E15" s="575">
        <v>1071</v>
      </c>
      <c r="F15" s="575">
        <v>50</v>
      </c>
      <c r="G15" s="575"/>
      <c r="H15" s="576"/>
    </row>
    <row r="16" spans="1:13" ht="19.5" customHeight="1">
      <c r="A16" s="1050"/>
      <c r="B16" s="1051"/>
      <c r="C16" s="577" t="s">
        <v>756</v>
      </c>
      <c r="D16" s="584">
        <f t="shared" si="0"/>
        <v>1162</v>
      </c>
      <c r="E16" s="578">
        <v>1112</v>
      </c>
      <c r="F16" s="578">
        <v>50</v>
      </c>
      <c r="G16" s="578"/>
      <c r="H16" s="579"/>
    </row>
    <row r="17" spans="1:8" ht="19.5" customHeight="1">
      <c r="A17" s="1046">
        <v>3</v>
      </c>
      <c r="B17" s="1048"/>
      <c r="C17" s="574" t="s">
        <v>755</v>
      </c>
      <c r="D17" s="583">
        <f t="shared" si="0"/>
        <v>0</v>
      </c>
      <c r="E17" s="575"/>
      <c r="F17" s="575"/>
      <c r="G17" s="575"/>
      <c r="H17" s="576"/>
    </row>
    <row r="18" spans="1:8" ht="19.5" customHeight="1">
      <c r="A18" s="1050"/>
      <c r="B18" s="1051"/>
      <c r="C18" s="577" t="s">
        <v>756</v>
      </c>
      <c r="D18" s="584">
        <f t="shared" si="0"/>
        <v>0</v>
      </c>
      <c r="E18" s="578"/>
      <c r="F18" s="578"/>
      <c r="G18" s="578"/>
      <c r="H18" s="579"/>
    </row>
    <row r="19" spans="1:8" ht="19.5" customHeight="1">
      <c r="A19" s="1046">
        <v>4</v>
      </c>
      <c r="B19" s="1048"/>
      <c r="C19" s="574" t="s">
        <v>755</v>
      </c>
      <c r="D19" s="583">
        <f t="shared" si="0"/>
        <v>0</v>
      </c>
      <c r="E19" s="575"/>
      <c r="F19" s="575"/>
      <c r="G19" s="575"/>
      <c r="H19" s="576"/>
    </row>
    <row r="20" spans="1:8" ht="19.5" customHeight="1">
      <c r="A20" s="1050"/>
      <c r="B20" s="1051"/>
      <c r="C20" s="577" t="s">
        <v>756</v>
      </c>
      <c r="D20" s="584">
        <f t="shared" si="0"/>
        <v>0</v>
      </c>
      <c r="E20" s="578"/>
      <c r="F20" s="578"/>
      <c r="G20" s="578"/>
      <c r="H20" s="579"/>
    </row>
    <row r="21" spans="1:8" ht="19.5" customHeight="1">
      <c r="A21" s="1046">
        <v>5</v>
      </c>
      <c r="B21" s="1048"/>
      <c r="C21" s="574" t="s">
        <v>755</v>
      </c>
      <c r="D21" s="583">
        <f t="shared" si="0"/>
        <v>0</v>
      </c>
      <c r="E21" s="575"/>
      <c r="F21" s="575"/>
      <c r="G21" s="575"/>
      <c r="H21" s="576"/>
    </row>
    <row r="22" spans="1:8" ht="19.5" customHeight="1">
      <c r="A22" s="1050"/>
      <c r="B22" s="1051"/>
      <c r="C22" s="577" t="s">
        <v>756</v>
      </c>
      <c r="D22" s="584">
        <f t="shared" si="0"/>
        <v>0</v>
      </c>
      <c r="E22" s="578"/>
      <c r="F22" s="578"/>
      <c r="G22" s="578"/>
      <c r="H22" s="579"/>
    </row>
    <row r="23" spans="1:8" ht="19.5" customHeight="1">
      <c r="A23" s="1046">
        <v>6</v>
      </c>
      <c r="B23" s="1048"/>
      <c r="C23" s="574" t="s">
        <v>755</v>
      </c>
      <c r="D23" s="583">
        <f t="shared" si="0"/>
        <v>0</v>
      </c>
      <c r="E23" s="575"/>
      <c r="F23" s="575"/>
      <c r="G23" s="575"/>
      <c r="H23" s="576"/>
    </row>
    <row r="24" spans="1:8" ht="19.5" customHeight="1">
      <c r="A24" s="1050"/>
      <c r="B24" s="1051"/>
      <c r="C24" s="577" t="s">
        <v>756</v>
      </c>
      <c r="D24" s="584">
        <f t="shared" si="0"/>
        <v>0</v>
      </c>
      <c r="E24" s="578"/>
      <c r="F24" s="578"/>
      <c r="G24" s="578"/>
      <c r="H24" s="579"/>
    </row>
    <row r="25" spans="1:8" ht="19.5" customHeight="1">
      <c r="A25" s="1046">
        <v>7</v>
      </c>
      <c r="B25" s="1048"/>
      <c r="C25" s="574" t="s">
        <v>755</v>
      </c>
      <c r="D25" s="583">
        <f t="shared" si="0"/>
        <v>0</v>
      </c>
      <c r="E25" s="575"/>
      <c r="F25" s="575"/>
      <c r="G25" s="575"/>
      <c r="H25" s="576"/>
    </row>
    <row r="26" spans="1:8" ht="19.5" customHeight="1">
      <c r="A26" s="1050"/>
      <c r="B26" s="1051"/>
      <c r="C26" s="577" t="s">
        <v>756</v>
      </c>
      <c r="D26" s="584">
        <f t="shared" si="0"/>
        <v>0</v>
      </c>
      <c r="E26" s="578"/>
      <c r="F26" s="578"/>
      <c r="G26" s="578"/>
      <c r="H26" s="579"/>
    </row>
    <row r="27" spans="1:8" ht="19.5" customHeight="1">
      <c r="A27" s="1046">
        <v>8</v>
      </c>
      <c r="B27" s="1048"/>
      <c r="C27" s="574" t="s">
        <v>755</v>
      </c>
      <c r="D27" s="583">
        <f t="shared" si="0"/>
        <v>0</v>
      </c>
      <c r="E27" s="575"/>
      <c r="F27" s="575"/>
      <c r="G27" s="575"/>
      <c r="H27" s="576"/>
    </row>
    <row r="28" spans="1:8" ht="19.5" customHeight="1">
      <c r="A28" s="1050"/>
      <c r="B28" s="1051"/>
      <c r="C28" s="577" t="s">
        <v>756</v>
      </c>
      <c r="D28" s="584">
        <f t="shared" si="0"/>
        <v>0</v>
      </c>
      <c r="E28" s="578"/>
      <c r="F28" s="578"/>
      <c r="G28" s="578"/>
      <c r="H28" s="579"/>
    </row>
    <row r="29" spans="1:8" ht="19.5" customHeight="1">
      <c r="A29" s="1046">
        <v>9</v>
      </c>
      <c r="B29" s="1048"/>
      <c r="C29" s="574" t="s">
        <v>755</v>
      </c>
      <c r="D29" s="583">
        <f t="shared" si="0"/>
        <v>0</v>
      </c>
      <c r="E29" s="575"/>
      <c r="F29" s="575"/>
      <c r="G29" s="575"/>
      <c r="H29" s="576"/>
    </row>
    <row r="30" spans="1:8" ht="19.5" customHeight="1">
      <c r="A30" s="1050"/>
      <c r="B30" s="1051"/>
      <c r="C30" s="577" t="s">
        <v>756</v>
      </c>
      <c r="D30" s="584">
        <f t="shared" si="0"/>
        <v>0</v>
      </c>
      <c r="E30" s="578"/>
      <c r="F30" s="578"/>
      <c r="G30" s="578"/>
      <c r="H30" s="579"/>
    </row>
    <row r="31" spans="1:8" ht="19.5" customHeight="1">
      <c r="A31" s="1046">
        <v>10</v>
      </c>
      <c r="B31" s="1048"/>
      <c r="C31" s="574" t="s">
        <v>755</v>
      </c>
      <c r="D31" s="583">
        <f t="shared" si="0"/>
        <v>0</v>
      </c>
      <c r="E31" s="575"/>
      <c r="F31" s="575"/>
      <c r="G31" s="575"/>
      <c r="H31" s="576"/>
    </row>
    <row r="32" spans="1:8" ht="19.5" customHeight="1" thickBot="1">
      <c r="A32" s="1047"/>
      <c r="B32" s="1049"/>
      <c r="C32" s="580" t="s">
        <v>756</v>
      </c>
      <c r="D32" s="585">
        <f t="shared" si="0"/>
        <v>0</v>
      </c>
      <c r="E32" s="581"/>
      <c r="F32" s="581"/>
      <c r="G32" s="581"/>
      <c r="H32" s="582"/>
    </row>
  </sheetData>
  <mergeCells count="33">
    <mergeCell ref="B7:I7"/>
    <mergeCell ref="A1:B1"/>
    <mergeCell ref="G2:J2"/>
    <mergeCell ref="B4:I4"/>
    <mergeCell ref="B5:I5"/>
    <mergeCell ref="B6:I6"/>
    <mergeCell ref="B8:I8"/>
    <mergeCell ref="A10:J10"/>
    <mergeCell ref="A11:A12"/>
    <mergeCell ref="B11:B12"/>
    <mergeCell ref="C11:C12"/>
    <mergeCell ref="D11:D12"/>
    <mergeCell ref="E11:H11"/>
    <mergeCell ref="A13:A14"/>
    <mergeCell ref="B13:B14"/>
    <mergeCell ref="A15:A16"/>
    <mergeCell ref="B15:B16"/>
    <mergeCell ref="A17:A18"/>
    <mergeCell ref="B17:B18"/>
    <mergeCell ref="A19:A20"/>
    <mergeCell ref="B19:B20"/>
    <mergeCell ref="A21:A22"/>
    <mergeCell ref="B21:B22"/>
    <mergeCell ref="A23:A24"/>
    <mergeCell ref="B23:B24"/>
    <mergeCell ref="A31:A32"/>
    <mergeCell ref="B31:B32"/>
    <mergeCell ref="A25:A26"/>
    <mergeCell ref="B25:B26"/>
    <mergeCell ref="A27:A28"/>
    <mergeCell ref="B27:B28"/>
    <mergeCell ref="A29:A30"/>
    <mergeCell ref="B29:B30"/>
  </mergeCells>
  <phoneticPr fontId="1"/>
  <dataValidations count="4">
    <dataValidation type="list" allowBlank="1" showInputMessage="1" showErrorMessage="1" sqref="J8:J9" xr:uid="{5CCEA139-B2FF-40E2-B655-D98FEA3F029E}">
      <formula1>$L$8:$N$8</formula1>
    </dataValidation>
    <dataValidation type="list" allowBlank="1" showInputMessage="1" showErrorMessage="1" sqref="J7" xr:uid="{4C027708-47F0-4785-8B0D-CF309209A44E}">
      <formula1>$L$7:$M$7</formula1>
    </dataValidation>
    <dataValidation type="list" allowBlank="1" showInputMessage="1" showErrorMessage="1" sqref="J6" xr:uid="{AA19BFF0-C659-4108-BB3E-C6E42CFF2D73}">
      <formula1>$L$6:$N$6</formula1>
    </dataValidation>
    <dataValidation type="list" allowBlank="1" showInputMessage="1" showErrorMessage="1" sqref="J5" xr:uid="{1EB3F771-A04B-4665-B6D8-46021E78245A}">
      <formula1>$L$5:$M$5</formula1>
    </dataValidation>
  </dataValidations>
  <pageMargins left="0.51181102362204722" right="0.31496062992125984" top="0.35433070866141736" bottom="0.35433070866141736" header="0.31496062992125984" footer="0.31496062992125984"/>
  <pageSetup paperSize="9" scale="70" fitToWidth="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390CC-2691-4262-B5C8-0D7E0DE1CC8F}">
  <dimension ref="B1:AQ868"/>
  <sheetViews>
    <sheetView view="pageBreakPreview" topLeftCell="A4" zoomScaleNormal="100" zoomScaleSheetLayoutView="100" workbookViewId="0">
      <selection activeCell="AA33" sqref="AA33:AH33"/>
    </sheetView>
  </sheetViews>
  <sheetFormatPr defaultColWidth="9" defaultRowHeight="13.5"/>
  <cols>
    <col min="1" max="485" width="2.625" style="301" customWidth="1"/>
    <col min="486" max="16384" width="9" style="301"/>
  </cols>
  <sheetData>
    <row r="1" spans="2:43" ht="18" customHeight="1">
      <c r="B1" s="300" t="s">
        <v>521</v>
      </c>
    </row>
    <row r="2" spans="2:43" ht="18" customHeight="1"/>
    <row r="3" spans="2:43" ht="18" customHeight="1">
      <c r="B3" s="1071" t="s">
        <v>522</v>
      </c>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row>
    <row r="4" spans="2:43" ht="18" customHeight="1"/>
    <row r="5" spans="2:43" ht="18" customHeight="1">
      <c r="T5" s="302" t="s">
        <v>484</v>
      </c>
      <c r="U5" s="303" t="s">
        <v>485</v>
      </c>
      <c r="V5" s="1072" t="s">
        <v>570</v>
      </c>
      <c r="W5" s="1072"/>
      <c r="X5" s="1072"/>
      <c r="Y5" s="1072"/>
      <c r="Z5" s="1072"/>
      <c r="AA5" s="1072"/>
      <c r="AB5" s="1072"/>
      <c r="AC5" s="1072"/>
      <c r="AD5" s="1072"/>
      <c r="AE5" s="1072"/>
      <c r="AF5" s="1072"/>
      <c r="AG5" s="1072"/>
      <c r="AH5" s="1072"/>
    </row>
    <row r="6" spans="2:43">
      <c r="U6" s="303"/>
      <c r="V6" s="304"/>
      <c r="W6" s="304"/>
      <c r="X6" s="304"/>
      <c r="Y6" s="304"/>
      <c r="Z6" s="304"/>
      <c r="AA6" s="304"/>
      <c r="AB6" s="304"/>
      <c r="AC6" s="304"/>
      <c r="AD6" s="304"/>
      <c r="AE6" s="304"/>
      <c r="AF6" s="304"/>
      <c r="AG6" s="304"/>
      <c r="AH6" s="304"/>
    </row>
    <row r="7" spans="2:43" ht="18" customHeight="1">
      <c r="T7" s="302" t="s">
        <v>486</v>
      </c>
      <c r="U7" s="303" t="s">
        <v>485</v>
      </c>
      <c r="V7" s="1073" t="str">
        <f>'様式６（事業計画変更申請書）'!J10</f>
        <v>●●法人　●●●●</v>
      </c>
      <c r="W7" s="1073"/>
      <c r="X7" s="1073"/>
      <c r="Y7" s="1073"/>
      <c r="Z7" s="1073"/>
      <c r="AA7" s="1073"/>
      <c r="AB7" s="1073"/>
      <c r="AC7" s="1073"/>
      <c r="AD7" s="1073"/>
      <c r="AE7" s="1073"/>
      <c r="AF7" s="1073"/>
      <c r="AG7" s="1073"/>
      <c r="AH7" s="1073"/>
    </row>
    <row r="8" spans="2:43" ht="18" customHeight="1"/>
    <row r="9" spans="2:43" ht="18" customHeight="1" thickBot="1">
      <c r="B9" s="300" t="s">
        <v>487</v>
      </c>
    </row>
    <row r="10" spans="2:43" ht="18" customHeight="1">
      <c r="B10" s="1074" t="s">
        <v>488</v>
      </c>
      <c r="C10" s="1075"/>
      <c r="D10" s="1075"/>
      <c r="E10" s="1075"/>
      <c r="F10" s="1075"/>
      <c r="G10" s="1075"/>
      <c r="H10" s="1075"/>
      <c r="I10" s="1075"/>
      <c r="J10" s="1075"/>
      <c r="K10" s="1075"/>
      <c r="L10" s="1075"/>
      <c r="M10" s="1075"/>
      <c r="N10" s="1075"/>
      <c r="O10" s="1075"/>
      <c r="P10" s="1075"/>
      <c r="Q10" s="1076"/>
      <c r="R10" s="1077" t="s">
        <v>489</v>
      </c>
      <c r="S10" s="1078"/>
      <c r="T10" s="476">
        <v>5</v>
      </c>
      <c r="U10" s="477" t="s">
        <v>490</v>
      </c>
      <c r="V10" s="1079">
        <v>4</v>
      </c>
      <c r="W10" s="1079"/>
      <c r="X10" s="477" t="s">
        <v>491</v>
      </c>
      <c r="Y10" s="1078" t="s">
        <v>492</v>
      </c>
      <c r="Z10" s="1078"/>
      <c r="AA10" s="1078" t="s">
        <v>489</v>
      </c>
      <c r="AB10" s="1078"/>
      <c r="AC10" s="476">
        <v>6</v>
      </c>
      <c r="AD10" s="477" t="s">
        <v>490</v>
      </c>
      <c r="AE10" s="1079">
        <v>3</v>
      </c>
      <c r="AF10" s="1079"/>
      <c r="AG10" s="478" t="s">
        <v>491</v>
      </c>
    </row>
    <row r="11" spans="2:43" ht="18" customHeight="1" thickBot="1">
      <c r="B11" s="1097" t="s">
        <v>615</v>
      </c>
      <c r="C11" s="1098"/>
      <c r="D11" s="1098"/>
      <c r="E11" s="1098"/>
      <c r="F11" s="1098"/>
      <c r="G11" s="1098"/>
      <c r="H11" s="1098"/>
      <c r="I11" s="1098"/>
      <c r="J11" s="1098"/>
      <c r="K11" s="1098"/>
      <c r="L11" s="1098"/>
      <c r="M11" s="1098"/>
      <c r="N11" s="1098"/>
      <c r="O11" s="1098"/>
      <c r="P11" s="1098"/>
      <c r="Q11" s="1099"/>
      <c r="R11" s="1100">
        <f>'別紙様式２別添１　賃金改善内訳 '!N41</f>
        <v>534600</v>
      </c>
      <c r="S11" s="1101"/>
      <c r="T11" s="1101"/>
      <c r="U11" s="1101"/>
      <c r="V11" s="1101"/>
      <c r="W11" s="1101"/>
      <c r="X11" s="1101"/>
      <c r="Y11" s="1101"/>
      <c r="Z11" s="1101"/>
      <c r="AA11" s="1101"/>
      <c r="AB11" s="1101"/>
      <c r="AC11" s="1101"/>
      <c r="AD11" s="1101"/>
      <c r="AE11" s="1098" t="s">
        <v>0</v>
      </c>
      <c r="AF11" s="1098"/>
      <c r="AG11" s="1099"/>
    </row>
    <row r="12" spans="2:43" ht="12.95" customHeight="1"/>
    <row r="13" spans="2:43" ht="18" customHeight="1" thickBot="1">
      <c r="B13" s="300" t="s">
        <v>493</v>
      </c>
    </row>
    <row r="14" spans="2:43" ht="18" customHeight="1" thickBot="1">
      <c r="B14" s="1102" t="s">
        <v>758</v>
      </c>
      <c r="C14" s="1103"/>
      <c r="D14" s="1103"/>
      <c r="E14" s="1103"/>
      <c r="F14" s="1103"/>
      <c r="G14" s="1103"/>
      <c r="H14" s="1103"/>
      <c r="I14" s="1103"/>
      <c r="J14" s="1103"/>
      <c r="K14" s="1103"/>
      <c r="L14" s="1103"/>
      <c r="M14" s="1103"/>
      <c r="N14" s="1103"/>
      <c r="O14" s="1103"/>
      <c r="P14" s="1103"/>
      <c r="Q14" s="1103"/>
      <c r="R14" s="1103"/>
      <c r="S14" s="1103"/>
      <c r="T14" s="1103"/>
      <c r="U14" s="1103"/>
      <c r="V14" s="1103"/>
      <c r="W14" s="1103"/>
      <c r="X14" s="1103"/>
      <c r="Y14" s="1103"/>
      <c r="Z14" s="1103"/>
      <c r="AA14" s="1103"/>
      <c r="AB14" s="1103"/>
      <c r="AC14" s="1103"/>
      <c r="AD14" s="1103"/>
      <c r="AE14" s="1103"/>
      <c r="AF14" s="1103"/>
      <c r="AG14" s="1104"/>
      <c r="AM14" s="301" t="s">
        <v>494</v>
      </c>
    </row>
    <row r="15" spans="2:43" ht="18" customHeight="1" thickBot="1">
      <c r="B15" s="305"/>
      <c r="C15" s="1105" t="s">
        <v>523</v>
      </c>
      <c r="D15" s="1090"/>
      <c r="E15" s="1090"/>
      <c r="F15" s="1090"/>
      <c r="G15" s="1090"/>
      <c r="H15" s="1090"/>
      <c r="I15" s="1090"/>
      <c r="J15" s="1090"/>
      <c r="K15" s="1090"/>
      <c r="L15" s="1090"/>
      <c r="M15" s="1090"/>
      <c r="N15" s="1090"/>
      <c r="O15" s="1090"/>
      <c r="P15" s="1090"/>
      <c r="Q15" s="1091"/>
      <c r="R15" s="1106">
        <f>'別紙様式２別添１　賃金改善内訳 '!O41</f>
        <v>495800</v>
      </c>
      <c r="S15" s="1107"/>
      <c r="T15" s="1107"/>
      <c r="U15" s="1107"/>
      <c r="V15" s="1107"/>
      <c r="W15" s="1107"/>
      <c r="X15" s="1107"/>
      <c r="Y15" s="1107"/>
      <c r="Z15" s="1107"/>
      <c r="AA15" s="1107"/>
      <c r="AB15" s="1107"/>
      <c r="AC15" s="1107"/>
      <c r="AD15" s="1107"/>
      <c r="AE15" s="1108" t="s">
        <v>0</v>
      </c>
      <c r="AF15" s="1108"/>
      <c r="AG15" s="1109"/>
      <c r="AM15" s="1094" t="str">
        <f>IF(R17&gt;=2/3,"○","×")</f>
        <v>○</v>
      </c>
      <c r="AN15" s="1095"/>
      <c r="AO15" s="1095"/>
      <c r="AP15" s="1096"/>
      <c r="AQ15" s="301" t="s">
        <v>495</v>
      </c>
    </row>
    <row r="16" spans="2:43" ht="18" customHeight="1">
      <c r="B16" s="305"/>
      <c r="C16" s="306"/>
      <c r="D16" s="1080" t="s">
        <v>524</v>
      </c>
      <c r="E16" s="1090"/>
      <c r="F16" s="1090"/>
      <c r="G16" s="1090"/>
      <c r="H16" s="1090"/>
      <c r="I16" s="1090"/>
      <c r="J16" s="1090"/>
      <c r="K16" s="1090"/>
      <c r="L16" s="1090"/>
      <c r="M16" s="1090"/>
      <c r="N16" s="1090"/>
      <c r="O16" s="1090"/>
      <c r="P16" s="1090"/>
      <c r="Q16" s="1091"/>
      <c r="R16" s="1086">
        <f>'別紙様式２別添１　賃金改善内訳 '!P41</f>
        <v>495800</v>
      </c>
      <c r="S16" s="1087"/>
      <c r="T16" s="1087"/>
      <c r="U16" s="1087"/>
      <c r="V16" s="1087"/>
      <c r="W16" s="1087"/>
      <c r="X16" s="1087"/>
      <c r="Y16" s="1087"/>
      <c r="Z16" s="1087"/>
      <c r="AA16" s="1087"/>
      <c r="AB16" s="1087"/>
      <c r="AC16" s="1087"/>
      <c r="AD16" s="1087"/>
      <c r="AE16" s="1090" t="s">
        <v>0</v>
      </c>
      <c r="AF16" s="1090"/>
      <c r="AG16" s="1091"/>
    </row>
    <row r="17" spans="2:42" ht="14.25" thickBot="1">
      <c r="B17" s="305"/>
      <c r="C17" s="306"/>
      <c r="D17" s="1110"/>
      <c r="E17" s="1108"/>
      <c r="F17" s="1108"/>
      <c r="G17" s="1108"/>
      <c r="H17" s="1108"/>
      <c r="I17" s="1108"/>
      <c r="J17" s="1108"/>
      <c r="K17" s="1108"/>
      <c r="L17" s="1108"/>
      <c r="M17" s="1108"/>
      <c r="N17" s="1108"/>
      <c r="O17" s="1108"/>
      <c r="P17" s="1108"/>
      <c r="Q17" s="1109"/>
      <c r="R17" s="1111">
        <f>IFERROR(R16/R15,"")</f>
        <v>1</v>
      </c>
      <c r="S17" s="1112"/>
      <c r="T17" s="1112"/>
      <c r="U17" s="1112"/>
      <c r="V17" s="1112"/>
      <c r="W17" s="1112"/>
      <c r="X17" s="1112"/>
      <c r="Y17" s="1112"/>
      <c r="Z17" s="1112"/>
      <c r="AA17" s="1112"/>
      <c r="AB17" s="1112"/>
      <c r="AC17" s="1112"/>
      <c r="AD17" s="1112"/>
      <c r="AE17" s="352"/>
      <c r="AF17" s="352"/>
      <c r="AG17" s="353"/>
      <c r="AM17" s="301" t="s">
        <v>525</v>
      </c>
    </row>
    <row r="18" spans="2:42" ht="18" customHeight="1" thickBot="1">
      <c r="B18" s="305"/>
      <c r="C18" s="1080" t="s">
        <v>496</v>
      </c>
      <c r="D18" s="1081"/>
      <c r="E18" s="1081"/>
      <c r="F18" s="1081"/>
      <c r="G18" s="1081"/>
      <c r="H18" s="1081"/>
      <c r="I18" s="1081"/>
      <c r="J18" s="1081"/>
      <c r="K18" s="1081"/>
      <c r="L18" s="1081"/>
      <c r="M18" s="1081"/>
      <c r="N18" s="1081"/>
      <c r="O18" s="1081"/>
      <c r="P18" s="1081"/>
      <c r="Q18" s="1082"/>
      <c r="R18" s="1086">
        <f>'別紙様式２別添１　賃金改善内訳 '!R41</f>
        <v>0</v>
      </c>
      <c r="S18" s="1087"/>
      <c r="T18" s="1087"/>
      <c r="U18" s="1087"/>
      <c r="V18" s="1087"/>
      <c r="W18" s="1087"/>
      <c r="X18" s="1087"/>
      <c r="Y18" s="1087"/>
      <c r="Z18" s="1087"/>
      <c r="AA18" s="1087"/>
      <c r="AB18" s="1087"/>
      <c r="AC18" s="1087"/>
      <c r="AD18" s="1087"/>
      <c r="AE18" s="1090" t="s">
        <v>0</v>
      </c>
      <c r="AF18" s="1090"/>
      <c r="AG18" s="1091"/>
      <c r="AM18" s="1094" t="str">
        <f>IF(R15+R18&gt;=R11,"○","×")</f>
        <v>×</v>
      </c>
      <c r="AN18" s="1095"/>
      <c r="AO18" s="1095"/>
      <c r="AP18" s="1096"/>
    </row>
    <row r="19" spans="2:42" ht="14.25" thickBot="1">
      <c r="B19" s="307"/>
      <c r="C19" s="1083"/>
      <c r="D19" s="1084"/>
      <c r="E19" s="1084"/>
      <c r="F19" s="1084"/>
      <c r="G19" s="1084"/>
      <c r="H19" s="1084"/>
      <c r="I19" s="1084"/>
      <c r="J19" s="1084"/>
      <c r="K19" s="1084"/>
      <c r="L19" s="1084"/>
      <c r="M19" s="1084"/>
      <c r="N19" s="1084"/>
      <c r="O19" s="1084"/>
      <c r="P19" s="1084"/>
      <c r="Q19" s="1085"/>
      <c r="R19" s="1088"/>
      <c r="S19" s="1089"/>
      <c r="T19" s="1089"/>
      <c r="U19" s="1089"/>
      <c r="V19" s="1089"/>
      <c r="W19" s="1089"/>
      <c r="X19" s="1089"/>
      <c r="Y19" s="1089"/>
      <c r="Z19" s="1089"/>
      <c r="AA19" s="1089"/>
      <c r="AB19" s="1089"/>
      <c r="AC19" s="1089"/>
      <c r="AD19" s="1089"/>
      <c r="AE19" s="1092"/>
      <c r="AF19" s="1092"/>
      <c r="AG19" s="1093"/>
    </row>
    <row r="20" spans="2:42" ht="18" customHeight="1">
      <c r="B20" s="1117" t="s">
        <v>497</v>
      </c>
      <c r="C20" s="1118"/>
      <c r="D20" s="1118"/>
      <c r="E20" s="1118"/>
      <c r="F20" s="1118"/>
      <c r="G20" s="1118"/>
      <c r="H20" s="1118"/>
      <c r="I20" s="1118"/>
      <c r="J20" s="1118"/>
      <c r="K20" s="1118"/>
      <c r="L20" s="1118"/>
      <c r="M20" s="1118"/>
      <c r="N20" s="1118"/>
      <c r="O20" s="1118"/>
      <c r="P20" s="1118"/>
      <c r="Q20" s="1119"/>
      <c r="R20" s="1121" t="s">
        <v>714</v>
      </c>
      <c r="S20" s="1122"/>
      <c r="T20" s="1122"/>
      <c r="U20" s="1122"/>
      <c r="V20" s="1122"/>
      <c r="W20" s="1122"/>
      <c r="X20" s="1122"/>
      <c r="Y20" s="1122"/>
      <c r="Z20" s="1122"/>
      <c r="AA20" s="1122"/>
      <c r="AB20" s="1122"/>
      <c r="AC20" s="1122"/>
      <c r="AD20" s="1122"/>
      <c r="AE20" s="1122"/>
      <c r="AF20" s="1122"/>
      <c r="AG20" s="1123"/>
    </row>
    <row r="21" spans="2:42" ht="14.25" thickBot="1">
      <c r="B21" s="1120"/>
      <c r="C21" s="1084"/>
      <c r="D21" s="1084"/>
      <c r="E21" s="1084"/>
      <c r="F21" s="1084"/>
      <c r="G21" s="1084"/>
      <c r="H21" s="1084"/>
      <c r="I21" s="1084"/>
      <c r="J21" s="1084"/>
      <c r="K21" s="1084"/>
      <c r="L21" s="1084"/>
      <c r="M21" s="1084"/>
      <c r="N21" s="1084"/>
      <c r="O21" s="1084"/>
      <c r="P21" s="1084"/>
      <c r="Q21" s="1085"/>
      <c r="R21" s="1124"/>
      <c r="S21" s="1125"/>
      <c r="T21" s="1125"/>
      <c r="U21" s="1125"/>
      <c r="V21" s="1125"/>
      <c r="W21" s="1125"/>
      <c r="X21" s="1125"/>
      <c r="Y21" s="1125"/>
      <c r="Z21" s="1125"/>
      <c r="AA21" s="1125"/>
      <c r="AB21" s="1125"/>
      <c r="AC21" s="1125"/>
      <c r="AD21" s="1125"/>
      <c r="AE21" s="1125"/>
      <c r="AF21" s="1125"/>
      <c r="AG21" s="1126"/>
    </row>
    <row r="22" spans="2:42" ht="18" customHeight="1">
      <c r="B22" s="1117" t="s">
        <v>498</v>
      </c>
      <c r="C22" s="1118"/>
      <c r="D22" s="1118"/>
      <c r="E22" s="1118"/>
      <c r="F22" s="1118"/>
      <c r="G22" s="1118"/>
      <c r="H22" s="1118"/>
      <c r="I22" s="1118"/>
      <c r="J22" s="1118"/>
      <c r="K22" s="1118"/>
      <c r="L22" s="1118"/>
      <c r="M22" s="1118"/>
      <c r="N22" s="1118"/>
      <c r="O22" s="1118"/>
      <c r="P22" s="1118"/>
      <c r="Q22" s="1118"/>
      <c r="R22" s="1121" t="s">
        <v>715</v>
      </c>
      <c r="S22" s="1122"/>
      <c r="T22" s="1122"/>
      <c r="U22" s="1122"/>
      <c r="V22" s="1122"/>
      <c r="W22" s="1122"/>
      <c r="X22" s="1122"/>
      <c r="Y22" s="1122"/>
      <c r="Z22" s="1122"/>
      <c r="AA22" s="1122"/>
      <c r="AB22" s="1122"/>
      <c r="AC22" s="1122"/>
      <c r="AD22" s="1122"/>
      <c r="AE22" s="1122"/>
      <c r="AF22" s="1122"/>
      <c r="AG22" s="1123"/>
    </row>
    <row r="23" spans="2:42" ht="14.25" thickBot="1">
      <c r="B23" s="1120"/>
      <c r="C23" s="1084"/>
      <c r="D23" s="1084"/>
      <c r="E23" s="1084"/>
      <c r="F23" s="1084"/>
      <c r="G23" s="1084"/>
      <c r="H23" s="1084"/>
      <c r="I23" s="1084"/>
      <c r="J23" s="1084"/>
      <c r="K23" s="1084"/>
      <c r="L23" s="1084"/>
      <c r="M23" s="1084"/>
      <c r="N23" s="1084"/>
      <c r="O23" s="1084"/>
      <c r="P23" s="1084"/>
      <c r="Q23" s="1084"/>
      <c r="R23" s="1124"/>
      <c r="S23" s="1125"/>
      <c r="T23" s="1125"/>
      <c r="U23" s="1125"/>
      <c r="V23" s="1125"/>
      <c r="W23" s="1125"/>
      <c r="X23" s="1125"/>
      <c r="Y23" s="1125"/>
      <c r="Z23" s="1125"/>
      <c r="AA23" s="1125"/>
      <c r="AB23" s="1125"/>
      <c r="AC23" s="1125"/>
      <c r="AD23" s="1125"/>
      <c r="AE23" s="1125"/>
      <c r="AF23" s="1125"/>
      <c r="AG23" s="1126"/>
    </row>
    <row r="24" spans="2:42" s="312" customFormat="1" ht="18" customHeight="1">
      <c r="B24" s="308" t="s">
        <v>499</v>
      </c>
      <c r="C24" s="309"/>
      <c r="D24" s="309"/>
      <c r="E24" s="309"/>
      <c r="F24" s="309"/>
      <c r="G24" s="309"/>
      <c r="H24" s="309"/>
      <c r="I24" s="309"/>
      <c r="J24" s="309"/>
      <c r="K24" s="309"/>
      <c r="L24" s="309"/>
      <c r="M24" s="309"/>
      <c r="N24" s="309"/>
      <c r="O24" s="309"/>
      <c r="P24" s="309"/>
      <c r="Q24" s="309"/>
      <c r="R24" s="310"/>
      <c r="S24" s="310"/>
      <c r="T24" s="310"/>
      <c r="U24" s="310"/>
      <c r="V24" s="310"/>
      <c r="W24" s="310"/>
      <c r="X24" s="310"/>
      <c r="Y24" s="310"/>
      <c r="Z24" s="310"/>
      <c r="AA24" s="310"/>
      <c r="AB24" s="310"/>
      <c r="AC24" s="310"/>
      <c r="AD24" s="310"/>
      <c r="AE24" s="310"/>
      <c r="AF24" s="310"/>
      <c r="AG24" s="310"/>
    </row>
    <row r="25" spans="2:42" s="312" customFormat="1" ht="18" customHeight="1">
      <c r="B25" s="308" t="s">
        <v>526</v>
      </c>
      <c r="C25" s="309"/>
      <c r="D25" s="309"/>
      <c r="E25" s="309"/>
      <c r="F25" s="309"/>
      <c r="G25" s="309"/>
      <c r="H25" s="309"/>
      <c r="I25" s="309"/>
      <c r="J25" s="309"/>
      <c r="K25" s="309"/>
      <c r="L25" s="309"/>
      <c r="M25" s="309"/>
      <c r="N25" s="309"/>
      <c r="O25" s="309"/>
      <c r="P25" s="309"/>
      <c r="Q25" s="309"/>
      <c r="R25" s="310"/>
      <c r="S25" s="310"/>
      <c r="T25" s="310"/>
      <c r="U25" s="310"/>
      <c r="V25" s="310"/>
      <c r="W25" s="310"/>
      <c r="X25" s="310"/>
      <c r="Y25" s="310"/>
      <c r="Z25" s="310"/>
      <c r="AA25" s="310"/>
      <c r="AB25" s="310"/>
      <c r="AC25" s="310"/>
      <c r="AD25" s="310"/>
      <c r="AE25" s="310"/>
      <c r="AF25" s="310"/>
      <c r="AG25" s="310"/>
    </row>
    <row r="26" spans="2:42" ht="12.95" customHeight="1"/>
    <row r="27" spans="2:42" ht="18" customHeight="1">
      <c r="B27" s="301" t="s">
        <v>500</v>
      </c>
    </row>
    <row r="28" spans="2:42" ht="12.95" customHeight="1"/>
    <row r="29" spans="2:42" ht="18" customHeight="1">
      <c r="R29" s="1113" t="s">
        <v>489</v>
      </c>
      <c r="S29" s="1113"/>
      <c r="T29" s="1113">
        <v>6</v>
      </c>
      <c r="U29" s="1113"/>
      <c r="V29" s="1113" t="s">
        <v>490</v>
      </c>
      <c r="W29" s="1113"/>
      <c r="X29" s="1113">
        <v>3</v>
      </c>
      <c r="Y29" s="1113"/>
      <c r="Z29" s="1113" t="s">
        <v>491</v>
      </c>
      <c r="AA29" s="1113"/>
      <c r="AB29" s="1113">
        <v>31</v>
      </c>
      <c r="AC29" s="1113"/>
      <c r="AD29" s="1113" t="s">
        <v>26</v>
      </c>
      <c r="AE29" s="1113"/>
    </row>
    <row r="30" spans="2:42" ht="9" customHeight="1">
      <c r="R30" s="303"/>
      <c r="S30" s="303"/>
      <c r="T30" s="303"/>
      <c r="U30" s="303"/>
      <c r="V30" s="303"/>
      <c r="W30" s="303"/>
      <c r="X30" s="303"/>
      <c r="Y30" s="303"/>
      <c r="Z30" s="303"/>
      <c r="AA30" s="303"/>
      <c r="AB30" s="303"/>
      <c r="AC30" s="303"/>
      <c r="AD30" s="303"/>
      <c r="AE30" s="303"/>
    </row>
    <row r="31" spans="2:42" ht="18" customHeight="1">
      <c r="S31" s="311"/>
      <c r="T31" s="311"/>
      <c r="U31" s="311"/>
      <c r="V31" s="311"/>
      <c r="W31" s="311"/>
      <c r="X31" s="311"/>
      <c r="Y31" s="302" t="s">
        <v>501</v>
      </c>
      <c r="Z31" s="311" t="s">
        <v>485</v>
      </c>
      <c r="AA31" s="1114" t="str">
        <f>V7</f>
        <v>●●法人　●●●●</v>
      </c>
      <c r="AB31" s="1114"/>
      <c r="AC31" s="1114"/>
      <c r="AD31" s="1114"/>
      <c r="AE31" s="1114"/>
      <c r="AF31" s="1114"/>
      <c r="AG31" s="1114"/>
      <c r="AH31" s="1114"/>
    </row>
    <row r="32" spans="2:42" ht="9" customHeight="1">
      <c r="R32" s="302"/>
      <c r="S32" s="302"/>
      <c r="T32" s="302"/>
      <c r="U32" s="302"/>
      <c r="V32" s="302"/>
      <c r="W32" s="302"/>
      <c r="X32" s="302"/>
      <c r="Y32" s="302"/>
      <c r="Z32" s="311"/>
      <c r="AA32" s="486"/>
      <c r="AB32" s="486"/>
      <c r="AC32" s="486"/>
      <c r="AD32" s="486"/>
      <c r="AE32" s="486"/>
      <c r="AF32" s="486"/>
      <c r="AG32" s="486"/>
      <c r="AH32" s="486"/>
    </row>
    <row r="33" spans="18:34" ht="18" customHeight="1">
      <c r="R33" s="1115" t="s">
        <v>502</v>
      </c>
      <c r="S33" s="1115"/>
      <c r="T33" s="1115"/>
      <c r="U33" s="1115"/>
      <c r="V33" s="1115"/>
      <c r="W33" s="1115"/>
      <c r="X33" s="1115"/>
      <c r="Y33" s="1115"/>
      <c r="Z33" s="301" t="s">
        <v>485</v>
      </c>
      <c r="AA33" s="1116" t="str">
        <f>'様式６（事業計画変更申請書）'!L13</f>
        <v>●●　●●</v>
      </c>
      <c r="AB33" s="1116"/>
      <c r="AC33" s="1116"/>
      <c r="AD33" s="1116"/>
      <c r="AE33" s="1116"/>
      <c r="AF33" s="1116"/>
      <c r="AG33" s="1116"/>
      <c r="AH33" s="1116"/>
    </row>
    <row r="34" spans="18:34" ht="18" customHeight="1"/>
    <row r="35" spans="18:34" ht="18" customHeight="1"/>
    <row r="36" spans="18:34" ht="18" customHeight="1"/>
    <row r="37" spans="18:34" ht="18" customHeight="1"/>
    <row r="38" spans="18:34" ht="18" customHeight="1"/>
    <row r="39" spans="18:34" ht="18" customHeight="1"/>
    <row r="40" spans="18:34" ht="18" customHeight="1"/>
    <row r="41" spans="18:34" ht="18" customHeight="1"/>
    <row r="42" spans="18:34" ht="18" customHeight="1"/>
    <row r="43" spans="18:34" ht="18" customHeight="1"/>
    <row r="44" spans="18:34" ht="18" customHeight="1"/>
    <row r="45" spans="18:34" ht="18" customHeight="1"/>
    <row r="46" spans="18:34" ht="18" customHeight="1"/>
    <row r="47" spans="18:34" ht="18" customHeight="1"/>
    <row r="48" spans="18:3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sheetData>
  <mergeCells count="39">
    <mergeCell ref="AD29:AE29"/>
    <mergeCell ref="AA31:AH31"/>
    <mergeCell ref="R33:Y33"/>
    <mergeCell ref="AA33:AH33"/>
    <mergeCell ref="B20:Q21"/>
    <mergeCell ref="R20:AG21"/>
    <mergeCell ref="B22:Q23"/>
    <mergeCell ref="R22:AG23"/>
    <mergeCell ref="R29:S29"/>
    <mergeCell ref="T29:U29"/>
    <mergeCell ref="V29:W29"/>
    <mergeCell ref="X29:Y29"/>
    <mergeCell ref="Z29:AA29"/>
    <mergeCell ref="AB29:AC29"/>
    <mergeCell ref="C18:Q19"/>
    <mergeCell ref="R18:AD19"/>
    <mergeCell ref="AE18:AG19"/>
    <mergeCell ref="AM18:AP18"/>
    <mergeCell ref="B11:Q11"/>
    <mergeCell ref="R11:AD11"/>
    <mergeCell ref="AE11:AG11"/>
    <mergeCell ref="B14:AG14"/>
    <mergeCell ref="C15:Q15"/>
    <mergeCell ref="R15:AD15"/>
    <mergeCell ref="AE15:AG15"/>
    <mergeCell ref="AM15:AP15"/>
    <mergeCell ref="D16:Q17"/>
    <mergeCell ref="R16:AD16"/>
    <mergeCell ref="AE16:AG16"/>
    <mergeCell ref="R17:AD17"/>
    <mergeCell ref="B3:AG3"/>
    <mergeCell ref="V5:AH5"/>
    <mergeCell ref="V7:AH7"/>
    <mergeCell ref="B10:Q10"/>
    <mergeCell ref="R10:S10"/>
    <mergeCell ref="V10:W10"/>
    <mergeCell ref="Y10:Z10"/>
    <mergeCell ref="AA10:AB10"/>
    <mergeCell ref="AE10:AF10"/>
  </mergeCells>
  <phoneticPr fontId="1"/>
  <dataValidations count="2">
    <dataValidation type="list" allowBlank="1" showInputMessage="1" showErrorMessage="1" sqref="R22:AG25" xr:uid="{837B3129-2D0C-47E8-8432-01F0D1E56E61}">
      <formula1>"継続する,継続しない"</formula1>
    </dataValidation>
    <dataValidation type="list" allowBlank="1" showInputMessage="1" showErrorMessage="1" sqref="R20:AG21" xr:uid="{68F4E6CF-D854-4E7F-9B7A-B489AFF0C3B3}">
      <formula1>"周知している,周知していない"</formula1>
    </dataValidation>
  </dataValidations>
  <printOptions horizontalCentered="1"/>
  <pageMargins left="0.23622047244094491" right="0.23622047244094491" top="0.43307086614173229" bottom="0.43307086614173229" header="0.31496062992125984" footer="0.31496062992125984"/>
  <pageSetup paperSize="9" scale="8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21AD4-47C7-42E8-A933-E86570775D10}">
  <dimension ref="A1:V1846"/>
  <sheetViews>
    <sheetView view="pageBreakPreview" topLeftCell="A31" zoomScaleNormal="100" zoomScaleSheetLayoutView="100" workbookViewId="0">
      <selection activeCell="H10" sqref="H10"/>
    </sheetView>
  </sheetViews>
  <sheetFormatPr defaultColWidth="9" defaultRowHeight="13.5"/>
  <cols>
    <col min="1" max="1" width="2.125" style="313" customWidth="1"/>
    <col min="2" max="2" width="5.125" style="313" customWidth="1"/>
    <col min="3" max="4" width="3.625" style="313" customWidth="1"/>
    <col min="5" max="5" width="12.625" style="313" customWidth="1"/>
    <col min="6" max="7" width="15.625" style="313" customWidth="1"/>
    <col min="8" max="8" width="13.625" style="313" customWidth="1"/>
    <col min="9" max="9" width="9.375" style="313" customWidth="1"/>
    <col min="10" max="10" width="12.5" style="313" customWidth="1"/>
    <col min="11" max="11" width="15.625" style="313" customWidth="1"/>
    <col min="12" max="12" width="13.625" style="313" customWidth="1"/>
    <col min="13" max="13" width="10.625" style="313" customWidth="1"/>
    <col min="14" max="14" width="14.5" style="313" customWidth="1"/>
    <col min="15" max="15" width="14.625" style="313" customWidth="1"/>
    <col min="16" max="16" width="15.625" style="313" customWidth="1"/>
    <col min="17" max="17" width="13.625" style="313" customWidth="1"/>
    <col min="18" max="18" width="14" style="313" customWidth="1"/>
    <col min="19" max="19" width="15.625" style="313" customWidth="1"/>
    <col min="20" max="20" width="14.125" style="313" customWidth="1"/>
    <col min="21" max="23" width="15.625" style="313" customWidth="1"/>
    <col min="24" max="24" width="2.125" style="313" customWidth="1"/>
    <col min="25" max="40" width="3.625" style="313" customWidth="1"/>
    <col min="41" max="654" width="2.625" style="313" customWidth="1"/>
    <col min="655" max="16384" width="9" style="313"/>
  </cols>
  <sheetData>
    <row r="1" spans="2:22" ht="18" customHeight="1">
      <c r="B1" s="300" t="s">
        <v>527</v>
      </c>
    </row>
    <row r="2" spans="2:22" ht="18" customHeight="1"/>
    <row r="3" spans="2:22" ht="27" customHeight="1">
      <c r="B3" s="1127" t="s">
        <v>503</v>
      </c>
      <c r="C3" s="1127"/>
      <c r="D3" s="1127"/>
      <c r="E3" s="1127"/>
      <c r="F3" s="1127"/>
      <c r="G3" s="1127"/>
      <c r="H3" s="1127"/>
      <c r="I3" s="1127"/>
      <c r="J3" s="1127"/>
      <c r="K3" s="1127"/>
      <c r="L3" s="1127"/>
      <c r="M3" s="1127"/>
      <c r="N3" s="1127"/>
      <c r="O3" s="1127"/>
      <c r="P3" s="1127"/>
      <c r="Q3" s="1127"/>
      <c r="R3" s="1127"/>
      <c r="S3" s="1127"/>
      <c r="T3" s="1127"/>
      <c r="U3" s="1127"/>
      <c r="V3" s="1127"/>
    </row>
    <row r="4" spans="2:22" ht="18" customHeight="1" thickBot="1"/>
    <row r="5" spans="2:22" ht="18" customHeight="1" thickBot="1">
      <c r="R5" s="314" t="s">
        <v>486</v>
      </c>
      <c r="S5" s="1128" t="str">
        <f>'別紙様式２　事業実績報告書'!V7</f>
        <v>●●法人　●●●●</v>
      </c>
      <c r="T5" s="1129"/>
    </row>
    <row r="6" spans="2:22" ht="18" customHeight="1" thickBot="1">
      <c r="B6" s="313" t="s">
        <v>617</v>
      </c>
    </row>
    <row r="7" spans="2:22" ht="27" customHeight="1">
      <c r="B7" s="1130" t="s">
        <v>504</v>
      </c>
      <c r="C7" s="1133" t="s">
        <v>505</v>
      </c>
      <c r="D7" s="1134"/>
      <c r="E7" s="1135"/>
      <c r="F7" s="1142" t="s">
        <v>506</v>
      </c>
      <c r="G7" s="1142" t="s">
        <v>507</v>
      </c>
      <c r="H7" s="1142" t="s">
        <v>508</v>
      </c>
      <c r="I7" s="1142" t="s">
        <v>509</v>
      </c>
      <c r="J7" s="1145" t="s">
        <v>510</v>
      </c>
      <c r="K7" s="1146"/>
      <c r="L7" s="1147"/>
      <c r="M7" s="1142" t="s">
        <v>511</v>
      </c>
      <c r="N7" s="1142" t="s">
        <v>512</v>
      </c>
      <c r="O7" s="315" t="s">
        <v>616</v>
      </c>
      <c r="P7" s="316"/>
      <c r="Q7" s="317"/>
      <c r="R7" s="1142" t="s">
        <v>513</v>
      </c>
      <c r="S7" s="1142" t="s">
        <v>528</v>
      </c>
      <c r="T7" s="1130" t="s">
        <v>514</v>
      </c>
    </row>
    <row r="8" spans="2:22" ht="27" customHeight="1">
      <c r="B8" s="1131"/>
      <c r="C8" s="1136"/>
      <c r="D8" s="1137"/>
      <c r="E8" s="1138"/>
      <c r="F8" s="1143"/>
      <c r="G8" s="1143"/>
      <c r="H8" s="1143"/>
      <c r="I8" s="1143"/>
      <c r="J8" s="1148" t="s">
        <v>515</v>
      </c>
      <c r="K8" s="1150" t="s">
        <v>516</v>
      </c>
      <c r="L8" s="1152" t="s">
        <v>517</v>
      </c>
      <c r="M8" s="1143"/>
      <c r="N8" s="1143"/>
      <c r="O8" s="354"/>
      <c r="P8" s="1154" t="s">
        <v>518</v>
      </c>
      <c r="Q8" s="1156" t="s">
        <v>519</v>
      </c>
      <c r="R8" s="1143"/>
      <c r="S8" s="1143"/>
      <c r="T8" s="1131"/>
    </row>
    <row r="9" spans="2:22" ht="15" customHeight="1" thickBot="1">
      <c r="B9" s="1132"/>
      <c r="C9" s="1139"/>
      <c r="D9" s="1140"/>
      <c r="E9" s="1141"/>
      <c r="F9" s="1144"/>
      <c r="G9" s="1144"/>
      <c r="H9" s="1144"/>
      <c r="I9" s="1144"/>
      <c r="J9" s="1149"/>
      <c r="K9" s="1151"/>
      <c r="L9" s="1153"/>
      <c r="M9" s="1144"/>
      <c r="N9" s="1144"/>
      <c r="O9" s="318"/>
      <c r="P9" s="1155"/>
      <c r="Q9" s="1157"/>
      <c r="R9" s="1144"/>
      <c r="S9" s="1144"/>
      <c r="T9" s="1132"/>
    </row>
    <row r="10" spans="2:22" ht="18" customHeight="1">
      <c r="B10" s="319"/>
      <c r="C10" s="1161"/>
      <c r="D10" s="1162"/>
      <c r="E10" s="1163"/>
      <c r="F10" s="320"/>
      <c r="G10" s="320"/>
      <c r="H10" s="320" t="s">
        <v>763</v>
      </c>
      <c r="I10" s="321"/>
      <c r="J10" s="322"/>
      <c r="K10" s="435">
        <v>160</v>
      </c>
      <c r="L10" s="323"/>
      <c r="M10" s="324"/>
      <c r="N10" s="320"/>
      <c r="O10" s="325"/>
      <c r="P10" s="326"/>
      <c r="Q10" s="327"/>
      <c r="R10" s="1142"/>
      <c r="S10" s="324"/>
      <c r="T10" s="320"/>
    </row>
    <row r="11" spans="2:22" ht="18" customHeight="1">
      <c r="B11" s="328">
        <v>1</v>
      </c>
      <c r="C11" s="1164" t="s">
        <v>716</v>
      </c>
      <c r="D11" s="1165"/>
      <c r="E11" s="1166"/>
      <c r="F11" s="422" t="s">
        <v>721</v>
      </c>
      <c r="G11" s="433" t="s">
        <v>723</v>
      </c>
      <c r="H11" s="329">
        <v>11000</v>
      </c>
      <c r="I11" s="330">
        <f t="shared" ref="I11:I40" si="0">IF(G11="常勤職員",1,"")</f>
        <v>1</v>
      </c>
      <c r="J11" s="423"/>
      <c r="K11" s="336">
        <f t="shared" ref="K11:K40" si="1">$K$10</f>
        <v>160</v>
      </c>
      <c r="L11" s="331">
        <f>IFERROR(ROUND(J11/K11,1),"")</f>
        <v>0</v>
      </c>
      <c r="M11" s="425">
        <v>12</v>
      </c>
      <c r="N11" s="332">
        <f t="shared" ref="N11:N40" si="2">IFERROR(IF(G11="常勤職員",H11*I11*M11,H11*L11*M11),"")</f>
        <v>132000</v>
      </c>
      <c r="O11" s="426">
        <v>132000</v>
      </c>
      <c r="P11" s="427">
        <v>132000</v>
      </c>
      <c r="Q11" s="366">
        <f>O11-P11</f>
        <v>0</v>
      </c>
      <c r="R11" s="1143"/>
      <c r="S11" s="333">
        <f>IFERROR(ROUND(O11/M11,0),"")</f>
        <v>11000</v>
      </c>
      <c r="T11" s="431"/>
    </row>
    <row r="12" spans="2:22" ht="18" customHeight="1">
      <c r="B12" s="334">
        <v>2</v>
      </c>
      <c r="C12" s="1158" t="s">
        <v>708</v>
      </c>
      <c r="D12" s="1159"/>
      <c r="E12" s="1160"/>
      <c r="F12" s="422" t="s">
        <v>721</v>
      </c>
      <c r="G12" s="434" t="s">
        <v>723</v>
      </c>
      <c r="H12" s="329">
        <v>11000</v>
      </c>
      <c r="I12" s="335">
        <f t="shared" si="0"/>
        <v>1</v>
      </c>
      <c r="J12" s="424"/>
      <c r="K12" s="336">
        <f t="shared" si="1"/>
        <v>160</v>
      </c>
      <c r="L12" s="337">
        <f t="shared" ref="L12:L40" si="3">IFERROR(ROUND(J12/K12,1),"")</f>
        <v>0</v>
      </c>
      <c r="M12" s="425">
        <v>12</v>
      </c>
      <c r="N12" s="338">
        <f t="shared" si="2"/>
        <v>132000</v>
      </c>
      <c r="O12" s="428">
        <v>132000</v>
      </c>
      <c r="P12" s="429">
        <v>132000</v>
      </c>
      <c r="Q12" s="366">
        <f t="shared" ref="Q12:Q40" si="4">O12-P12</f>
        <v>0</v>
      </c>
      <c r="R12" s="1143"/>
      <c r="S12" s="339">
        <f t="shared" ref="S12:S41" si="5">IFERROR(ROUND(O12/M12,0),"")</f>
        <v>11000</v>
      </c>
      <c r="T12" s="432"/>
    </row>
    <row r="13" spans="2:22" ht="18" customHeight="1">
      <c r="B13" s="334">
        <v>3</v>
      </c>
      <c r="C13" s="1158" t="s">
        <v>717</v>
      </c>
      <c r="D13" s="1159"/>
      <c r="E13" s="1160"/>
      <c r="F13" s="422" t="s">
        <v>721</v>
      </c>
      <c r="G13" s="434" t="s">
        <v>723</v>
      </c>
      <c r="H13" s="329">
        <v>11000</v>
      </c>
      <c r="I13" s="335">
        <f t="shared" si="0"/>
        <v>1</v>
      </c>
      <c r="J13" s="424"/>
      <c r="K13" s="336">
        <f t="shared" si="1"/>
        <v>160</v>
      </c>
      <c r="L13" s="337">
        <f t="shared" si="3"/>
        <v>0</v>
      </c>
      <c r="M13" s="425">
        <v>12</v>
      </c>
      <c r="N13" s="338">
        <f t="shared" si="2"/>
        <v>132000</v>
      </c>
      <c r="O13" s="428">
        <v>132000</v>
      </c>
      <c r="P13" s="429">
        <v>132000</v>
      </c>
      <c r="Q13" s="366">
        <f t="shared" si="4"/>
        <v>0</v>
      </c>
      <c r="R13" s="1143"/>
      <c r="S13" s="339">
        <f t="shared" si="5"/>
        <v>11000</v>
      </c>
      <c r="T13" s="432"/>
    </row>
    <row r="14" spans="2:22" ht="18" customHeight="1">
      <c r="B14" s="334">
        <v>4</v>
      </c>
      <c r="C14" s="1158" t="s">
        <v>718</v>
      </c>
      <c r="D14" s="1159"/>
      <c r="E14" s="1160"/>
      <c r="F14" s="422" t="s">
        <v>699</v>
      </c>
      <c r="G14" s="434" t="s">
        <v>724</v>
      </c>
      <c r="H14" s="329">
        <v>11000</v>
      </c>
      <c r="I14" s="335" t="str">
        <f t="shared" si="0"/>
        <v/>
      </c>
      <c r="J14" s="424">
        <v>90</v>
      </c>
      <c r="K14" s="336">
        <f t="shared" si="1"/>
        <v>160</v>
      </c>
      <c r="L14" s="337">
        <f t="shared" si="3"/>
        <v>0.6</v>
      </c>
      <c r="M14" s="425">
        <v>12</v>
      </c>
      <c r="N14" s="338">
        <f t="shared" si="2"/>
        <v>79200</v>
      </c>
      <c r="O14" s="428">
        <v>50000</v>
      </c>
      <c r="P14" s="429">
        <v>50000</v>
      </c>
      <c r="Q14" s="366">
        <f t="shared" si="4"/>
        <v>0</v>
      </c>
      <c r="R14" s="1143"/>
      <c r="S14" s="339">
        <f t="shared" si="5"/>
        <v>4167</v>
      </c>
      <c r="T14" s="432"/>
    </row>
    <row r="15" spans="2:22" ht="18" customHeight="1">
      <c r="B15" s="334">
        <v>5</v>
      </c>
      <c r="C15" s="1158" t="s">
        <v>719</v>
      </c>
      <c r="D15" s="1159"/>
      <c r="E15" s="1160"/>
      <c r="F15" s="422" t="s">
        <v>699</v>
      </c>
      <c r="G15" s="434" t="s">
        <v>724</v>
      </c>
      <c r="H15" s="329">
        <v>11000</v>
      </c>
      <c r="I15" s="335" t="str">
        <f t="shared" si="0"/>
        <v/>
      </c>
      <c r="J15" s="424">
        <v>90</v>
      </c>
      <c r="K15" s="336">
        <f t="shared" si="1"/>
        <v>160</v>
      </c>
      <c r="L15" s="337">
        <f t="shared" si="3"/>
        <v>0.6</v>
      </c>
      <c r="M15" s="425">
        <v>6</v>
      </c>
      <c r="N15" s="338">
        <f t="shared" si="2"/>
        <v>39600</v>
      </c>
      <c r="O15" s="428">
        <v>30000</v>
      </c>
      <c r="P15" s="429">
        <v>30000</v>
      </c>
      <c r="Q15" s="366">
        <f t="shared" si="4"/>
        <v>0</v>
      </c>
      <c r="R15" s="1143"/>
      <c r="S15" s="339">
        <f t="shared" si="5"/>
        <v>5000</v>
      </c>
      <c r="T15" s="432"/>
    </row>
    <row r="16" spans="2:22" ht="18" customHeight="1">
      <c r="B16" s="334">
        <v>6</v>
      </c>
      <c r="C16" s="1158" t="s">
        <v>720</v>
      </c>
      <c r="D16" s="1159"/>
      <c r="E16" s="1160"/>
      <c r="F16" s="422" t="s">
        <v>722</v>
      </c>
      <c r="G16" s="434" t="s">
        <v>724</v>
      </c>
      <c r="H16" s="329">
        <v>11000</v>
      </c>
      <c r="I16" s="335" t="str">
        <f t="shared" si="0"/>
        <v/>
      </c>
      <c r="J16" s="424">
        <v>50</v>
      </c>
      <c r="K16" s="336">
        <f t="shared" si="1"/>
        <v>160</v>
      </c>
      <c r="L16" s="337">
        <f t="shared" si="3"/>
        <v>0.3</v>
      </c>
      <c r="M16" s="425">
        <v>6</v>
      </c>
      <c r="N16" s="338">
        <f t="shared" si="2"/>
        <v>19800</v>
      </c>
      <c r="O16" s="428">
        <v>19800</v>
      </c>
      <c r="P16" s="429">
        <v>19800</v>
      </c>
      <c r="Q16" s="366">
        <f t="shared" si="4"/>
        <v>0</v>
      </c>
      <c r="R16" s="1143"/>
      <c r="S16" s="339">
        <f t="shared" si="5"/>
        <v>3300</v>
      </c>
      <c r="T16" s="432"/>
    </row>
    <row r="17" spans="1:20" ht="18" customHeight="1">
      <c r="B17" s="334">
        <v>7</v>
      </c>
      <c r="C17" s="1158"/>
      <c r="D17" s="1159"/>
      <c r="E17" s="1160"/>
      <c r="F17" s="422"/>
      <c r="G17" s="434"/>
      <c r="H17" s="329">
        <v>11000</v>
      </c>
      <c r="I17" s="335" t="str">
        <f t="shared" si="0"/>
        <v/>
      </c>
      <c r="J17" s="424"/>
      <c r="K17" s="336">
        <f t="shared" si="1"/>
        <v>160</v>
      </c>
      <c r="L17" s="337">
        <f t="shared" si="3"/>
        <v>0</v>
      </c>
      <c r="M17" s="425"/>
      <c r="N17" s="338">
        <f t="shared" si="2"/>
        <v>0</v>
      </c>
      <c r="O17" s="428"/>
      <c r="P17" s="429"/>
      <c r="Q17" s="366">
        <f t="shared" si="4"/>
        <v>0</v>
      </c>
      <c r="R17" s="1143"/>
      <c r="S17" s="339" t="str">
        <f t="shared" si="5"/>
        <v/>
      </c>
      <c r="T17" s="432"/>
    </row>
    <row r="18" spans="1:20" ht="18" customHeight="1">
      <c r="B18" s="334">
        <v>8</v>
      </c>
      <c r="C18" s="1158"/>
      <c r="D18" s="1159"/>
      <c r="E18" s="1160"/>
      <c r="F18" s="422"/>
      <c r="G18" s="434"/>
      <c r="H18" s="329">
        <v>11000</v>
      </c>
      <c r="I18" s="335" t="str">
        <f t="shared" si="0"/>
        <v/>
      </c>
      <c r="J18" s="424"/>
      <c r="K18" s="336">
        <f t="shared" si="1"/>
        <v>160</v>
      </c>
      <c r="L18" s="337">
        <f t="shared" si="3"/>
        <v>0</v>
      </c>
      <c r="M18" s="425"/>
      <c r="N18" s="338">
        <f t="shared" si="2"/>
        <v>0</v>
      </c>
      <c r="O18" s="428"/>
      <c r="P18" s="429"/>
      <c r="Q18" s="366">
        <f t="shared" si="4"/>
        <v>0</v>
      </c>
      <c r="R18" s="1143"/>
      <c r="S18" s="339" t="str">
        <f t="shared" si="5"/>
        <v/>
      </c>
      <c r="T18" s="432"/>
    </row>
    <row r="19" spans="1:20" ht="18" customHeight="1">
      <c r="B19" s="334">
        <v>9</v>
      </c>
      <c r="C19" s="1158"/>
      <c r="D19" s="1159"/>
      <c r="E19" s="1160"/>
      <c r="F19" s="422"/>
      <c r="G19" s="434"/>
      <c r="H19" s="329">
        <v>11000</v>
      </c>
      <c r="I19" s="335" t="str">
        <f t="shared" si="0"/>
        <v/>
      </c>
      <c r="J19" s="424"/>
      <c r="K19" s="336">
        <f t="shared" si="1"/>
        <v>160</v>
      </c>
      <c r="L19" s="337">
        <f t="shared" si="3"/>
        <v>0</v>
      </c>
      <c r="M19" s="425"/>
      <c r="N19" s="338">
        <f t="shared" si="2"/>
        <v>0</v>
      </c>
      <c r="O19" s="428"/>
      <c r="P19" s="429"/>
      <c r="Q19" s="366">
        <f t="shared" si="4"/>
        <v>0</v>
      </c>
      <c r="R19" s="1143"/>
      <c r="S19" s="339" t="str">
        <f t="shared" si="5"/>
        <v/>
      </c>
      <c r="T19" s="432"/>
    </row>
    <row r="20" spans="1:20" ht="18" customHeight="1">
      <c r="B20" s="334">
        <v>10</v>
      </c>
      <c r="C20" s="1158"/>
      <c r="D20" s="1159"/>
      <c r="E20" s="1160"/>
      <c r="F20" s="422"/>
      <c r="G20" s="434"/>
      <c r="H20" s="329">
        <v>11000</v>
      </c>
      <c r="I20" s="335" t="str">
        <f t="shared" si="0"/>
        <v/>
      </c>
      <c r="J20" s="424"/>
      <c r="K20" s="336">
        <f t="shared" si="1"/>
        <v>160</v>
      </c>
      <c r="L20" s="337">
        <f t="shared" si="3"/>
        <v>0</v>
      </c>
      <c r="M20" s="425"/>
      <c r="N20" s="338">
        <f t="shared" si="2"/>
        <v>0</v>
      </c>
      <c r="O20" s="428"/>
      <c r="P20" s="429"/>
      <c r="Q20" s="366">
        <f t="shared" si="4"/>
        <v>0</v>
      </c>
      <c r="R20" s="1143"/>
      <c r="S20" s="339" t="str">
        <f t="shared" si="5"/>
        <v/>
      </c>
      <c r="T20" s="432"/>
    </row>
    <row r="21" spans="1:20" ht="18" customHeight="1">
      <c r="B21" s="334">
        <v>11</v>
      </c>
      <c r="C21" s="1158"/>
      <c r="D21" s="1159"/>
      <c r="E21" s="1160"/>
      <c r="F21" s="422"/>
      <c r="G21" s="434"/>
      <c r="H21" s="329">
        <v>11000</v>
      </c>
      <c r="I21" s="335" t="str">
        <f t="shared" si="0"/>
        <v/>
      </c>
      <c r="J21" s="424"/>
      <c r="K21" s="336">
        <f t="shared" si="1"/>
        <v>160</v>
      </c>
      <c r="L21" s="337">
        <f t="shared" si="3"/>
        <v>0</v>
      </c>
      <c r="M21" s="425"/>
      <c r="N21" s="338">
        <f t="shared" si="2"/>
        <v>0</v>
      </c>
      <c r="O21" s="428"/>
      <c r="P21" s="429"/>
      <c r="Q21" s="366">
        <f t="shared" si="4"/>
        <v>0</v>
      </c>
      <c r="R21" s="1143"/>
      <c r="S21" s="339" t="str">
        <f t="shared" si="5"/>
        <v/>
      </c>
      <c r="T21" s="432"/>
    </row>
    <row r="22" spans="1:20" ht="18" customHeight="1">
      <c r="B22" s="334">
        <v>12</v>
      </c>
      <c r="C22" s="1158"/>
      <c r="D22" s="1159"/>
      <c r="E22" s="1160"/>
      <c r="F22" s="422"/>
      <c r="G22" s="434"/>
      <c r="H22" s="329">
        <v>11000</v>
      </c>
      <c r="I22" s="335" t="str">
        <f t="shared" si="0"/>
        <v/>
      </c>
      <c r="J22" s="424"/>
      <c r="K22" s="336">
        <f t="shared" si="1"/>
        <v>160</v>
      </c>
      <c r="L22" s="337">
        <f t="shared" si="3"/>
        <v>0</v>
      </c>
      <c r="M22" s="425"/>
      <c r="N22" s="338">
        <f t="shared" si="2"/>
        <v>0</v>
      </c>
      <c r="O22" s="428"/>
      <c r="P22" s="429"/>
      <c r="Q22" s="366">
        <f t="shared" si="4"/>
        <v>0</v>
      </c>
      <c r="R22" s="1143"/>
      <c r="S22" s="339" t="str">
        <f t="shared" si="5"/>
        <v/>
      </c>
      <c r="T22" s="432"/>
    </row>
    <row r="23" spans="1:20" ht="18" customHeight="1">
      <c r="A23" s="355"/>
      <c r="B23" s="334">
        <v>13</v>
      </c>
      <c r="C23" s="1158"/>
      <c r="D23" s="1159"/>
      <c r="E23" s="1160"/>
      <c r="F23" s="422"/>
      <c r="G23" s="434"/>
      <c r="H23" s="329">
        <v>11000</v>
      </c>
      <c r="I23" s="335" t="str">
        <f t="shared" si="0"/>
        <v/>
      </c>
      <c r="J23" s="424"/>
      <c r="K23" s="336">
        <f t="shared" si="1"/>
        <v>160</v>
      </c>
      <c r="L23" s="337">
        <f t="shared" si="3"/>
        <v>0</v>
      </c>
      <c r="M23" s="425"/>
      <c r="N23" s="338">
        <f t="shared" si="2"/>
        <v>0</v>
      </c>
      <c r="O23" s="428"/>
      <c r="P23" s="429"/>
      <c r="Q23" s="366">
        <f t="shared" si="4"/>
        <v>0</v>
      </c>
      <c r="R23" s="1143"/>
      <c r="S23" s="339" t="str">
        <f t="shared" si="5"/>
        <v/>
      </c>
      <c r="T23" s="432"/>
    </row>
    <row r="24" spans="1:20" ht="18" customHeight="1">
      <c r="B24" s="334">
        <v>14</v>
      </c>
      <c r="C24" s="1158"/>
      <c r="D24" s="1159"/>
      <c r="E24" s="1160"/>
      <c r="F24" s="422"/>
      <c r="G24" s="434"/>
      <c r="H24" s="329">
        <v>11000</v>
      </c>
      <c r="I24" s="335" t="str">
        <f t="shared" si="0"/>
        <v/>
      </c>
      <c r="J24" s="424"/>
      <c r="K24" s="336">
        <f t="shared" si="1"/>
        <v>160</v>
      </c>
      <c r="L24" s="337">
        <f t="shared" si="3"/>
        <v>0</v>
      </c>
      <c r="M24" s="425"/>
      <c r="N24" s="338">
        <f t="shared" si="2"/>
        <v>0</v>
      </c>
      <c r="O24" s="428"/>
      <c r="P24" s="429"/>
      <c r="Q24" s="366">
        <f t="shared" si="4"/>
        <v>0</v>
      </c>
      <c r="R24" s="1143"/>
      <c r="S24" s="339" t="str">
        <f t="shared" si="5"/>
        <v/>
      </c>
      <c r="T24" s="432"/>
    </row>
    <row r="25" spans="1:20" ht="18" customHeight="1">
      <c r="B25" s="334">
        <v>15</v>
      </c>
      <c r="C25" s="1158"/>
      <c r="D25" s="1159"/>
      <c r="E25" s="1160"/>
      <c r="F25" s="422"/>
      <c r="G25" s="434"/>
      <c r="H25" s="329">
        <v>11000</v>
      </c>
      <c r="I25" s="335" t="str">
        <f t="shared" si="0"/>
        <v/>
      </c>
      <c r="J25" s="424"/>
      <c r="K25" s="336">
        <f t="shared" si="1"/>
        <v>160</v>
      </c>
      <c r="L25" s="337">
        <f t="shared" si="3"/>
        <v>0</v>
      </c>
      <c r="M25" s="425"/>
      <c r="N25" s="338">
        <f t="shared" si="2"/>
        <v>0</v>
      </c>
      <c r="O25" s="428"/>
      <c r="P25" s="429"/>
      <c r="Q25" s="366">
        <f t="shared" si="4"/>
        <v>0</v>
      </c>
      <c r="R25" s="1143"/>
      <c r="S25" s="339" t="str">
        <f t="shared" si="5"/>
        <v/>
      </c>
      <c r="T25" s="432"/>
    </row>
    <row r="26" spans="1:20" ht="18" customHeight="1">
      <c r="B26" s="334">
        <v>16</v>
      </c>
      <c r="C26" s="1158"/>
      <c r="D26" s="1159"/>
      <c r="E26" s="1160"/>
      <c r="F26" s="422"/>
      <c r="G26" s="434"/>
      <c r="H26" s="329">
        <v>11000</v>
      </c>
      <c r="I26" s="335" t="str">
        <f t="shared" si="0"/>
        <v/>
      </c>
      <c r="J26" s="424"/>
      <c r="K26" s="336">
        <f t="shared" si="1"/>
        <v>160</v>
      </c>
      <c r="L26" s="337">
        <f t="shared" si="3"/>
        <v>0</v>
      </c>
      <c r="M26" s="425"/>
      <c r="N26" s="338">
        <f t="shared" si="2"/>
        <v>0</v>
      </c>
      <c r="O26" s="428"/>
      <c r="P26" s="429"/>
      <c r="Q26" s="366">
        <f t="shared" si="4"/>
        <v>0</v>
      </c>
      <c r="R26" s="1143"/>
      <c r="S26" s="339" t="str">
        <f t="shared" si="5"/>
        <v/>
      </c>
      <c r="T26" s="432"/>
    </row>
    <row r="27" spans="1:20" ht="18" customHeight="1">
      <c r="B27" s="334">
        <v>17</v>
      </c>
      <c r="C27" s="1158"/>
      <c r="D27" s="1159"/>
      <c r="E27" s="1160"/>
      <c r="F27" s="422"/>
      <c r="G27" s="434"/>
      <c r="H27" s="329">
        <v>11000</v>
      </c>
      <c r="I27" s="335" t="str">
        <f t="shared" si="0"/>
        <v/>
      </c>
      <c r="J27" s="424"/>
      <c r="K27" s="336">
        <f t="shared" si="1"/>
        <v>160</v>
      </c>
      <c r="L27" s="337">
        <f t="shared" si="3"/>
        <v>0</v>
      </c>
      <c r="M27" s="425"/>
      <c r="N27" s="338">
        <f t="shared" si="2"/>
        <v>0</v>
      </c>
      <c r="O27" s="428"/>
      <c r="P27" s="429"/>
      <c r="Q27" s="366">
        <f t="shared" si="4"/>
        <v>0</v>
      </c>
      <c r="R27" s="1143"/>
      <c r="S27" s="339" t="str">
        <f t="shared" si="5"/>
        <v/>
      </c>
      <c r="T27" s="432"/>
    </row>
    <row r="28" spans="1:20" ht="18" customHeight="1">
      <c r="B28" s="334">
        <v>18</v>
      </c>
      <c r="C28" s="1158"/>
      <c r="D28" s="1159"/>
      <c r="E28" s="1160"/>
      <c r="F28" s="422"/>
      <c r="G28" s="434"/>
      <c r="H28" s="329">
        <v>11000</v>
      </c>
      <c r="I28" s="335" t="str">
        <f t="shared" si="0"/>
        <v/>
      </c>
      <c r="J28" s="424"/>
      <c r="K28" s="336">
        <f t="shared" si="1"/>
        <v>160</v>
      </c>
      <c r="L28" s="337">
        <f t="shared" si="3"/>
        <v>0</v>
      </c>
      <c r="M28" s="425"/>
      <c r="N28" s="338">
        <f t="shared" si="2"/>
        <v>0</v>
      </c>
      <c r="O28" s="428"/>
      <c r="P28" s="429"/>
      <c r="Q28" s="366">
        <f t="shared" si="4"/>
        <v>0</v>
      </c>
      <c r="R28" s="1143"/>
      <c r="S28" s="339" t="str">
        <f t="shared" si="5"/>
        <v/>
      </c>
      <c r="T28" s="432"/>
    </row>
    <row r="29" spans="1:20" ht="18" customHeight="1">
      <c r="B29" s="334">
        <v>19</v>
      </c>
      <c r="C29" s="1158"/>
      <c r="D29" s="1159"/>
      <c r="E29" s="1160"/>
      <c r="F29" s="422"/>
      <c r="G29" s="434"/>
      <c r="H29" s="329">
        <v>11000</v>
      </c>
      <c r="I29" s="335" t="str">
        <f t="shared" si="0"/>
        <v/>
      </c>
      <c r="J29" s="424"/>
      <c r="K29" s="336">
        <f t="shared" si="1"/>
        <v>160</v>
      </c>
      <c r="L29" s="337">
        <f t="shared" si="3"/>
        <v>0</v>
      </c>
      <c r="M29" s="425"/>
      <c r="N29" s="338">
        <f t="shared" si="2"/>
        <v>0</v>
      </c>
      <c r="O29" s="428"/>
      <c r="P29" s="429"/>
      <c r="Q29" s="366">
        <f t="shared" si="4"/>
        <v>0</v>
      </c>
      <c r="R29" s="1143"/>
      <c r="S29" s="339" t="str">
        <f t="shared" si="5"/>
        <v/>
      </c>
      <c r="T29" s="432"/>
    </row>
    <row r="30" spans="1:20" ht="18" customHeight="1">
      <c r="B30" s="334">
        <v>20</v>
      </c>
      <c r="C30" s="1158"/>
      <c r="D30" s="1159"/>
      <c r="E30" s="1160"/>
      <c r="F30" s="422"/>
      <c r="G30" s="434"/>
      <c r="H30" s="329">
        <v>11000</v>
      </c>
      <c r="I30" s="335" t="str">
        <f t="shared" si="0"/>
        <v/>
      </c>
      <c r="J30" s="424"/>
      <c r="K30" s="336">
        <f t="shared" si="1"/>
        <v>160</v>
      </c>
      <c r="L30" s="337">
        <f t="shared" si="3"/>
        <v>0</v>
      </c>
      <c r="M30" s="425"/>
      <c r="N30" s="338">
        <f t="shared" si="2"/>
        <v>0</v>
      </c>
      <c r="O30" s="428"/>
      <c r="P30" s="429"/>
      <c r="Q30" s="366">
        <f t="shared" si="4"/>
        <v>0</v>
      </c>
      <c r="R30" s="1143"/>
      <c r="S30" s="339" t="str">
        <f t="shared" si="5"/>
        <v/>
      </c>
      <c r="T30" s="432"/>
    </row>
    <row r="31" spans="1:20" ht="18" customHeight="1">
      <c r="B31" s="334">
        <v>21</v>
      </c>
      <c r="C31" s="1158"/>
      <c r="D31" s="1159"/>
      <c r="E31" s="1160"/>
      <c r="F31" s="422"/>
      <c r="G31" s="434"/>
      <c r="H31" s="329">
        <v>11000</v>
      </c>
      <c r="I31" s="335" t="str">
        <f t="shared" si="0"/>
        <v/>
      </c>
      <c r="J31" s="424"/>
      <c r="K31" s="336">
        <f t="shared" si="1"/>
        <v>160</v>
      </c>
      <c r="L31" s="337">
        <f t="shared" si="3"/>
        <v>0</v>
      </c>
      <c r="M31" s="425"/>
      <c r="N31" s="338">
        <f t="shared" si="2"/>
        <v>0</v>
      </c>
      <c r="O31" s="428"/>
      <c r="P31" s="429"/>
      <c r="Q31" s="366">
        <f t="shared" si="4"/>
        <v>0</v>
      </c>
      <c r="R31" s="1143"/>
      <c r="S31" s="339" t="str">
        <f t="shared" si="5"/>
        <v/>
      </c>
      <c r="T31" s="432"/>
    </row>
    <row r="32" spans="1:20" ht="18" customHeight="1">
      <c r="B32" s="334">
        <v>22</v>
      </c>
      <c r="C32" s="1158"/>
      <c r="D32" s="1159"/>
      <c r="E32" s="1160"/>
      <c r="F32" s="422"/>
      <c r="G32" s="434"/>
      <c r="H32" s="329">
        <v>11000</v>
      </c>
      <c r="I32" s="335" t="str">
        <f t="shared" si="0"/>
        <v/>
      </c>
      <c r="J32" s="424"/>
      <c r="K32" s="336">
        <f t="shared" si="1"/>
        <v>160</v>
      </c>
      <c r="L32" s="337">
        <f t="shared" si="3"/>
        <v>0</v>
      </c>
      <c r="M32" s="425"/>
      <c r="N32" s="338">
        <f t="shared" si="2"/>
        <v>0</v>
      </c>
      <c r="O32" s="428"/>
      <c r="P32" s="429"/>
      <c r="Q32" s="366">
        <f t="shared" si="4"/>
        <v>0</v>
      </c>
      <c r="R32" s="1143"/>
      <c r="S32" s="339" t="str">
        <f t="shared" si="5"/>
        <v/>
      </c>
      <c r="T32" s="432"/>
    </row>
    <row r="33" spans="2:20" ht="18" customHeight="1">
      <c r="B33" s="334">
        <v>23</v>
      </c>
      <c r="C33" s="1158"/>
      <c r="D33" s="1159"/>
      <c r="E33" s="1160"/>
      <c r="F33" s="422"/>
      <c r="G33" s="434"/>
      <c r="H33" s="329">
        <v>11000</v>
      </c>
      <c r="I33" s="335" t="str">
        <f t="shared" si="0"/>
        <v/>
      </c>
      <c r="J33" s="424"/>
      <c r="K33" s="336">
        <f t="shared" si="1"/>
        <v>160</v>
      </c>
      <c r="L33" s="337">
        <f t="shared" si="3"/>
        <v>0</v>
      </c>
      <c r="M33" s="425"/>
      <c r="N33" s="338">
        <f t="shared" si="2"/>
        <v>0</v>
      </c>
      <c r="O33" s="428"/>
      <c r="P33" s="429"/>
      <c r="Q33" s="366">
        <f t="shared" si="4"/>
        <v>0</v>
      </c>
      <c r="R33" s="1143"/>
      <c r="S33" s="339" t="str">
        <f t="shared" si="5"/>
        <v/>
      </c>
      <c r="T33" s="432"/>
    </row>
    <row r="34" spans="2:20" ht="18" customHeight="1">
      <c r="B34" s="334">
        <v>24</v>
      </c>
      <c r="C34" s="1158"/>
      <c r="D34" s="1159"/>
      <c r="E34" s="1160"/>
      <c r="F34" s="422"/>
      <c r="G34" s="434"/>
      <c r="H34" s="329">
        <v>11000</v>
      </c>
      <c r="I34" s="335" t="str">
        <f t="shared" si="0"/>
        <v/>
      </c>
      <c r="J34" s="424"/>
      <c r="K34" s="336">
        <f t="shared" si="1"/>
        <v>160</v>
      </c>
      <c r="L34" s="337">
        <f t="shared" si="3"/>
        <v>0</v>
      </c>
      <c r="M34" s="425"/>
      <c r="N34" s="338">
        <f t="shared" si="2"/>
        <v>0</v>
      </c>
      <c r="O34" s="428"/>
      <c r="P34" s="429"/>
      <c r="Q34" s="366">
        <f t="shared" si="4"/>
        <v>0</v>
      </c>
      <c r="R34" s="1143"/>
      <c r="S34" s="339" t="str">
        <f t="shared" si="5"/>
        <v/>
      </c>
      <c r="T34" s="432"/>
    </row>
    <row r="35" spans="2:20" ht="18" customHeight="1">
      <c r="B35" s="334">
        <v>25</v>
      </c>
      <c r="C35" s="1158"/>
      <c r="D35" s="1159"/>
      <c r="E35" s="1160"/>
      <c r="F35" s="422"/>
      <c r="G35" s="434"/>
      <c r="H35" s="329">
        <v>11000</v>
      </c>
      <c r="I35" s="335" t="str">
        <f t="shared" si="0"/>
        <v/>
      </c>
      <c r="J35" s="424"/>
      <c r="K35" s="336">
        <f t="shared" si="1"/>
        <v>160</v>
      </c>
      <c r="L35" s="337">
        <f t="shared" si="3"/>
        <v>0</v>
      </c>
      <c r="M35" s="425"/>
      <c r="N35" s="338">
        <f t="shared" si="2"/>
        <v>0</v>
      </c>
      <c r="O35" s="428"/>
      <c r="P35" s="429"/>
      <c r="Q35" s="366">
        <f t="shared" si="4"/>
        <v>0</v>
      </c>
      <c r="R35" s="1143"/>
      <c r="S35" s="339" t="str">
        <f t="shared" si="5"/>
        <v/>
      </c>
      <c r="T35" s="432"/>
    </row>
    <row r="36" spans="2:20" ht="18" customHeight="1">
      <c r="B36" s="334">
        <v>26</v>
      </c>
      <c r="C36" s="1158"/>
      <c r="D36" s="1159"/>
      <c r="E36" s="1160"/>
      <c r="F36" s="422"/>
      <c r="G36" s="434"/>
      <c r="H36" s="329">
        <v>11000</v>
      </c>
      <c r="I36" s="335" t="str">
        <f t="shared" si="0"/>
        <v/>
      </c>
      <c r="J36" s="424"/>
      <c r="K36" s="336">
        <f t="shared" si="1"/>
        <v>160</v>
      </c>
      <c r="L36" s="337">
        <f t="shared" si="3"/>
        <v>0</v>
      </c>
      <c r="M36" s="425"/>
      <c r="N36" s="338">
        <f t="shared" si="2"/>
        <v>0</v>
      </c>
      <c r="O36" s="428"/>
      <c r="P36" s="429"/>
      <c r="Q36" s="366">
        <f t="shared" si="4"/>
        <v>0</v>
      </c>
      <c r="R36" s="1143"/>
      <c r="S36" s="339" t="str">
        <f t="shared" si="5"/>
        <v/>
      </c>
      <c r="T36" s="432"/>
    </row>
    <row r="37" spans="2:20" ht="18" customHeight="1">
      <c r="B37" s="334">
        <v>27</v>
      </c>
      <c r="C37" s="1158"/>
      <c r="D37" s="1159"/>
      <c r="E37" s="1160"/>
      <c r="F37" s="422"/>
      <c r="G37" s="434"/>
      <c r="H37" s="329">
        <v>11000</v>
      </c>
      <c r="I37" s="335" t="str">
        <f t="shared" si="0"/>
        <v/>
      </c>
      <c r="J37" s="424"/>
      <c r="K37" s="336">
        <f t="shared" si="1"/>
        <v>160</v>
      </c>
      <c r="L37" s="337">
        <f t="shared" si="3"/>
        <v>0</v>
      </c>
      <c r="M37" s="425"/>
      <c r="N37" s="338">
        <f t="shared" si="2"/>
        <v>0</v>
      </c>
      <c r="O37" s="428"/>
      <c r="P37" s="429"/>
      <c r="Q37" s="366">
        <f t="shared" si="4"/>
        <v>0</v>
      </c>
      <c r="R37" s="1143"/>
      <c r="S37" s="339" t="str">
        <f t="shared" si="5"/>
        <v/>
      </c>
      <c r="T37" s="432"/>
    </row>
    <row r="38" spans="2:20" ht="18" customHeight="1">
      <c r="B38" s="334">
        <v>28</v>
      </c>
      <c r="C38" s="1158"/>
      <c r="D38" s="1159"/>
      <c r="E38" s="1160"/>
      <c r="F38" s="422"/>
      <c r="G38" s="434"/>
      <c r="H38" s="329">
        <v>11000</v>
      </c>
      <c r="I38" s="335" t="str">
        <f t="shared" si="0"/>
        <v/>
      </c>
      <c r="J38" s="424"/>
      <c r="K38" s="336">
        <f t="shared" si="1"/>
        <v>160</v>
      </c>
      <c r="L38" s="337">
        <f t="shared" si="3"/>
        <v>0</v>
      </c>
      <c r="M38" s="425"/>
      <c r="N38" s="338">
        <f t="shared" si="2"/>
        <v>0</v>
      </c>
      <c r="O38" s="428"/>
      <c r="P38" s="429"/>
      <c r="Q38" s="366">
        <f t="shared" si="4"/>
        <v>0</v>
      </c>
      <c r="R38" s="1143"/>
      <c r="S38" s="339" t="str">
        <f t="shared" si="5"/>
        <v/>
      </c>
      <c r="T38" s="432"/>
    </row>
    <row r="39" spans="2:20" ht="18" customHeight="1">
      <c r="B39" s="334">
        <v>29</v>
      </c>
      <c r="C39" s="1158"/>
      <c r="D39" s="1159"/>
      <c r="E39" s="1160"/>
      <c r="F39" s="422"/>
      <c r="G39" s="434"/>
      <c r="H39" s="329">
        <v>11000</v>
      </c>
      <c r="I39" s="335" t="str">
        <f t="shared" si="0"/>
        <v/>
      </c>
      <c r="J39" s="424"/>
      <c r="K39" s="336">
        <f t="shared" si="1"/>
        <v>160</v>
      </c>
      <c r="L39" s="337">
        <f t="shared" si="3"/>
        <v>0</v>
      </c>
      <c r="M39" s="425"/>
      <c r="N39" s="338">
        <f t="shared" si="2"/>
        <v>0</v>
      </c>
      <c r="O39" s="428"/>
      <c r="P39" s="429"/>
      <c r="Q39" s="366">
        <f t="shared" si="4"/>
        <v>0</v>
      </c>
      <c r="R39" s="1143"/>
      <c r="S39" s="339" t="str">
        <f t="shared" si="5"/>
        <v/>
      </c>
      <c r="T39" s="432"/>
    </row>
    <row r="40" spans="2:20" ht="18" customHeight="1" thickBot="1">
      <c r="B40" s="334">
        <v>30</v>
      </c>
      <c r="C40" s="1158"/>
      <c r="D40" s="1159"/>
      <c r="E40" s="1160"/>
      <c r="F40" s="422"/>
      <c r="G40" s="434"/>
      <c r="H40" s="329">
        <v>11000</v>
      </c>
      <c r="I40" s="335" t="str">
        <f t="shared" si="0"/>
        <v/>
      </c>
      <c r="J40" s="424"/>
      <c r="K40" s="336">
        <f t="shared" si="1"/>
        <v>160</v>
      </c>
      <c r="L40" s="337">
        <f t="shared" si="3"/>
        <v>0</v>
      </c>
      <c r="M40" s="425"/>
      <c r="N40" s="338">
        <f t="shared" si="2"/>
        <v>0</v>
      </c>
      <c r="O40" s="428"/>
      <c r="P40" s="429"/>
      <c r="Q40" s="366">
        <f t="shared" si="4"/>
        <v>0</v>
      </c>
      <c r="R40" s="1144"/>
      <c r="S40" s="339" t="str">
        <f t="shared" si="5"/>
        <v/>
      </c>
      <c r="T40" s="432"/>
    </row>
    <row r="41" spans="2:20" ht="18" customHeight="1" thickBot="1">
      <c r="B41" s="1167" t="s">
        <v>22</v>
      </c>
      <c r="C41" s="1168"/>
      <c r="D41" s="1168"/>
      <c r="E41" s="1168"/>
      <c r="F41" s="1168"/>
      <c r="G41" s="1169"/>
      <c r="H41" s="340"/>
      <c r="I41" s="341">
        <f>SUM(I11:I40)</f>
        <v>3</v>
      </c>
      <c r="J41" s="342"/>
      <c r="K41" s="343"/>
      <c r="L41" s="344">
        <f t="shared" ref="L41:Q41" si="6">SUM(L11:L40)</f>
        <v>1.5</v>
      </c>
      <c r="M41" s="345">
        <f t="shared" si="6"/>
        <v>60</v>
      </c>
      <c r="N41" s="346">
        <f t="shared" si="6"/>
        <v>534600</v>
      </c>
      <c r="O41" s="346">
        <f t="shared" si="6"/>
        <v>495800</v>
      </c>
      <c r="P41" s="347">
        <f t="shared" si="6"/>
        <v>495800</v>
      </c>
      <c r="Q41" s="348">
        <f t="shared" si="6"/>
        <v>0</v>
      </c>
      <c r="R41" s="430"/>
      <c r="S41" s="349">
        <f t="shared" si="5"/>
        <v>8263</v>
      </c>
      <c r="T41" s="350"/>
    </row>
    <row r="42" spans="2:20" ht="18" customHeight="1">
      <c r="B42" s="313" t="s">
        <v>520</v>
      </c>
    </row>
    <row r="43" spans="2:20" ht="18" customHeight="1">
      <c r="B43" s="313" t="s">
        <v>734</v>
      </c>
    </row>
    <row r="44" spans="2:20" ht="18" customHeight="1">
      <c r="B44" s="351" t="s">
        <v>735</v>
      </c>
    </row>
    <row r="45" spans="2:20" ht="18" customHeight="1"/>
    <row r="46" spans="2:20" ht="18" customHeight="1"/>
    <row r="47" spans="2:20" ht="18" customHeight="1"/>
    <row r="48" spans="2: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sheetData>
  <mergeCells count="52">
    <mergeCell ref="C37:E37"/>
    <mergeCell ref="C38:E38"/>
    <mergeCell ref="C39:E39"/>
    <mergeCell ref="C40:E40"/>
    <mergeCell ref="B41:G41"/>
    <mergeCell ref="C31:E31"/>
    <mergeCell ref="C32:E32"/>
    <mergeCell ref="C33:E33"/>
    <mergeCell ref="C34:E34"/>
    <mergeCell ref="C35:E35"/>
    <mergeCell ref="C26:E26"/>
    <mergeCell ref="C27:E27"/>
    <mergeCell ref="C28:E28"/>
    <mergeCell ref="C29:E29"/>
    <mergeCell ref="C30:E30"/>
    <mergeCell ref="R10:R40"/>
    <mergeCell ref="C11:E11"/>
    <mergeCell ref="C12:E12"/>
    <mergeCell ref="C13:E13"/>
    <mergeCell ref="C14:E14"/>
    <mergeCell ref="C15:E15"/>
    <mergeCell ref="C16:E16"/>
    <mergeCell ref="C17:E17"/>
    <mergeCell ref="C18:E18"/>
    <mergeCell ref="C19:E19"/>
    <mergeCell ref="C20:E20"/>
    <mergeCell ref="C21:E21"/>
    <mergeCell ref="C22:E22"/>
    <mergeCell ref="C23:E23"/>
    <mergeCell ref="C36:E36"/>
    <mergeCell ref="C25:E25"/>
    <mergeCell ref="L8:L9"/>
    <mergeCell ref="P8:P9"/>
    <mergeCell ref="Q8:Q9"/>
    <mergeCell ref="C24:E24"/>
    <mergeCell ref="C10:E10"/>
    <mergeCell ref="B3:V3"/>
    <mergeCell ref="S5:T5"/>
    <mergeCell ref="B7:B9"/>
    <mergeCell ref="C7:E9"/>
    <mergeCell ref="F7:F9"/>
    <mergeCell ref="G7:G9"/>
    <mergeCell ref="H7:H9"/>
    <mergeCell ref="I7:I9"/>
    <mergeCell ref="J7:L7"/>
    <mergeCell ref="M7:M9"/>
    <mergeCell ref="N7:N9"/>
    <mergeCell ref="R7:R9"/>
    <mergeCell ref="S7:S9"/>
    <mergeCell ref="T7:T9"/>
    <mergeCell ref="J8:J9"/>
    <mergeCell ref="K8:K9"/>
  </mergeCells>
  <phoneticPr fontId="1"/>
  <dataValidations count="3">
    <dataValidation type="list" allowBlank="1" showInputMessage="1" showErrorMessage="1" sqref="G11:G40" xr:uid="{201FA26A-F33B-4E10-BA66-4D69FD337936}">
      <formula1>"常勤職員,非常勤職員"</formula1>
    </dataValidation>
    <dataValidation type="list" allowBlank="1" showInputMessage="1" showErrorMessage="1" sqref="F11:F40" xr:uid="{5D054591-C234-4180-A089-B1904A7E6909}">
      <formula1>"放課後児童支援員,補助員,育成支援の周辺業務を行う職員,その他"</formula1>
    </dataValidation>
    <dataValidation type="list" allowBlank="1" showInputMessage="1" showErrorMessage="1" sqref="M11:M40" xr:uid="{039C2FB2-7674-4A45-8C86-93FE27CA6D54}">
      <formula1>"1,2,3,4,5,6,7,8,9,10,11,12"</formula1>
    </dataValidation>
  </dataValidations>
  <printOptions horizontalCentered="1"/>
  <pageMargins left="0.23622047244094491" right="0.23622047244094491" top="0.55118110236220474" bottom="0.55118110236220474" header="0.31496062992125984" footer="0.31496062992125984"/>
  <pageSetup paperSize="9" scale="5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F4525-CC26-4262-81B6-B1447E3B3261}">
  <sheetPr>
    <tabColor rgb="FFFFFF00"/>
  </sheetPr>
  <dimension ref="B1:C651"/>
  <sheetViews>
    <sheetView workbookViewId="0"/>
  </sheetViews>
  <sheetFormatPr defaultColWidth="9" defaultRowHeight="13.5"/>
  <cols>
    <col min="1" max="1" width="2.625" style="313" customWidth="1"/>
    <col min="2" max="2" width="25.875" style="357" customWidth="1"/>
    <col min="3" max="3" width="59.125" style="357" customWidth="1"/>
    <col min="4" max="171" width="2.625" style="313" customWidth="1"/>
    <col min="172" max="16384" width="9" style="313"/>
  </cols>
  <sheetData>
    <row r="1" spans="2:3" ht="18" customHeight="1">
      <c r="B1" s="356" t="s">
        <v>529</v>
      </c>
    </row>
    <row r="2" spans="2:3" ht="18" customHeight="1"/>
    <row r="3" spans="2:3" ht="18" customHeight="1"/>
    <row r="4" spans="2:3" ht="30" customHeight="1">
      <c r="B4" s="358" t="s">
        <v>530</v>
      </c>
      <c r="C4" s="359" t="s">
        <v>531</v>
      </c>
    </row>
    <row r="5" spans="2:3" ht="30" customHeight="1">
      <c r="B5" s="358" t="s">
        <v>532</v>
      </c>
      <c r="C5" s="359" t="s">
        <v>533</v>
      </c>
    </row>
    <row r="6" spans="2:3" ht="54">
      <c r="B6" s="358" t="s">
        <v>534</v>
      </c>
      <c r="C6" s="359" t="s">
        <v>535</v>
      </c>
    </row>
    <row r="7" spans="2:3" ht="67.5">
      <c r="B7" s="358" t="s">
        <v>536</v>
      </c>
      <c r="C7" s="359" t="s">
        <v>537</v>
      </c>
    </row>
    <row r="8" spans="2:3" ht="54">
      <c r="B8" s="358" t="s">
        <v>538</v>
      </c>
      <c r="C8" s="359" t="s">
        <v>539</v>
      </c>
    </row>
    <row r="9" spans="2:3" ht="30" customHeight="1">
      <c r="B9" s="358" t="s">
        <v>540</v>
      </c>
      <c r="C9" s="359" t="s">
        <v>541</v>
      </c>
    </row>
    <row r="10" spans="2:3" ht="67.5">
      <c r="B10" s="358" t="s">
        <v>542</v>
      </c>
      <c r="C10" s="359" t="s">
        <v>543</v>
      </c>
    </row>
    <row r="11" spans="2:3" ht="40.5">
      <c r="B11" s="358" t="s">
        <v>544</v>
      </c>
      <c r="C11" s="359" t="s">
        <v>545</v>
      </c>
    </row>
    <row r="12" spans="2:3" ht="108">
      <c r="B12" s="358" t="s">
        <v>546</v>
      </c>
      <c r="C12" s="359" t="s">
        <v>547</v>
      </c>
    </row>
    <row r="13" spans="2:3" ht="81">
      <c r="B13" s="358" t="s">
        <v>548</v>
      </c>
      <c r="C13" s="359" t="s">
        <v>549</v>
      </c>
    </row>
    <row r="14" spans="2:3" ht="81">
      <c r="B14" s="358" t="s">
        <v>550</v>
      </c>
      <c r="C14" s="359" t="s">
        <v>551</v>
      </c>
    </row>
    <row r="15" spans="2:3" ht="40.5">
      <c r="B15" s="358" t="s">
        <v>29</v>
      </c>
      <c r="C15" s="359" t="s">
        <v>552</v>
      </c>
    </row>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sheetData>
  <phoneticPr fontId="1"/>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K40"/>
  <sheetViews>
    <sheetView view="pageBreakPreview" topLeftCell="A13" zoomScaleNormal="100" zoomScaleSheetLayoutView="100" workbookViewId="0">
      <selection sqref="A1:K2"/>
    </sheetView>
  </sheetViews>
  <sheetFormatPr defaultColWidth="9" defaultRowHeight="17.25"/>
  <cols>
    <col min="1" max="1" width="5.5" style="17" customWidth="1"/>
    <col min="2" max="2" width="5.375" style="17" customWidth="1"/>
    <col min="3" max="16384" width="9" style="17"/>
  </cols>
  <sheetData>
    <row r="1" spans="1:11">
      <c r="A1" s="1170" t="s">
        <v>739</v>
      </c>
      <c r="B1" s="1170"/>
      <c r="C1" s="1170"/>
      <c r="D1" s="1170"/>
      <c r="E1" s="1170"/>
      <c r="F1" s="1170"/>
      <c r="G1" s="1170"/>
      <c r="H1" s="1170"/>
      <c r="I1" s="1170"/>
      <c r="J1" s="1170"/>
      <c r="K1" s="1170"/>
    </row>
    <row r="2" spans="1:11">
      <c r="A2" s="1170"/>
      <c r="B2" s="1170"/>
      <c r="C2" s="1170"/>
      <c r="D2" s="1170"/>
      <c r="E2" s="1170"/>
      <c r="F2" s="1170"/>
      <c r="G2" s="1170"/>
      <c r="H2" s="1170"/>
      <c r="I2" s="1170"/>
      <c r="J2" s="1170"/>
      <c r="K2" s="1170"/>
    </row>
    <row r="4" spans="1:11">
      <c r="A4" s="633" t="s">
        <v>120</v>
      </c>
      <c r="B4" s="633"/>
      <c r="C4" s="633"/>
      <c r="D4" s="633"/>
      <c r="E4" s="633"/>
      <c r="F4" s="633"/>
      <c r="G4" s="633"/>
      <c r="H4" s="633"/>
      <c r="I4" s="633"/>
      <c r="J4" s="633"/>
      <c r="K4" s="633"/>
    </row>
    <row r="5" spans="1:11">
      <c r="A5" s="633"/>
      <c r="B5" s="633"/>
      <c r="C5" s="633"/>
      <c r="D5" s="633"/>
      <c r="E5" s="633"/>
      <c r="F5" s="633"/>
      <c r="G5" s="633"/>
      <c r="H5" s="633"/>
      <c r="I5" s="633"/>
      <c r="J5" s="633"/>
      <c r="K5" s="633"/>
    </row>
    <row r="7" spans="1:11">
      <c r="G7" s="18" t="s">
        <v>1</v>
      </c>
      <c r="H7" s="634" t="str">
        <f>+'様式６（事業計画変更申請書）'!J10</f>
        <v>●●法人　●●●●</v>
      </c>
      <c r="I7" s="634"/>
      <c r="J7" s="634"/>
      <c r="K7" s="634"/>
    </row>
    <row r="8" spans="1:11">
      <c r="G8" s="18"/>
      <c r="H8" s="19"/>
      <c r="I8" s="19"/>
      <c r="J8" s="19"/>
      <c r="K8" s="19"/>
    </row>
    <row r="10" spans="1:11" ht="24" customHeight="1">
      <c r="B10" s="17" t="s">
        <v>115</v>
      </c>
    </row>
    <row r="11" spans="1:11" ht="10.5" customHeight="1">
      <c r="B11" s="1175" t="s">
        <v>738</v>
      </c>
      <c r="C11" s="1176"/>
      <c r="D11" s="1176"/>
      <c r="E11" s="1176"/>
      <c r="F11" s="1176"/>
      <c r="G11" s="1176"/>
      <c r="H11" s="1176"/>
      <c r="I11" s="1176"/>
      <c r="J11" s="1176"/>
      <c r="K11" s="1177"/>
    </row>
    <row r="12" spans="1:11" ht="24" customHeight="1">
      <c r="B12" s="1178"/>
      <c r="C12" s="1179"/>
      <c r="D12" s="1179"/>
      <c r="E12" s="1179"/>
      <c r="F12" s="1179"/>
      <c r="G12" s="1179"/>
      <c r="H12" s="1179"/>
      <c r="I12" s="1179"/>
      <c r="J12" s="1179"/>
      <c r="K12" s="1180"/>
    </row>
    <row r="13" spans="1:11" ht="24" customHeight="1">
      <c r="B13" s="1178"/>
      <c r="C13" s="1179"/>
      <c r="D13" s="1179"/>
      <c r="E13" s="1179"/>
      <c r="F13" s="1179"/>
      <c r="G13" s="1179"/>
      <c r="H13" s="1179"/>
      <c r="I13" s="1179"/>
      <c r="J13" s="1179"/>
      <c r="K13" s="1180"/>
    </row>
    <row r="14" spans="1:11" ht="24" customHeight="1">
      <c r="B14" s="1178"/>
      <c r="C14" s="1179"/>
      <c r="D14" s="1179"/>
      <c r="E14" s="1179"/>
      <c r="F14" s="1179"/>
      <c r="G14" s="1179"/>
      <c r="H14" s="1179"/>
      <c r="I14" s="1179"/>
      <c r="J14" s="1179"/>
      <c r="K14" s="1180"/>
    </row>
    <row r="15" spans="1:11" ht="24" customHeight="1">
      <c r="B15" s="1178"/>
      <c r="C15" s="1179"/>
      <c r="D15" s="1179"/>
      <c r="E15" s="1179"/>
      <c r="F15" s="1179"/>
      <c r="G15" s="1179"/>
      <c r="H15" s="1179"/>
      <c r="I15" s="1179"/>
      <c r="J15" s="1179"/>
      <c r="K15" s="1180"/>
    </row>
    <row r="16" spans="1:11" ht="12" customHeight="1">
      <c r="B16" s="1181"/>
      <c r="C16" s="1182"/>
      <c r="D16" s="1182"/>
      <c r="E16" s="1182"/>
      <c r="F16" s="1182"/>
      <c r="G16" s="1182"/>
      <c r="H16" s="1182"/>
      <c r="I16" s="1182"/>
      <c r="J16" s="1182"/>
      <c r="K16" s="1183"/>
    </row>
    <row r="17" spans="2:9" ht="24" customHeight="1"/>
    <row r="18" spans="2:9" ht="24" customHeight="1"/>
    <row r="19" spans="2:9" ht="24" customHeight="1"/>
    <row r="20" spans="2:9" ht="24" customHeight="1">
      <c r="B20" s="636" t="s">
        <v>116</v>
      </c>
      <c r="C20" s="636"/>
      <c r="D20" s="636"/>
      <c r="E20" s="1171">
        <v>45395</v>
      </c>
      <c r="F20" s="637"/>
      <c r="G20" s="637"/>
      <c r="H20" s="637"/>
      <c r="I20" s="637"/>
    </row>
    <row r="21" spans="2:9" ht="24" customHeight="1">
      <c r="B21" s="636"/>
      <c r="C21" s="636"/>
      <c r="D21" s="636"/>
      <c r="E21" s="637"/>
      <c r="F21" s="637"/>
      <c r="G21" s="637"/>
      <c r="H21" s="637"/>
      <c r="I21" s="637"/>
    </row>
    <row r="22" spans="2:9" ht="24" customHeight="1">
      <c r="B22" s="638" t="s">
        <v>618</v>
      </c>
      <c r="C22" s="638"/>
      <c r="D22" s="638"/>
      <c r="E22" s="638"/>
      <c r="F22" s="638"/>
      <c r="G22" s="638"/>
      <c r="H22" s="638"/>
      <c r="I22" s="638"/>
    </row>
    <row r="23" spans="2:9" ht="24" customHeight="1">
      <c r="B23" s="1172"/>
      <c r="C23" s="1172"/>
      <c r="D23" s="1172"/>
      <c r="E23" s="1172"/>
      <c r="F23" s="1172"/>
      <c r="G23" s="1172"/>
      <c r="H23" s="1172"/>
      <c r="I23" s="1172"/>
    </row>
    <row r="24" spans="2:9" ht="24" customHeight="1">
      <c r="B24" s="1173" t="s">
        <v>117</v>
      </c>
      <c r="C24" s="1173"/>
      <c r="D24" s="1173"/>
    </row>
    <row r="25" spans="2:9" ht="24" customHeight="1">
      <c r="B25" s="1174"/>
      <c r="C25" s="1174"/>
      <c r="D25" s="1174"/>
    </row>
    <row r="26" spans="2:9" ht="24" customHeight="1">
      <c r="B26" s="636" t="s">
        <v>119</v>
      </c>
      <c r="C26" s="636"/>
      <c r="D26" s="636"/>
      <c r="E26" s="637" t="s">
        <v>725</v>
      </c>
      <c r="F26" s="637"/>
      <c r="G26" s="637"/>
      <c r="H26" s="637"/>
      <c r="I26" s="637"/>
    </row>
    <row r="27" spans="2:9" ht="24" customHeight="1">
      <c r="B27" s="636"/>
      <c r="C27" s="636"/>
      <c r="D27" s="636"/>
      <c r="E27" s="637"/>
      <c r="F27" s="637"/>
      <c r="G27" s="637"/>
      <c r="H27" s="637"/>
      <c r="I27" s="637"/>
    </row>
    <row r="28" spans="2:9" ht="24" customHeight="1">
      <c r="B28" s="636" t="s">
        <v>118</v>
      </c>
      <c r="C28" s="636"/>
      <c r="D28" s="636"/>
      <c r="E28" s="637" t="s">
        <v>726</v>
      </c>
      <c r="F28" s="637"/>
      <c r="G28" s="637"/>
      <c r="H28" s="637"/>
      <c r="I28" s="637"/>
    </row>
    <row r="29" spans="2:9" ht="24" customHeight="1">
      <c r="B29" s="636"/>
      <c r="C29" s="636"/>
      <c r="D29" s="636"/>
      <c r="E29" s="637"/>
      <c r="F29" s="637"/>
      <c r="G29" s="637"/>
      <c r="H29" s="637"/>
      <c r="I29" s="637"/>
    </row>
    <row r="30" spans="2:9" ht="24" customHeight="1">
      <c r="B30" s="635" t="s">
        <v>121</v>
      </c>
      <c r="C30" s="636"/>
      <c r="D30" s="636"/>
      <c r="E30" s="637" t="s">
        <v>727</v>
      </c>
      <c r="F30" s="637"/>
      <c r="G30" s="637"/>
      <c r="H30" s="637"/>
      <c r="I30" s="637"/>
    </row>
    <row r="31" spans="2:9" ht="24" customHeight="1">
      <c r="B31" s="636"/>
      <c r="C31" s="636"/>
      <c r="D31" s="636"/>
      <c r="E31" s="637"/>
      <c r="F31" s="637"/>
      <c r="G31" s="637"/>
      <c r="H31" s="637"/>
      <c r="I31" s="637"/>
    </row>
    <row r="32" spans="2:9" ht="24" customHeight="1"/>
    <row r="33" ht="24" customHeight="1"/>
    <row r="34" ht="24" customHeight="1"/>
    <row r="35" ht="24" customHeight="1"/>
    <row r="36" ht="24" customHeight="1"/>
    <row r="37" ht="24" customHeight="1"/>
    <row r="38" ht="24" customHeight="1"/>
    <row r="39" ht="24" customHeight="1"/>
    <row r="40" ht="24" customHeight="1"/>
  </sheetData>
  <mergeCells count="14">
    <mergeCell ref="B30:D31"/>
    <mergeCell ref="E30:I31"/>
    <mergeCell ref="A1:K2"/>
    <mergeCell ref="A4:K5"/>
    <mergeCell ref="H7:K7"/>
    <mergeCell ref="B20:D21"/>
    <mergeCell ref="E20:I21"/>
    <mergeCell ref="B22:I23"/>
    <mergeCell ref="B24:D25"/>
    <mergeCell ref="B26:D27"/>
    <mergeCell ref="E26:I27"/>
    <mergeCell ref="B28:D29"/>
    <mergeCell ref="E28:I29"/>
    <mergeCell ref="B11:K16"/>
  </mergeCells>
  <phoneticPr fontId="1"/>
  <pageMargins left="0.51181102362204722" right="0.5118110236220472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pageSetUpPr fitToPage="1"/>
  </sheetPr>
  <dimension ref="A1:Z102"/>
  <sheetViews>
    <sheetView view="pageBreakPreview" topLeftCell="A21" zoomScaleNormal="100" zoomScaleSheetLayoutView="100" workbookViewId="0">
      <selection activeCell="J43" sqref="J43:Y43"/>
    </sheetView>
  </sheetViews>
  <sheetFormatPr defaultColWidth="9" defaultRowHeight="14.25"/>
  <cols>
    <col min="1" max="39" width="3.875" style="5" customWidth="1"/>
    <col min="40" max="44" width="9" style="5" customWidth="1"/>
    <col min="45" max="16384" width="9" style="5"/>
  </cols>
  <sheetData>
    <row r="1" spans="1:26">
      <c r="A1" s="5" t="s">
        <v>643</v>
      </c>
      <c r="V1" s="67"/>
      <c r="W1" s="67"/>
    </row>
    <row r="2" spans="1:26">
      <c r="V2" s="67"/>
      <c r="W2" s="67"/>
    </row>
    <row r="3" spans="1:26">
      <c r="V3" s="67"/>
      <c r="W3" s="67"/>
    </row>
    <row r="5" spans="1:26" ht="18.75">
      <c r="A5" s="1184" t="s">
        <v>69</v>
      </c>
      <c r="B5" s="1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row>
    <row r="6" spans="1:26">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row>
    <row r="7" spans="1:26" ht="15.75" customHeight="1">
      <c r="B7" s="6"/>
      <c r="C7" s="7"/>
      <c r="D7" s="7"/>
      <c r="E7" s="7"/>
      <c r="F7" s="7"/>
      <c r="G7" s="7"/>
      <c r="H7" s="7"/>
      <c r="I7" s="7"/>
      <c r="J7" s="7"/>
      <c r="K7" s="7"/>
      <c r="L7" s="7"/>
      <c r="M7" s="7"/>
      <c r="N7" s="7"/>
      <c r="O7" s="7"/>
      <c r="P7" s="7"/>
      <c r="Q7" s="7"/>
      <c r="R7" s="7"/>
      <c r="S7" s="7"/>
      <c r="T7" s="7"/>
      <c r="U7" s="7"/>
      <c r="V7" s="7"/>
      <c r="W7" s="7"/>
      <c r="X7" s="7"/>
      <c r="Y7" s="8"/>
    </row>
    <row r="8" spans="1:26" ht="15.75" customHeight="1">
      <c r="B8" s="9"/>
      <c r="C8" s="10"/>
      <c r="D8" s="10"/>
      <c r="E8" s="10"/>
      <c r="F8" s="10"/>
      <c r="G8" s="10"/>
      <c r="H8" s="10"/>
      <c r="I8" s="10"/>
      <c r="J8" s="10"/>
      <c r="K8" s="10"/>
      <c r="L8" s="10"/>
      <c r="M8" s="10"/>
      <c r="N8" s="10"/>
      <c r="O8" s="10"/>
      <c r="P8" s="10"/>
      <c r="Q8" s="10"/>
      <c r="R8" s="1189"/>
      <c r="S8" s="1189"/>
      <c r="T8" s="1189"/>
      <c r="U8" s="1189"/>
      <c r="V8" s="1189"/>
      <c r="W8" s="1189"/>
      <c r="X8" s="1189"/>
      <c r="Y8" s="154"/>
    </row>
    <row r="9" spans="1:26" ht="15.75" customHeight="1">
      <c r="B9" s="9"/>
      <c r="C9" s="10"/>
      <c r="D9" s="10"/>
      <c r="E9" s="10"/>
      <c r="F9" s="10"/>
      <c r="G9" s="10"/>
      <c r="H9" s="10"/>
      <c r="I9" s="10"/>
      <c r="J9" s="10"/>
      <c r="K9" s="10"/>
      <c r="L9" s="10"/>
      <c r="M9" s="10"/>
      <c r="N9" s="10"/>
      <c r="O9" s="10"/>
      <c r="P9" s="10"/>
      <c r="Q9" s="10"/>
      <c r="R9" s="10"/>
      <c r="S9" s="10"/>
      <c r="T9" s="10"/>
      <c r="U9" s="10"/>
      <c r="V9" s="10"/>
      <c r="W9" s="10"/>
      <c r="X9" s="10"/>
      <c r="Y9" s="11"/>
    </row>
    <row r="10" spans="1:26" ht="15.75" customHeight="1">
      <c r="B10" s="9"/>
      <c r="C10" s="10"/>
      <c r="D10" s="10"/>
      <c r="E10" s="10"/>
      <c r="F10" s="10"/>
      <c r="G10" s="10"/>
      <c r="H10" s="10"/>
      <c r="I10" s="10"/>
      <c r="J10" s="10"/>
      <c r="K10" s="10"/>
      <c r="L10" s="10"/>
      <c r="M10" s="10"/>
      <c r="N10" s="10"/>
      <c r="O10" s="10"/>
      <c r="P10" s="10"/>
      <c r="Q10" s="10"/>
      <c r="R10" s="10"/>
      <c r="S10" s="10"/>
      <c r="T10" s="10"/>
      <c r="U10" s="10"/>
      <c r="V10" s="10"/>
      <c r="W10" s="10"/>
      <c r="X10" s="10"/>
      <c r="Y10" s="11"/>
    </row>
    <row r="11" spans="1:26" ht="15.75" customHeight="1">
      <c r="B11" s="9"/>
      <c r="C11" s="10" t="s">
        <v>70</v>
      </c>
      <c r="D11" s="10"/>
      <c r="E11" s="10"/>
      <c r="F11" s="10"/>
      <c r="G11" s="10"/>
      <c r="H11" s="10"/>
      <c r="I11" s="10"/>
      <c r="J11" s="10"/>
      <c r="K11" s="10"/>
      <c r="L11" s="10"/>
      <c r="M11" s="10"/>
      <c r="N11" s="10"/>
      <c r="O11" s="10"/>
      <c r="P11" s="10"/>
      <c r="Q11" s="10"/>
      <c r="R11" s="10"/>
      <c r="S11" s="10"/>
      <c r="T11" s="10"/>
      <c r="U11" s="10"/>
      <c r="V11" s="10"/>
      <c r="W11" s="10"/>
      <c r="X11" s="10"/>
      <c r="Y11" s="11"/>
    </row>
    <row r="12" spans="1:26" ht="15.75" customHeight="1">
      <c r="B12" s="9"/>
      <c r="C12" s="10"/>
      <c r="D12" s="10"/>
      <c r="E12" s="10"/>
      <c r="F12" s="10"/>
      <c r="G12" s="10"/>
      <c r="H12" s="10"/>
      <c r="I12" s="10"/>
      <c r="J12" s="10"/>
      <c r="K12" s="10"/>
      <c r="L12" s="10"/>
      <c r="M12" s="10"/>
      <c r="N12" s="10"/>
      <c r="O12" s="10"/>
      <c r="P12" s="10"/>
      <c r="Q12" s="10"/>
      <c r="R12" s="10"/>
      <c r="S12" s="10"/>
      <c r="T12" s="10"/>
      <c r="U12" s="10"/>
      <c r="V12" s="10"/>
      <c r="W12" s="10"/>
      <c r="X12" s="10"/>
      <c r="Y12" s="11"/>
    </row>
    <row r="13" spans="1:26" ht="15.75" customHeight="1">
      <c r="B13" s="9"/>
      <c r="C13" s="10"/>
      <c r="D13" s="10"/>
      <c r="E13" s="10"/>
      <c r="F13" s="10"/>
      <c r="G13" s="10"/>
      <c r="H13" s="10"/>
      <c r="I13" s="10"/>
      <c r="J13" s="10"/>
      <c r="K13" s="10"/>
      <c r="L13" s="10"/>
      <c r="M13" s="10"/>
      <c r="N13" s="10"/>
      <c r="O13" s="10"/>
      <c r="P13" s="10"/>
      <c r="Q13" s="10"/>
      <c r="R13" s="10"/>
      <c r="S13" s="10"/>
      <c r="T13" s="10"/>
      <c r="U13" s="10"/>
      <c r="V13" s="10"/>
      <c r="W13" s="10"/>
      <c r="X13" s="10"/>
      <c r="Y13" s="11"/>
    </row>
    <row r="14" spans="1:26" ht="15.75" customHeight="1">
      <c r="B14" s="9"/>
      <c r="C14" s="1015" t="s">
        <v>71</v>
      </c>
      <c r="D14" s="1015"/>
      <c r="E14" s="1015"/>
      <c r="F14" s="1015"/>
      <c r="G14" s="1186" t="str">
        <f>+'様式６（事業計画変更申請書）'!J9</f>
        <v>横須賀市小川町●●</v>
      </c>
      <c r="H14" s="1186"/>
      <c r="I14" s="1186"/>
      <c r="J14" s="1186"/>
      <c r="K14" s="1186"/>
      <c r="L14" s="1186"/>
      <c r="M14" s="1186"/>
      <c r="N14" s="1186"/>
      <c r="O14" s="1186"/>
      <c r="P14" s="1186"/>
      <c r="Q14" s="155"/>
      <c r="R14" s="155"/>
      <c r="S14" s="155"/>
      <c r="T14" s="155"/>
      <c r="U14" s="155"/>
      <c r="V14" s="155"/>
      <c r="W14" s="10"/>
      <c r="X14" s="10"/>
      <c r="Y14" s="11"/>
    </row>
    <row r="15" spans="1:26" ht="15.75" customHeight="1">
      <c r="B15" s="9"/>
      <c r="C15" s="1015"/>
      <c r="D15" s="1015"/>
      <c r="E15" s="1015"/>
      <c r="F15" s="1015"/>
      <c r="G15" s="1186"/>
      <c r="H15" s="1186"/>
      <c r="I15" s="1186"/>
      <c r="J15" s="1186"/>
      <c r="K15" s="1186"/>
      <c r="L15" s="1186"/>
      <c r="M15" s="1186"/>
      <c r="N15" s="1186"/>
      <c r="O15" s="1186"/>
      <c r="P15" s="1186"/>
      <c r="Q15" s="155"/>
      <c r="R15" s="155"/>
      <c r="S15" s="155"/>
      <c r="T15" s="155"/>
      <c r="U15" s="155"/>
      <c r="V15" s="155"/>
      <c r="W15" s="10"/>
      <c r="X15" s="10"/>
      <c r="Y15" s="11"/>
    </row>
    <row r="16" spans="1:26" ht="15.75" customHeight="1">
      <c r="B16" s="9"/>
      <c r="C16" s="155"/>
      <c r="D16" s="155"/>
      <c r="E16" s="155"/>
      <c r="F16" s="155"/>
      <c r="G16" s="155"/>
      <c r="H16" s="155"/>
      <c r="I16" s="155"/>
      <c r="J16" s="155"/>
      <c r="K16" s="155"/>
      <c r="L16" s="155"/>
      <c r="M16" s="155"/>
      <c r="N16" s="155"/>
      <c r="O16" s="155"/>
      <c r="P16" s="155"/>
      <c r="Q16" s="155"/>
      <c r="R16" s="155"/>
      <c r="S16" s="155"/>
      <c r="T16" s="155"/>
      <c r="U16" s="155"/>
      <c r="V16" s="155"/>
      <c r="W16" s="10"/>
      <c r="X16" s="10"/>
      <c r="Y16" s="11"/>
    </row>
    <row r="17" spans="2:25" ht="14.25" customHeight="1">
      <c r="B17" s="9"/>
      <c r="C17" s="1015" t="s">
        <v>57</v>
      </c>
      <c r="D17" s="1015"/>
      <c r="E17" s="1015"/>
      <c r="F17" s="1185" t="s">
        <v>1</v>
      </c>
      <c r="G17" s="1185"/>
      <c r="H17" s="1185"/>
      <c r="I17" s="1185"/>
      <c r="J17" s="1186" t="str">
        <f>+'様式６（事業計画変更申請書）'!J10</f>
        <v>●●法人　●●●●</v>
      </c>
      <c r="K17" s="1186"/>
      <c r="L17" s="1186"/>
      <c r="M17" s="1186"/>
      <c r="N17" s="1186"/>
      <c r="O17" s="1186"/>
      <c r="P17" s="1186"/>
      <c r="Q17" s="1186"/>
      <c r="R17" s="1186"/>
      <c r="S17" s="1186"/>
      <c r="T17" s="1186"/>
      <c r="U17" s="155"/>
      <c r="V17" s="155"/>
      <c r="W17" s="10"/>
      <c r="X17" s="10"/>
      <c r="Y17" s="11"/>
    </row>
    <row r="18" spans="2:25" ht="14.25" customHeight="1">
      <c r="B18" s="9"/>
      <c r="C18" s="1015"/>
      <c r="D18" s="1015"/>
      <c r="E18" s="1015"/>
      <c r="F18" s="1185"/>
      <c r="G18" s="1185"/>
      <c r="H18" s="1185"/>
      <c r="I18" s="1185"/>
      <c r="J18" s="1186"/>
      <c r="K18" s="1186"/>
      <c r="L18" s="1186"/>
      <c r="M18" s="1186"/>
      <c r="N18" s="1186"/>
      <c r="O18" s="1186"/>
      <c r="P18" s="1186"/>
      <c r="Q18" s="1186"/>
      <c r="R18" s="1186"/>
      <c r="S18" s="1186"/>
      <c r="T18" s="1186"/>
      <c r="U18" s="156"/>
      <c r="V18" s="156"/>
      <c r="W18" s="10"/>
      <c r="X18" s="10"/>
      <c r="Y18" s="11"/>
    </row>
    <row r="19" spans="2:25" ht="14.25" customHeight="1">
      <c r="B19" s="9"/>
      <c r="C19" s="1015"/>
      <c r="D19" s="1015"/>
      <c r="E19" s="1015"/>
      <c r="F19" s="1185" t="s">
        <v>56</v>
      </c>
      <c r="G19" s="1185"/>
      <c r="H19" s="1185"/>
      <c r="I19" s="1185"/>
      <c r="J19" s="997" t="s">
        <v>168</v>
      </c>
      <c r="K19" s="997"/>
      <c r="L19" s="1186" t="str">
        <f>+'様式６（事業計画変更申請書）'!L11</f>
        <v>理事長　</v>
      </c>
      <c r="M19" s="1186"/>
      <c r="N19" s="1186"/>
      <c r="O19" s="1186"/>
      <c r="P19" s="1186"/>
      <c r="Q19" s="1186"/>
      <c r="R19" s="1186"/>
      <c r="S19" s="1186"/>
      <c r="T19" s="1186"/>
      <c r="U19" s="156"/>
      <c r="V19" s="156"/>
      <c r="W19" s="10"/>
      <c r="X19" s="10"/>
      <c r="Y19" s="11"/>
    </row>
    <row r="20" spans="2:25" ht="14.25" customHeight="1">
      <c r="B20" s="9"/>
      <c r="C20" s="1015"/>
      <c r="D20" s="1015"/>
      <c r="E20" s="1015"/>
      <c r="F20" s="1185"/>
      <c r="G20" s="1185"/>
      <c r="H20" s="1185"/>
      <c r="I20" s="1185"/>
      <c r="J20" s="997"/>
      <c r="K20" s="997"/>
      <c r="L20" s="1187"/>
      <c r="M20" s="1187"/>
      <c r="N20" s="1187"/>
      <c r="O20" s="1187"/>
      <c r="P20" s="1187"/>
      <c r="Q20" s="1187"/>
      <c r="R20" s="1187"/>
      <c r="S20" s="1187"/>
      <c r="T20" s="1187"/>
      <c r="U20" s="157"/>
      <c r="V20" s="157"/>
      <c r="W20" s="10"/>
      <c r="X20" s="10"/>
      <c r="Y20" s="11"/>
    </row>
    <row r="21" spans="2:25" ht="14.25" customHeight="1">
      <c r="B21" s="9"/>
      <c r="C21" s="1015"/>
      <c r="D21" s="1015"/>
      <c r="E21" s="1015"/>
      <c r="F21" s="1185"/>
      <c r="G21" s="1185"/>
      <c r="H21" s="1185"/>
      <c r="I21" s="1185"/>
      <c r="J21" s="997" t="s">
        <v>167</v>
      </c>
      <c r="K21" s="997"/>
      <c r="L21" s="1188" t="str">
        <f>+'様式６（事業計画変更申請書）'!L13</f>
        <v>●●　●●</v>
      </c>
      <c r="M21" s="1188"/>
      <c r="N21" s="1188"/>
      <c r="O21" s="1188"/>
      <c r="P21" s="1188"/>
      <c r="Q21" s="1188"/>
      <c r="R21" s="1188"/>
      <c r="S21" s="1188"/>
      <c r="T21" s="1188"/>
      <c r="U21" s="157"/>
      <c r="V21" s="157"/>
      <c r="W21" s="10"/>
      <c r="X21" s="10"/>
      <c r="Y21" s="11"/>
    </row>
    <row r="22" spans="2:25" ht="14.25" customHeight="1">
      <c r="B22" s="9"/>
      <c r="C22" s="1015"/>
      <c r="D22" s="1015"/>
      <c r="E22" s="1015"/>
      <c r="F22" s="1185"/>
      <c r="G22" s="1185"/>
      <c r="H22" s="1185"/>
      <c r="I22" s="1185"/>
      <c r="J22" s="997"/>
      <c r="K22" s="997"/>
      <c r="L22" s="1186"/>
      <c r="M22" s="1186"/>
      <c r="N22" s="1186"/>
      <c r="O22" s="1186"/>
      <c r="P22" s="1186"/>
      <c r="Q22" s="1186"/>
      <c r="R22" s="1186"/>
      <c r="S22" s="1186"/>
      <c r="T22" s="1186"/>
      <c r="U22" s="157"/>
      <c r="V22" s="157"/>
      <c r="W22" s="10"/>
      <c r="X22" s="10"/>
      <c r="Y22" s="11"/>
    </row>
    <row r="23" spans="2:25" ht="15.75" customHeight="1">
      <c r="B23" s="9"/>
      <c r="C23" s="10"/>
      <c r="D23" s="10"/>
      <c r="E23" s="10"/>
      <c r="F23" s="10"/>
      <c r="G23" s="10"/>
      <c r="H23" s="10"/>
      <c r="I23" s="10"/>
      <c r="J23" s="10"/>
      <c r="K23" s="10"/>
      <c r="L23" s="10"/>
      <c r="M23" s="10"/>
      <c r="N23" s="10"/>
      <c r="O23" s="10"/>
      <c r="P23" s="10"/>
      <c r="Q23" s="10"/>
      <c r="R23" s="10"/>
      <c r="S23" s="10"/>
      <c r="T23" s="10"/>
      <c r="U23" s="10"/>
      <c r="V23" s="10"/>
      <c r="W23" s="10"/>
      <c r="X23" s="10"/>
      <c r="Y23" s="11"/>
    </row>
    <row r="24" spans="2:25" ht="15.75" customHeight="1">
      <c r="B24" s="968" t="s">
        <v>72</v>
      </c>
      <c r="C24" s="968"/>
      <c r="D24" s="968"/>
      <c r="E24" s="968"/>
      <c r="F24" s="968"/>
      <c r="G24" s="968"/>
      <c r="H24" s="968"/>
      <c r="I24" s="968"/>
      <c r="J24" s="968" t="s">
        <v>169</v>
      </c>
      <c r="K24" s="968"/>
      <c r="L24" s="968"/>
      <c r="M24" s="968"/>
      <c r="N24" s="968"/>
      <c r="O24" s="968"/>
      <c r="P24" s="968"/>
      <c r="Q24" s="968"/>
      <c r="R24" s="968"/>
      <c r="S24" s="968"/>
      <c r="T24" s="968"/>
      <c r="U24" s="968"/>
      <c r="V24" s="968"/>
      <c r="W24" s="968"/>
      <c r="X24" s="968"/>
      <c r="Y24" s="968"/>
    </row>
    <row r="25" spans="2:25" ht="15.75" customHeight="1">
      <c r="B25" s="968"/>
      <c r="C25" s="968"/>
      <c r="D25" s="968"/>
      <c r="E25" s="968"/>
      <c r="F25" s="968"/>
      <c r="G25" s="968"/>
      <c r="H25" s="968"/>
      <c r="I25" s="968"/>
      <c r="J25" s="968"/>
      <c r="K25" s="968"/>
      <c r="L25" s="968"/>
      <c r="M25" s="968"/>
      <c r="N25" s="968"/>
      <c r="O25" s="968"/>
      <c r="P25" s="968"/>
      <c r="Q25" s="968"/>
      <c r="R25" s="968"/>
      <c r="S25" s="968"/>
      <c r="T25" s="968"/>
      <c r="U25" s="968"/>
      <c r="V25" s="968"/>
      <c r="W25" s="968"/>
      <c r="X25" s="968"/>
      <c r="Y25" s="968"/>
    </row>
    <row r="26" spans="2:25" ht="15.75" customHeight="1">
      <c r="B26" s="968"/>
      <c r="C26" s="968"/>
      <c r="D26" s="968"/>
      <c r="E26" s="968"/>
      <c r="F26" s="968"/>
      <c r="G26" s="968"/>
      <c r="H26" s="968"/>
      <c r="I26" s="968"/>
      <c r="J26" s="968"/>
      <c r="K26" s="968"/>
      <c r="L26" s="968"/>
      <c r="M26" s="968"/>
      <c r="N26" s="968"/>
      <c r="O26" s="968"/>
      <c r="P26" s="968"/>
      <c r="Q26" s="968"/>
      <c r="R26" s="968"/>
      <c r="S26" s="968"/>
      <c r="T26" s="968"/>
      <c r="U26" s="968"/>
      <c r="V26" s="968"/>
      <c r="W26" s="968"/>
      <c r="X26" s="968"/>
      <c r="Y26" s="968"/>
    </row>
    <row r="27" spans="2:25" ht="15.75" customHeight="1">
      <c r="B27" s="968" t="s">
        <v>73</v>
      </c>
      <c r="C27" s="968"/>
      <c r="D27" s="968"/>
      <c r="E27" s="968"/>
      <c r="F27" s="968"/>
      <c r="G27" s="968"/>
      <c r="H27" s="968"/>
      <c r="I27" s="968"/>
      <c r="J27" s="1197">
        <f>'様式６（事業計画変更申請書）'!P38</f>
        <v>12183600</v>
      </c>
      <c r="K27" s="1198"/>
      <c r="L27" s="1198"/>
      <c r="M27" s="1198"/>
      <c r="N27" s="1198"/>
      <c r="O27" s="1198"/>
      <c r="P27" s="1198"/>
      <c r="Q27" s="1198"/>
      <c r="R27" s="1198"/>
      <c r="S27" s="1198"/>
      <c r="T27" s="1198"/>
      <c r="U27" s="1198"/>
      <c r="V27" s="1198"/>
      <c r="W27" s="1203" t="s">
        <v>0</v>
      </c>
      <c r="X27" s="1203"/>
      <c r="Y27" s="1204"/>
    </row>
    <row r="28" spans="2:25" ht="15.75" customHeight="1">
      <c r="B28" s="968"/>
      <c r="C28" s="968"/>
      <c r="D28" s="968"/>
      <c r="E28" s="968"/>
      <c r="F28" s="968"/>
      <c r="G28" s="968"/>
      <c r="H28" s="968"/>
      <c r="I28" s="968"/>
      <c r="J28" s="1199"/>
      <c r="K28" s="1200"/>
      <c r="L28" s="1200"/>
      <c r="M28" s="1200"/>
      <c r="N28" s="1200"/>
      <c r="O28" s="1200"/>
      <c r="P28" s="1200"/>
      <c r="Q28" s="1200"/>
      <c r="R28" s="1200"/>
      <c r="S28" s="1200"/>
      <c r="T28" s="1200"/>
      <c r="U28" s="1200"/>
      <c r="V28" s="1200"/>
      <c r="W28" s="1205"/>
      <c r="X28" s="1205"/>
      <c r="Y28" s="1206"/>
    </row>
    <row r="29" spans="2:25" ht="15.75" customHeight="1">
      <c r="B29" s="968"/>
      <c r="C29" s="968"/>
      <c r="D29" s="968"/>
      <c r="E29" s="968"/>
      <c r="F29" s="968"/>
      <c r="G29" s="968"/>
      <c r="H29" s="968"/>
      <c r="I29" s="968"/>
      <c r="J29" s="1201"/>
      <c r="K29" s="1202"/>
      <c r="L29" s="1202"/>
      <c r="M29" s="1202"/>
      <c r="N29" s="1202"/>
      <c r="O29" s="1202"/>
      <c r="P29" s="1202"/>
      <c r="Q29" s="1202"/>
      <c r="R29" s="1202"/>
      <c r="S29" s="1202"/>
      <c r="T29" s="1202"/>
      <c r="U29" s="1202"/>
      <c r="V29" s="1202"/>
      <c r="W29" s="1207"/>
      <c r="X29" s="1207"/>
      <c r="Y29" s="1208"/>
    </row>
    <row r="30" spans="2:25" ht="15.75" customHeight="1">
      <c r="B30" s="968" t="s">
        <v>74</v>
      </c>
      <c r="C30" s="968"/>
      <c r="D30" s="968"/>
      <c r="E30" s="968"/>
      <c r="F30" s="968"/>
      <c r="G30" s="968"/>
      <c r="H30" s="968"/>
      <c r="I30" s="968"/>
      <c r="J30" s="1209">
        <f>+J27</f>
        <v>12183600</v>
      </c>
      <c r="K30" s="1210"/>
      <c r="L30" s="1210"/>
      <c r="M30" s="1210"/>
      <c r="N30" s="1210"/>
      <c r="O30" s="1210"/>
      <c r="P30" s="1210"/>
      <c r="Q30" s="1210"/>
      <c r="R30" s="1210"/>
      <c r="S30" s="1210"/>
      <c r="T30" s="1210"/>
      <c r="U30" s="1210"/>
      <c r="V30" s="1210"/>
      <c r="W30" s="1203" t="s">
        <v>0</v>
      </c>
      <c r="X30" s="1203"/>
      <c r="Y30" s="1204"/>
    </row>
    <row r="31" spans="2:25" ht="15.75" customHeight="1">
      <c r="B31" s="968"/>
      <c r="C31" s="968"/>
      <c r="D31" s="968"/>
      <c r="E31" s="968"/>
      <c r="F31" s="968"/>
      <c r="G31" s="968"/>
      <c r="H31" s="968"/>
      <c r="I31" s="968"/>
      <c r="J31" s="1211"/>
      <c r="K31" s="997"/>
      <c r="L31" s="997"/>
      <c r="M31" s="997"/>
      <c r="N31" s="997"/>
      <c r="O31" s="997"/>
      <c r="P31" s="997"/>
      <c r="Q31" s="997"/>
      <c r="R31" s="997"/>
      <c r="S31" s="997"/>
      <c r="T31" s="997"/>
      <c r="U31" s="997"/>
      <c r="V31" s="997"/>
      <c r="W31" s="1205"/>
      <c r="X31" s="1205"/>
      <c r="Y31" s="1206"/>
    </row>
    <row r="32" spans="2:25" ht="15.75" customHeight="1">
      <c r="B32" s="968"/>
      <c r="C32" s="968"/>
      <c r="D32" s="968"/>
      <c r="E32" s="968"/>
      <c r="F32" s="968"/>
      <c r="G32" s="968"/>
      <c r="H32" s="968"/>
      <c r="I32" s="968"/>
      <c r="J32" s="1212"/>
      <c r="K32" s="998"/>
      <c r="L32" s="998"/>
      <c r="M32" s="998"/>
      <c r="N32" s="998"/>
      <c r="O32" s="998"/>
      <c r="P32" s="998"/>
      <c r="Q32" s="998"/>
      <c r="R32" s="998"/>
      <c r="S32" s="998"/>
      <c r="T32" s="998"/>
      <c r="U32" s="998"/>
      <c r="V32" s="998"/>
      <c r="W32" s="1207"/>
      <c r="X32" s="1207"/>
      <c r="Y32" s="1208"/>
    </row>
    <row r="33" spans="2:25" ht="15.75" customHeight="1">
      <c r="B33" s="968" t="s">
        <v>75</v>
      </c>
      <c r="C33" s="968"/>
      <c r="D33" s="968"/>
      <c r="E33" s="968"/>
      <c r="F33" s="968"/>
      <c r="G33" s="968"/>
      <c r="H33" s="968"/>
      <c r="I33" s="968"/>
      <c r="J33" s="1213">
        <v>45382</v>
      </c>
      <c r="K33" s="968"/>
      <c r="L33" s="968"/>
      <c r="M33" s="968"/>
      <c r="N33" s="968"/>
      <c r="O33" s="968"/>
      <c r="P33" s="968"/>
      <c r="Q33" s="968"/>
      <c r="R33" s="968"/>
      <c r="S33" s="968"/>
      <c r="T33" s="968"/>
      <c r="U33" s="968"/>
      <c r="V33" s="968"/>
      <c r="W33" s="968"/>
      <c r="X33" s="968"/>
      <c r="Y33" s="968"/>
    </row>
    <row r="34" spans="2:25" ht="15.75" customHeight="1">
      <c r="B34" s="968"/>
      <c r="C34" s="968"/>
      <c r="D34" s="968"/>
      <c r="E34" s="968"/>
      <c r="F34" s="968"/>
      <c r="G34" s="968"/>
      <c r="H34" s="968"/>
      <c r="I34" s="968"/>
      <c r="J34" s="1213"/>
      <c r="K34" s="968"/>
      <c r="L34" s="968"/>
      <c r="M34" s="968"/>
      <c r="N34" s="968"/>
      <c r="O34" s="968"/>
      <c r="P34" s="968"/>
      <c r="Q34" s="968"/>
      <c r="R34" s="968"/>
      <c r="S34" s="968"/>
      <c r="T34" s="968"/>
      <c r="U34" s="968"/>
      <c r="V34" s="968"/>
      <c r="W34" s="968"/>
      <c r="X34" s="968"/>
      <c r="Y34" s="968"/>
    </row>
    <row r="35" spans="2:25" ht="15.75" customHeight="1">
      <c r="B35" s="968"/>
      <c r="C35" s="968"/>
      <c r="D35" s="968"/>
      <c r="E35" s="968"/>
      <c r="F35" s="968"/>
      <c r="G35" s="968"/>
      <c r="H35" s="968"/>
      <c r="I35" s="968"/>
      <c r="J35" s="968"/>
      <c r="K35" s="968"/>
      <c r="L35" s="968"/>
      <c r="M35" s="968"/>
      <c r="N35" s="968"/>
      <c r="O35" s="968"/>
      <c r="P35" s="968"/>
      <c r="Q35" s="968"/>
      <c r="R35" s="968"/>
      <c r="S35" s="968"/>
      <c r="T35" s="968"/>
      <c r="U35" s="968"/>
      <c r="V35" s="968"/>
      <c r="W35" s="968"/>
      <c r="X35" s="968"/>
      <c r="Y35" s="968"/>
    </row>
    <row r="36" spans="2:25" ht="15.75" customHeight="1">
      <c r="B36" s="968" t="s">
        <v>76</v>
      </c>
      <c r="C36" s="968"/>
      <c r="D36" s="968"/>
      <c r="E36" s="968"/>
      <c r="F36" s="968"/>
      <c r="G36" s="968"/>
      <c r="H36" s="968"/>
      <c r="I36" s="968"/>
      <c r="J36" s="968" t="s">
        <v>79</v>
      </c>
      <c r="K36" s="968"/>
      <c r="L36" s="968"/>
      <c r="M36" s="968"/>
      <c r="N36" s="968"/>
      <c r="O36" s="968"/>
      <c r="P36" s="968"/>
      <c r="Q36" s="968"/>
      <c r="R36" s="968"/>
      <c r="S36" s="968"/>
      <c r="T36" s="968"/>
      <c r="U36" s="968"/>
      <c r="V36" s="968"/>
      <c r="W36" s="968"/>
      <c r="X36" s="968"/>
      <c r="Y36" s="968"/>
    </row>
    <row r="37" spans="2:25" ht="15.75" customHeight="1">
      <c r="B37" s="968"/>
      <c r="C37" s="968"/>
      <c r="D37" s="968"/>
      <c r="E37" s="968"/>
      <c r="F37" s="968"/>
      <c r="G37" s="968"/>
      <c r="H37" s="968"/>
      <c r="I37" s="968"/>
      <c r="J37" s="968"/>
      <c r="K37" s="968"/>
      <c r="L37" s="968"/>
      <c r="M37" s="968"/>
      <c r="N37" s="968"/>
      <c r="O37" s="968"/>
      <c r="P37" s="968"/>
      <c r="Q37" s="968"/>
      <c r="R37" s="968"/>
      <c r="S37" s="968"/>
      <c r="T37" s="968"/>
      <c r="U37" s="968"/>
      <c r="V37" s="968"/>
      <c r="W37" s="968"/>
      <c r="X37" s="968"/>
      <c r="Y37" s="968"/>
    </row>
    <row r="38" spans="2:25" ht="15.75" customHeight="1">
      <c r="B38" s="968"/>
      <c r="C38" s="968"/>
      <c r="D38" s="968"/>
      <c r="E38" s="968"/>
      <c r="F38" s="968"/>
      <c r="G38" s="968"/>
      <c r="H38" s="968"/>
      <c r="I38" s="968"/>
      <c r="J38" s="969"/>
      <c r="K38" s="969"/>
      <c r="L38" s="969"/>
      <c r="M38" s="969"/>
      <c r="N38" s="969"/>
      <c r="O38" s="969"/>
      <c r="P38" s="969"/>
      <c r="Q38" s="969"/>
      <c r="R38" s="969"/>
      <c r="S38" s="969"/>
      <c r="T38" s="969"/>
      <c r="U38" s="969"/>
      <c r="V38" s="969"/>
      <c r="W38" s="969"/>
      <c r="X38" s="969"/>
      <c r="Y38" s="969"/>
    </row>
    <row r="39" spans="2:25" ht="15.75" customHeight="1">
      <c r="B39" s="968" t="s">
        <v>77</v>
      </c>
      <c r="C39" s="968"/>
      <c r="D39" s="968"/>
      <c r="E39" s="968"/>
      <c r="F39" s="968"/>
      <c r="G39" s="968"/>
      <c r="H39" s="968"/>
      <c r="I39" s="968"/>
      <c r="J39" s="1214"/>
      <c r="K39" s="1030"/>
      <c r="L39" s="1030"/>
      <c r="M39" s="1030"/>
      <c r="N39" s="1030"/>
      <c r="O39" s="1030"/>
      <c r="P39" s="1030"/>
      <c r="Q39" s="1030"/>
      <c r="R39" s="1030"/>
      <c r="S39" s="1030"/>
      <c r="T39" s="1030"/>
      <c r="U39" s="1030"/>
      <c r="V39" s="1030"/>
      <c r="W39" s="1030"/>
      <c r="X39" s="1030"/>
      <c r="Y39" s="1031"/>
    </row>
    <row r="40" spans="2:25" ht="15.75" customHeight="1">
      <c r="B40" s="968"/>
      <c r="C40" s="968"/>
      <c r="D40" s="968"/>
      <c r="E40" s="968"/>
      <c r="F40" s="968"/>
      <c r="G40" s="968"/>
      <c r="H40" s="968"/>
      <c r="I40" s="968"/>
      <c r="J40" s="1017"/>
      <c r="K40" s="1012"/>
      <c r="L40" s="1012"/>
      <c r="M40" s="1012"/>
      <c r="N40" s="1012"/>
      <c r="O40" s="1012"/>
      <c r="P40" s="1012"/>
      <c r="Q40" s="1012"/>
      <c r="R40" s="1012"/>
      <c r="S40" s="1012"/>
      <c r="T40" s="1012"/>
      <c r="U40" s="1012"/>
      <c r="V40" s="1012"/>
      <c r="W40" s="1012"/>
      <c r="X40" s="1012"/>
      <c r="Y40" s="1013"/>
    </row>
    <row r="41" spans="2:25" ht="15.75" customHeight="1">
      <c r="B41" s="968"/>
      <c r="C41" s="968"/>
      <c r="D41" s="968"/>
      <c r="E41" s="968"/>
      <c r="F41" s="968"/>
      <c r="G41" s="968"/>
      <c r="H41" s="968"/>
      <c r="I41" s="968"/>
      <c r="J41" s="1017"/>
      <c r="K41" s="1012"/>
      <c r="L41" s="1012"/>
      <c r="M41" s="1012"/>
      <c r="N41" s="1012"/>
      <c r="O41" s="1012"/>
      <c r="P41" s="1012"/>
      <c r="Q41" s="1012"/>
      <c r="R41" s="1012"/>
      <c r="S41" s="1012"/>
      <c r="T41" s="1012"/>
      <c r="U41" s="1012"/>
      <c r="V41" s="1012"/>
      <c r="W41" s="1012"/>
      <c r="X41" s="1012"/>
      <c r="Y41" s="1013"/>
    </row>
    <row r="42" spans="2:25" ht="15.75" customHeight="1">
      <c r="B42" s="968"/>
      <c r="C42" s="968"/>
      <c r="D42" s="968"/>
      <c r="E42" s="968"/>
      <c r="F42" s="968"/>
      <c r="G42" s="968"/>
      <c r="H42" s="968"/>
      <c r="I42" s="968"/>
      <c r="J42" s="1017"/>
      <c r="K42" s="1012"/>
      <c r="L42" s="1012"/>
      <c r="M42" s="1012"/>
      <c r="N42" s="1012"/>
      <c r="O42" s="1012"/>
      <c r="P42" s="1012"/>
      <c r="Q42" s="1012"/>
      <c r="R42" s="1012"/>
      <c r="S42" s="1012"/>
      <c r="T42" s="1012"/>
      <c r="U42" s="1012"/>
      <c r="V42" s="1012"/>
      <c r="W42" s="1012"/>
      <c r="X42" s="1012"/>
      <c r="Y42" s="1013"/>
    </row>
    <row r="43" spans="2:25" ht="15.75" customHeight="1">
      <c r="B43" s="968"/>
      <c r="C43" s="968"/>
      <c r="D43" s="968"/>
      <c r="E43" s="968"/>
      <c r="F43" s="968"/>
      <c r="G43" s="968"/>
      <c r="H43" s="968"/>
      <c r="I43" s="968"/>
      <c r="J43" s="1017"/>
      <c r="K43" s="1012"/>
      <c r="L43" s="1012"/>
      <c r="M43" s="1012"/>
      <c r="N43" s="1012"/>
      <c r="O43" s="1012"/>
      <c r="P43" s="1012"/>
      <c r="Q43" s="1012"/>
      <c r="R43" s="1012"/>
      <c r="S43" s="1012"/>
      <c r="T43" s="1012"/>
      <c r="U43" s="1012"/>
      <c r="V43" s="1012"/>
      <c r="W43" s="1012"/>
      <c r="X43" s="1012"/>
      <c r="Y43" s="1013"/>
    </row>
    <row r="44" spans="2:25" ht="15.75" customHeight="1">
      <c r="B44" s="968"/>
      <c r="C44" s="968"/>
      <c r="D44" s="968"/>
      <c r="E44" s="968"/>
      <c r="F44" s="968"/>
      <c r="G44" s="968"/>
      <c r="H44" s="968"/>
      <c r="I44" s="968"/>
      <c r="J44" s="1017"/>
      <c r="K44" s="1012"/>
      <c r="L44" s="1012"/>
      <c r="M44" s="1012"/>
      <c r="N44" s="1012"/>
      <c r="O44" s="1012"/>
      <c r="P44" s="1012"/>
      <c r="Q44" s="1012"/>
      <c r="R44" s="1012"/>
      <c r="S44" s="1012"/>
      <c r="T44" s="1012"/>
      <c r="U44" s="1012"/>
      <c r="V44" s="1012"/>
      <c r="W44" s="1012"/>
      <c r="X44" s="1012"/>
      <c r="Y44" s="1013"/>
    </row>
    <row r="45" spans="2:25" ht="15.75" customHeight="1">
      <c r="B45" s="968"/>
      <c r="C45" s="968"/>
      <c r="D45" s="968"/>
      <c r="E45" s="968"/>
      <c r="F45" s="968"/>
      <c r="G45" s="968"/>
      <c r="H45" s="968"/>
      <c r="I45" s="968"/>
      <c r="J45" s="1190"/>
      <c r="K45" s="1018"/>
      <c r="L45" s="1018"/>
      <c r="M45" s="1018"/>
      <c r="N45" s="1018"/>
      <c r="O45" s="1018"/>
      <c r="P45" s="1018"/>
      <c r="Q45" s="1018"/>
      <c r="R45" s="1018"/>
      <c r="S45" s="1018"/>
      <c r="T45" s="1018"/>
      <c r="U45" s="1018"/>
      <c r="V45" s="1018"/>
      <c r="W45" s="1018"/>
      <c r="X45" s="1018"/>
      <c r="Y45" s="1019"/>
    </row>
    <row r="46" spans="2:25" ht="15.75" customHeight="1">
      <c r="B46" s="1191" t="s">
        <v>78</v>
      </c>
      <c r="C46" s="1192"/>
      <c r="D46" s="1192"/>
      <c r="E46" s="1192"/>
      <c r="F46" s="1192"/>
      <c r="G46" s="1192"/>
      <c r="H46" s="1192"/>
      <c r="I46" s="1192"/>
      <c r="J46" s="1192"/>
      <c r="K46" s="1192"/>
      <c r="L46" s="1192"/>
      <c r="M46" s="1192"/>
      <c r="N46" s="1192"/>
      <c r="O46" s="1192"/>
      <c r="P46" s="1192"/>
      <c r="Q46" s="1192"/>
      <c r="R46" s="1192"/>
      <c r="S46" s="1192"/>
      <c r="T46" s="1192"/>
      <c r="U46" s="1192"/>
      <c r="V46" s="1192"/>
      <c r="W46" s="1192"/>
      <c r="X46" s="1192"/>
      <c r="Y46" s="1193"/>
    </row>
    <row r="47" spans="2:25" ht="15.75" customHeight="1">
      <c r="B47" s="1191"/>
      <c r="C47" s="1192"/>
      <c r="D47" s="1192"/>
      <c r="E47" s="1192"/>
      <c r="F47" s="1192"/>
      <c r="G47" s="1192"/>
      <c r="H47" s="1192"/>
      <c r="I47" s="1192"/>
      <c r="J47" s="1192"/>
      <c r="K47" s="1192"/>
      <c r="L47" s="1192"/>
      <c r="M47" s="1192"/>
      <c r="N47" s="1192"/>
      <c r="O47" s="1192"/>
      <c r="P47" s="1192"/>
      <c r="Q47" s="1192"/>
      <c r="R47" s="1192"/>
      <c r="S47" s="1192"/>
      <c r="T47" s="1192"/>
      <c r="U47" s="1192"/>
      <c r="V47" s="1192"/>
      <c r="W47" s="1192"/>
      <c r="X47" s="1192"/>
      <c r="Y47" s="1193"/>
    </row>
    <row r="48" spans="2:25" ht="15.75" customHeight="1">
      <c r="B48" s="1191"/>
      <c r="C48" s="1192"/>
      <c r="D48" s="1192"/>
      <c r="E48" s="1192"/>
      <c r="F48" s="1192"/>
      <c r="G48" s="1192"/>
      <c r="H48" s="1192"/>
      <c r="I48" s="1192"/>
      <c r="J48" s="1192"/>
      <c r="K48" s="1192"/>
      <c r="L48" s="1192"/>
      <c r="M48" s="1192"/>
      <c r="N48" s="1192"/>
      <c r="O48" s="1192"/>
      <c r="P48" s="1192"/>
      <c r="Q48" s="1192"/>
      <c r="R48" s="1192"/>
      <c r="S48" s="1192"/>
      <c r="T48" s="1192"/>
      <c r="U48" s="1192"/>
      <c r="V48" s="1192"/>
      <c r="W48" s="1192"/>
      <c r="X48" s="1192"/>
      <c r="Y48" s="1193"/>
    </row>
    <row r="49" spans="2:25" ht="15.75" customHeight="1">
      <c r="B49" s="1191"/>
      <c r="C49" s="1192"/>
      <c r="D49" s="1192"/>
      <c r="E49" s="1192"/>
      <c r="F49" s="1192"/>
      <c r="G49" s="1192"/>
      <c r="H49" s="1192"/>
      <c r="I49" s="1192"/>
      <c r="J49" s="1192"/>
      <c r="K49" s="1192"/>
      <c r="L49" s="1192"/>
      <c r="M49" s="1192"/>
      <c r="N49" s="1192"/>
      <c r="O49" s="1192"/>
      <c r="P49" s="1192"/>
      <c r="Q49" s="1192"/>
      <c r="R49" s="1192"/>
      <c r="S49" s="1192"/>
      <c r="T49" s="1192"/>
      <c r="U49" s="1192"/>
      <c r="V49" s="1192"/>
      <c r="W49" s="1192"/>
      <c r="X49" s="1192"/>
      <c r="Y49" s="1193"/>
    </row>
    <row r="50" spans="2:25" ht="15.75" customHeight="1">
      <c r="B50" s="1191"/>
      <c r="C50" s="1192"/>
      <c r="D50" s="1192"/>
      <c r="E50" s="1192"/>
      <c r="F50" s="1192"/>
      <c r="G50" s="1192"/>
      <c r="H50" s="1192"/>
      <c r="I50" s="1192"/>
      <c r="J50" s="1192"/>
      <c r="K50" s="1192"/>
      <c r="L50" s="1192"/>
      <c r="M50" s="1192"/>
      <c r="N50" s="1192"/>
      <c r="O50" s="1192"/>
      <c r="P50" s="1192"/>
      <c r="Q50" s="1192"/>
      <c r="R50" s="1192"/>
      <c r="S50" s="1192"/>
      <c r="T50" s="1192"/>
      <c r="U50" s="1192"/>
      <c r="V50" s="1192"/>
      <c r="W50" s="1192"/>
      <c r="X50" s="1192"/>
      <c r="Y50" s="1193"/>
    </row>
    <row r="51" spans="2:25" ht="15.75" customHeight="1">
      <c r="B51" s="1191"/>
      <c r="C51" s="1192"/>
      <c r="D51" s="1192"/>
      <c r="E51" s="1192"/>
      <c r="F51" s="1192"/>
      <c r="G51" s="1192"/>
      <c r="H51" s="1192"/>
      <c r="I51" s="1192"/>
      <c r="J51" s="1192"/>
      <c r="K51" s="1192"/>
      <c r="L51" s="1192"/>
      <c r="M51" s="1192"/>
      <c r="N51" s="1192"/>
      <c r="O51" s="1192"/>
      <c r="P51" s="1192"/>
      <c r="Q51" s="1192"/>
      <c r="R51" s="1192"/>
      <c r="S51" s="1192"/>
      <c r="T51" s="1192"/>
      <c r="U51" s="1192"/>
      <c r="V51" s="1192"/>
      <c r="W51" s="1192"/>
      <c r="X51" s="1192"/>
      <c r="Y51" s="1193"/>
    </row>
    <row r="52" spans="2:25" ht="15.75" customHeight="1">
      <c r="B52" s="1191"/>
      <c r="C52" s="1192"/>
      <c r="D52" s="1192"/>
      <c r="E52" s="1192"/>
      <c r="F52" s="1192"/>
      <c r="G52" s="1192"/>
      <c r="H52" s="1192"/>
      <c r="I52" s="1192"/>
      <c r="J52" s="1192"/>
      <c r="K52" s="1192"/>
      <c r="L52" s="1192"/>
      <c r="M52" s="1192"/>
      <c r="N52" s="1192"/>
      <c r="O52" s="1192"/>
      <c r="P52" s="1192"/>
      <c r="Q52" s="1192"/>
      <c r="R52" s="1192"/>
      <c r="S52" s="1192"/>
      <c r="T52" s="1192"/>
      <c r="U52" s="1192"/>
      <c r="V52" s="1192"/>
      <c r="W52" s="1192"/>
      <c r="X52" s="1192"/>
      <c r="Y52" s="1193"/>
    </row>
    <row r="53" spans="2:25" ht="15.75" customHeight="1">
      <c r="B53" s="1191"/>
      <c r="C53" s="1192"/>
      <c r="D53" s="1192"/>
      <c r="E53" s="1192"/>
      <c r="F53" s="1192"/>
      <c r="G53" s="1192"/>
      <c r="H53" s="1192"/>
      <c r="I53" s="1192"/>
      <c r="J53" s="1192"/>
      <c r="K53" s="1192"/>
      <c r="L53" s="1192"/>
      <c r="M53" s="1192"/>
      <c r="N53" s="1192"/>
      <c r="O53" s="1192"/>
      <c r="P53" s="1192"/>
      <c r="Q53" s="1192"/>
      <c r="R53" s="1192"/>
      <c r="S53" s="1192"/>
      <c r="T53" s="1192"/>
      <c r="U53" s="1192"/>
      <c r="V53" s="1192"/>
      <c r="W53" s="1192"/>
      <c r="X53" s="1192"/>
      <c r="Y53" s="1193"/>
    </row>
    <row r="54" spans="2:25" ht="15.75" customHeight="1">
      <c r="B54" s="1191"/>
      <c r="C54" s="1192"/>
      <c r="D54" s="1192"/>
      <c r="E54" s="1192"/>
      <c r="F54" s="1192"/>
      <c r="G54" s="1192"/>
      <c r="H54" s="1192"/>
      <c r="I54" s="1192"/>
      <c r="J54" s="1192"/>
      <c r="K54" s="1192"/>
      <c r="L54" s="1192"/>
      <c r="M54" s="1192"/>
      <c r="N54" s="1192"/>
      <c r="O54" s="1192"/>
      <c r="P54" s="1192"/>
      <c r="Q54" s="1192"/>
      <c r="R54" s="1192"/>
      <c r="S54" s="1192"/>
      <c r="T54" s="1192"/>
      <c r="U54" s="1192"/>
      <c r="V54" s="1192"/>
      <c r="W54" s="1192"/>
      <c r="X54" s="1192"/>
      <c r="Y54" s="1193"/>
    </row>
    <row r="55" spans="2:25" ht="15.75" customHeight="1">
      <c r="B55" s="1194"/>
      <c r="C55" s="1195"/>
      <c r="D55" s="1195"/>
      <c r="E55" s="1195"/>
      <c r="F55" s="1195"/>
      <c r="G55" s="1195"/>
      <c r="H55" s="1195"/>
      <c r="I55" s="1195"/>
      <c r="J55" s="1195"/>
      <c r="K55" s="1195"/>
      <c r="L55" s="1195"/>
      <c r="M55" s="1195"/>
      <c r="N55" s="1195"/>
      <c r="O55" s="1195"/>
      <c r="P55" s="1195"/>
      <c r="Q55" s="1195"/>
      <c r="R55" s="1195"/>
      <c r="S55" s="1195"/>
      <c r="T55" s="1195"/>
      <c r="U55" s="1195"/>
      <c r="V55" s="1195"/>
      <c r="W55" s="1195"/>
      <c r="X55" s="1195"/>
      <c r="Y55" s="1196"/>
    </row>
    <row r="56" spans="2:25" ht="15.75" customHeight="1"/>
    <row r="57" spans="2:25" ht="15.75" customHeight="1"/>
    <row r="58" spans="2:25" ht="15.75" customHeight="1"/>
    <row r="59" spans="2:25" ht="15.75" customHeight="1"/>
    <row r="60" spans="2:25" ht="15.75" customHeight="1"/>
    <row r="61" spans="2:25" ht="15.75" customHeight="1"/>
    <row r="62" spans="2:25" ht="15.75" customHeight="1">
      <c r="P62" s="158"/>
    </row>
    <row r="63" spans="2:25" ht="15.75" customHeight="1"/>
    <row r="64" spans="2: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sheetProtection insertRows="0" deleteRows="0"/>
  <mergeCells count="33">
    <mergeCell ref="B46:Y55"/>
    <mergeCell ref="B24:I26"/>
    <mergeCell ref="B27:I29"/>
    <mergeCell ref="B30:I32"/>
    <mergeCell ref="B33:I35"/>
    <mergeCell ref="J24:Y26"/>
    <mergeCell ref="J27:V29"/>
    <mergeCell ref="W27:Y29"/>
    <mergeCell ref="J30:V32"/>
    <mergeCell ref="W30:Y32"/>
    <mergeCell ref="J33:Y35"/>
    <mergeCell ref="J36:Y38"/>
    <mergeCell ref="B36:I38"/>
    <mergeCell ref="B39:I45"/>
    <mergeCell ref="J39:Y39"/>
    <mergeCell ref="J42:Y42"/>
    <mergeCell ref="J40:Y40"/>
    <mergeCell ref="J43:Y43"/>
    <mergeCell ref="J44:Y44"/>
    <mergeCell ref="J45:Y45"/>
    <mergeCell ref="J41:Y41"/>
    <mergeCell ref="A5:Z5"/>
    <mergeCell ref="F19:I22"/>
    <mergeCell ref="J19:K20"/>
    <mergeCell ref="J21:K22"/>
    <mergeCell ref="L19:T20"/>
    <mergeCell ref="L21:T22"/>
    <mergeCell ref="C17:E22"/>
    <mergeCell ref="R8:X8"/>
    <mergeCell ref="C14:F15"/>
    <mergeCell ref="G14:P15"/>
    <mergeCell ref="F17:I18"/>
    <mergeCell ref="J17:T18"/>
  </mergeCells>
  <phoneticPr fontId="1"/>
  <pageMargins left="0.31496062992125984" right="0.31496062992125984" top="0.55118110236220474" bottom="0.55118110236220474" header="0.31496062992125984" footer="0.31496062992125984"/>
  <pageSetup paperSize="9" scale="9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sheetPr>
  <dimension ref="A1:AA53"/>
  <sheetViews>
    <sheetView view="pageBreakPreview" topLeftCell="A7" zoomScaleNormal="100" zoomScaleSheetLayoutView="100" workbookViewId="0">
      <selection activeCell="J16" sqref="J16:U17"/>
    </sheetView>
  </sheetViews>
  <sheetFormatPr defaultColWidth="9" defaultRowHeight="14.25"/>
  <cols>
    <col min="1" max="50" width="3.875" style="20" customWidth="1"/>
    <col min="51" max="16384" width="9" style="20"/>
  </cols>
  <sheetData>
    <row r="1" spans="1:27">
      <c r="A1" s="20" t="s">
        <v>644</v>
      </c>
    </row>
    <row r="3" spans="1:27" ht="17.25">
      <c r="A3" s="1230" t="s">
        <v>619</v>
      </c>
      <c r="B3" s="1230"/>
      <c r="C3" s="1230"/>
      <c r="D3" s="1230"/>
      <c r="E3" s="1230"/>
      <c r="F3" s="1230"/>
      <c r="G3" s="1230"/>
      <c r="H3" s="1230"/>
      <c r="I3" s="1230"/>
      <c r="J3" s="1230"/>
      <c r="K3" s="1230"/>
      <c r="L3" s="1230"/>
      <c r="M3" s="1230"/>
      <c r="N3" s="1230"/>
      <c r="O3" s="1230"/>
      <c r="P3" s="1230"/>
      <c r="Q3" s="1230"/>
      <c r="R3" s="1230"/>
      <c r="S3" s="1230"/>
      <c r="T3" s="1230"/>
      <c r="U3" s="1230"/>
      <c r="V3" s="1230"/>
      <c r="W3" s="1230"/>
      <c r="X3" s="1230"/>
      <c r="Y3" s="1230"/>
      <c r="Z3" s="1230"/>
      <c r="AA3" s="21"/>
    </row>
    <row r="4" spans="1:27" ht="17.25">
      <c r="A4" s="15"/>
    </row>
    <row r="6" spans="1:27">
      <c r="B6" s="1234" t="s">
        <v>57</v>
      </c>
      <c r="C6" s="1234"/>
      <c r="D6" s="1234"/>
      <c r="E6" s="1231" t="s">
        <v>40</v>
      </c>
      <c r="F6" s="1203"/>
      <c r="G6" s="1203"/>
      <c r="H6" s="1203"/>
      <c r="I6" s="1204"/>
      <c r="J6" s="1233" t="str">
        <f>+'様式６（事業計画変更申請書）'!J9</f>
        <v>横須賀市小川町●●</v>
      </c>
      <c r="K6" s="1233"/>
      <c r="L6" s="1233"/>
      <c r="M6" s="1233"/>
      <c r="N6" s="1233"/>
      <c r="O6" s="1233"/>
      <c r="P6" s="1233"/>
      <c r="Q6" s="1233"/>
      <c r="R6" s="1233"/>
      <c r="S6" s="1233"/>
      <c r="T6" s="1233"/>
      <c r="U6" s="1233"/>
      <c r="V6" s="1233"/>
      <c r="W6" s="1233"/>
      <c r="X6" s="1233"/>
      <c r="Y6" s="1233"/>
      <c r="Z6" s="1233"/>
    </row>
    <row r="7" spans="1:27">
      <c r="B7" s="1234"/>
      <c r="C7" s="1234"/>
      <c r="D7" s="1234"/>
      <c r="E7" s="1232"/>
      <c r="F7" s="1207"/>
      <c r="G7" s="1207"/>
      <c r="H7" s="1207"/>
      <c r="I7" s="1208"/>
      <c r="J7" s="1233"/>
      <c r="K7" s="1233"/>
      <c r="L7" s="1233"/>
      <c r="M7" s="1233"/>
      <c r="N7" s="1233"/>
      <c r="O7" s="1233"/>
      <c r="P7" s="1233"/>
      <c r="Q7" s="1233"/>
      <c r="R7" s="1233"/>
      <c r="S7" s="1233"/>
      <c r="T7" s="1233"/>
      <c r="U7" s="1233"/>
      <c r="V7" s="1233"/>
      <c r="W7" s="1233"/>
      <c r="X7" s="1233"/>
      <c r="Y7" s="1233"/>
      <c r="Z7" s="1233"/>
    </row>
    <row r="8" spans="1:27">
      <c r="B8" s="1234"/>
      <c r="C8" s="1234"/>
      <c r="D8" s="1234"/>
      <c r="E8" s="1231" t="s">
        <v>1</v>
      </c>
      <c r="F8" s="1203"/>
      <c r="G8" s="1203"/>
      <c r="H8" s="1203"/>
      <c r="I8" s="1204"/>
      <c r="J8" s="1233" t="str">
        <f>+'様式６（事業計画変更申請書）'!J10</f>
        <v>●●法人　●●●●</v>
      </c>
      <c r="K8" s="1233"/>
      <c r="L8" s="1233"/>
      <c r="M8" s="1233"/>
      <c r="N8" s="1233"/>
      <c r="O8" s="1233"/>
      <c r="P8" s="1233"/>
      <c r="Q8" s="1233"/>
      <c r="R8" s="1233"/>
      <c r="S8" s="1233"/>
      <c r="T8" s="1233"/>
      <c r="U8" s="1233"/>
      <c r="V8" s="1233"/>
      <c r="W8" s="1233"/>
      <c r="X8" s="1233"/>
      <c r="Y8" s="1233"/>
      <c r="Z8" s="1233"/>
    </row>
    <row r="9" spans="1:27">
      <c r="B9" s="1234"/>
      <c r="C9" s="1234"/>
      <c r="D9" s="1234"/>
      <c r="E9" s="1232"/>
      <c r="F9" s="1207"/>
      <c r="G9" s="1207"/>
      <c r="H9" s="1207"/>
      <c r="I9" s="1208"/>
      <c r="J9" s="1233"/>
      <c r="K9" s="1233"/>
      <c r="L9" s="1233"/>
      <c r="M9" s="1233"/>
      <c r="N9" s="1233"/>
      <c r="O9" s="1233"/>
      <c r="P9" s="1233"/>
      <c r="Q9" s="1233"/>
      <c r="R9" s="1233"/>
      <c r="S9" s="1233"/>
      <c r="T9" s="1233"/>
      <c r="U9" s="1233"/>
      <c r="V9" s="1233"/>
      <c r="W9" s="1233"/>
      <c r="X9" s="1233"/>
      <c r="Y9" s="1233"/>
      <c r="Z9" s="1233"/>
    </row>
    <row r="10" spans="1:27">
      <c r="B10" s="1234"/>
      <c r="C10" s="1234"/>
      <c r="D10" s="1234"/>
      <c r="E10" s="1215" t="s">
        <v>56</v>
      </c>
      <c r="F10" s="1216"/>
      <c r="G10" s="1216"/>
      <c r="H10" s="1216"/>
      <c r="I10" s="1217"/>
      <c r="J10" s="925" t="s">
        <v>170</v>
      </c>
      <c r="K10" s="927"/>
      <c r="L10" s="1223" t="str">
        <f>+'様式６（事業計画変更申請書）'!L11</f>
        <v>理事長　</v>
      </c>
      <c r="M10" s="1188"/>
      <c r="N10" s="1188"/>
      <c r="O10" s="1188"/>
      <c r="P10" s="1188"/>
      <c r="Q10" s="1188"/>
      <c r="R10" s="1188"/>
      <c r="S10" s="1188"/>
      <c r="T10" s="1188"/>
      <c r="U10" s="1188"/>
      <c r="V10" s="1188"/>
      <c r="W10" s="1188"/>
      <c r="X10" s="1188"/>
      <c r="Y10" s="1188"/>
      <c r="Z10" s="1224"/>
    </row>
    <row r="11" spans="1:27">
      <c r="B11" s="1234"/>
      <c r="C11" s="1234"/>
      <c r="D11" s="1234"/>
      <c r="E11" s="1218"/>
      <c r="F11" s="1185"/>
      <c r="G11" s="1185"/>
      <c r="H11" s="1185"/>
      <c r="I11" s="1219"/>
      <c r="J11" s="928"/>
      <c r="K11" s="930"/>
      <c r="L11" s="1225"/>
      <c r="M11" s="1187"/>
      <c r="N11" s="1187"/>
      <c r="O11" s="1187"/>
      <c r="P11" s="1187"/>
      <c r="Q11" s="1187"/>
      <c r="R11" s="1187"/>
      <c r="S11" s="1187"/>
      <c r="T11" s="1187"/>
      <c r="U11" s="1187"/>
      <c r="V11" s="1187"/>
      <c r="W11" s="1187"/>
      <c r="X11" s="1187"/>
      <c r="Y11" s="1187"/>
      <c r="Z11" s="1226"/>
    </row>
    <row r="12" spans="1:27">
      <c r="B12" s="1234"/>
      <c r="C12" s="1234"/>
      <c r="D12" s="1234"/>
      <c r="E12" s="1218"/>
      <c r="F12" s="1185"/>
      <c r="G12" s="1185"/>
      <c r="H12" s="1185"/>
      <c r="I12" s="1219"/>
      <c r="J12" s="925" t="s">
        <v>171</v>
      </c>
      <c r="K12" s="927"/>
      <c r="L12" s="1223" t="str">
        <f>+'様式６（事業計画変更申請書）'!L13</f>
        <v>●●　●●</v>
      </c>
      <c r="M12" s="1188"/>
      <c r="N12" s="1188"/>
      <c r="O12" s="1188"/>
      <c r="P12" s="1188"/>
      <c r="Q12" s="1188"/>
      <c r="R12" s="1188"/>
      <c r="S12" s="1188"/>
      <c r="T12" s="1188"/>
      <c r="U12" s="1188"/>
      <c r="V12" s="1188"/>
      <c r="W12" s="1188"/>
      <c r="X12" s="1188"/>
      <c r="Y12" s="1188"/>
      <c r="Z12" s="1224"/>
    </row>
    <row r="13" spans="1:27">
      <c r="B13" s="1234"/>
      <c r="C13" s="1234"/>
      <c r="D13" s="1234"/>
      <c r="E13" s="1220"/>
      <c r="F13" s="1221"/>
      <c r="G13" s="1221"/>
      <c r="H13" s="1221"/>
      <c r="I13" s="1222"/>
      <c r="J13" s="928"/>
      <c r="K13" s="930"/>
      <c r="L13" s="1225"/>
      <c r="M13" s="1187"/>
      <c r="N13" s="1187"/>
      <c r="O13" s="1187"/>
      <c r="P13" s="1187"/>
      <c r="Q13" s="1187"/>
      <c r="R13" s="1187"/>
      <c r="S13" s="1187"/>
      <c r="T13" s="1187"/>
      <c r="U13" s="1187"/>
      <c r="V13" s="1187"/>
      <c r="W13" s="1187"/>
      <c r="X13" s="1187"/>
      <c r="Y13" s="1187"/>
      <c r="Z13" s="1226"/>
    </row>
    <row r="14" spans="1:27">
      <c r="B14" s="1228" t="s">
        <v>80</v>
      </c>
      <c r="C14" s="1228"/>
      <c r="D14" s="1228" t="s">
        <v>81</v>
      </c>
      <c r="E14" s="1228"/>
      <c r="F14" s="1228"/>
      <c r="G14" s="1228"/>
      <c r="H14" s="1228"/>
      <c r="I14" s="1228"/>
      <c r="J14" s="1228" t="s">
        <v>82</v>
      </c>
      <c r="K14" s="1228"/>
      <c r="L14" s="1228"/>
      <c r="M14" s="1228"/>
      <c r="N14" s="1228"/>
      <c r="O14" s="1228"/>
      <c r="P14" s="1228"/>
      <c r="Q14" s="1228"/>
      <c r="R14" s="1228"/>
      <c r="S14" s="1228"/>
      <c r="T14" s="1228"/>
      <c r="U14" s="1228"/>
      <c r="V14" s="1228" t="s">
        <v>29</v>
      </c>
      <c r="W14" s="1228"/>
      <c r="X14" s="1228"/>
      <c r="Y14" s="1228"/>
      <c r="Z14" s="1228"/>
    </row>
    <row r="15" spans="1: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row>
    <row r="16" spans="1:27" ht="15.75" customHeight="1">
      <c r="B16" s="1229"/>
      <c r="C16" s="1229"/>
      <c r="D16" s="1227"/>
      <c r="E16" s="1227"/>
      <c r="F16" s="1227"/>
      <c r="G16" s="1227"/>
      <c r="H16" s="1227"/>
      <c r="I16" s="1227"/>
      <c r="J16" s="1227"/>
      <c r="K16" s="1227"/>
      <c r="L16" s="1227"/>
      <c r="M16" s="1227"/>
      <c r="N16" s="1227"/>
      <c r="O16" s="1227"/>
      <c r="P16" s="1227"/>
      <c r="Q16" s="1227"/>
      <c r="R16" s="1227"/>
      <c r="S16" s="1227"/>
      <c r="T16" s="1227"/>
      <c r="U16" s="1227"/>
      <c r="V16" s="1227"/>
      <c r="W16" s="1227"/>
      <c r="X16" s="1227"/>
      <c r="Y16" s="1227"/>
      <c r="Z16" s="1227"/>
    </row>
    <row r="17" spans="2:26" ht="15.75" customHeight="1">
      <c r="B17" s="1229"/>
      <c r="C17" s="1229"/>
      <c r="D17" s="1227"/>
      <c r="E17" s="1227"/>
      <c r="F17" s="1227"/>
      <c r="G17" s="1227"/>
      <c r="H17" s="1227"/>
      <c r="I17" s="1227"/>
      <c r="J17" s="1227"/>
      <c r="K17" s="1227"/>
      <c r="L17" s="1227"/>
      <c r="M17" s="1227"/>
      <c r="N17" s="1227"/>
      <c r="O17" s="1227"/>
      <c r="P17" s="1227"/>
      <c r="Q17" s="1227"/>
      <c r="R17" s="1227"/>
      <c r="S17" s="1227"/>
      <c r="T17" s="1227"/>
      <c r="U17" s="1227"/>
      <c r="V17" s="1227"/>
      <c r="W17" s="1227"/>
      <c r="X17" s="1227"/>
      <c r="Y17" s="1227"/>
      <c r="Z17" s="1227"/>
    </row>
    <row r="18" spans="2:26" ht="15.75" customHeight="1">
      <c r="B18" s="1229"/>
      <c r="C18" s="1229"/>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row>
    <row r="19" spans="2:26" ht="15.75" customHeight="1">
      <c r="B19" s="1229"/>
      <c r="C19" s="1229"/>
      <c r="D19" s="1227"/>
      <c r="E19" s="1227"/>
      <c r="F19" s="1227"/>
      <c r="G19" s="1227"/>
      <c r="H19" s="1227"/>
      <c r="I19" s="1227"/>
      <c r="J19" s="1227"/>
      <c r="K19" s="1227"/>
      <c r="L19" s="1227"/>
      <c r="M19" s="1227"/>
      <c r="N19" s="1227"/>
      <c r="O19" s="1227"/>
      <c r="P19" s="1227"/>
      <c r="Q19" s="1227"/>
      <c r="R19" s="1227"/>
      <c r="S19" s="1227"/>
      <c r="T19" s="1227"/>
      <c r="U19" s="1227"/>
      <c r="V19" s="1227"/>
      <c r="W19" s="1227"/>
      <c r="X19" s="1227"/>
      <c r="Y19" s="1227"/>
      <c r="Z19" s="1227"/>
    </row>
    <row r="20" spans="2:26" ht="15.75" customHeight="1">
      <c r="B20" s="1229"/>
      <c r="C20" s="1229"/>
      <c r="D20" s="1227"/>
      <c r="E20" s="1227"/>
      <c r="F20" s="1227"/>
      <c r="G20" s="1227"/>
      <c r="H20" s="1227"/>
      <c r="I20" s="1227"/>
      <c r="J20" s="1227"/>
      <c r="K20" s="1227"/>
      <c r="L20" s="1227"/>
      <c r="M20" s="1227"/>
      <c r="N20" s="1227"/>
      <c r="O20" s="1227"/>
      <c r="P20" s="1227"/>
      <c r="Q20" s="1227"/>
      <c r="R20" s="1227"/>
      <c r="S20" s="1227"/>
      <c r="T20" s="1227"/>
      <c r="U20" s="1227"/>
      <c r="V20" s="1227"/>
      <c r="W20" s="1227"/>
      <c r="X20" s="1227"/>
      <c r="Y20" s="1227"/>
      <c r="Z20" s="1227"/>
    </row>
    <row r="21" spans="2:26" ht="15.75" customHeight="1">
      <c r="B21" s="1229"/>
      <c r="C21" s="1229"/>
      <c r="D21" s="1227"/>
      <c r="E21" s="1227"/>
      <c r="F21" s="1227"/>
      <c r="G21" s="1227"/>
      <c r="H21" s="1227"/>
      <c r="I21" s="1227"/>
      <c r="J21" s="1227"/>
      <c r="K21" s="1227"/>
      <c r="L21" s="1227"/>
      <c r="M21" s="1227"/>
      <c r="N21" s="1227"/>
      <c r="O21" s="1227"/>
      <c r="P21" s="1227"/>
      <c r="Q21" s="1227"/>
      <c r="R21" s="1227"/>
      <c r="S21" s="1227"/>
      <c r="T21" s="1227"/>
      <c r="U21" s="1227"/>
      <c r="V21" s="1227"/>
      <c r="W21" s="1227"/>
      <c r="X21" s="1227"/>
      <c r="Y21" s="1227"/>
      <c r="Z21" s="1227"/>
    </row>
    <row r="22" spans="2:26" ht="15.75" customHeight="1">
      <c r="B22" s="1229"/>
      <c r="C22" s="1229"/>
      <c r="D22" s="1227"/>
      <c r="E22" s="1227"/>
      <c r="F22" s="1227"/>
      <c r="G22" s="1227"/>
      <c r="H22" s="1227"/>
      <c r="I22" s="1227"/>
      <c r="J22" s="1227"/>
      <c r="K22" s="1227"/>
      <c r="L22" s="1227"/>
      <c r="M22" s="1227"/>
      <c r="N22" s="1227"/>
      <c r="O22" s="1227"/>
      <c r="P22" s="1227"/>
      <c r="Q22" s="1227"/>
      <c r="R22" s="1227"/>
      <c r="S22" s="1227"/>
      <c r="T22" s="1227"/>
      <c r="U22" s="1227"/>
      <c r="V22" s="1227"/>
      <c r="W22" s="1227"/>
      <c r="X22" s="1227"/>
      <c r="Y22" s="1227"/>
      <c r="Z22" s="1227"/>
    </row>
    <row r="23" spans="2:26" ht="15.75" customHeight="1">
      <c r="B23" s="1229"/>
      <c r="C23" s="1229"/>
      <c r="D23" s="1227"/>
      <c r="E23" s="1227"/>
      <c r="F23" s="1227"/>
      <c r="G23" s="1227"/>
      <c r="H23" s="1227"/>
      <c r="I23" s="1227"/>
      <c r="J23" s="1227"/>
      <c r="K23" s="1227"/>
      <c r="L23" s="1227"/>
      <c r="M23" s="1227"/>
      <c r="N23" s="1227"/>
      <c r="O23" s="1227"/>
      <c r="P23" s="1227"/>
      <c r="Q23" s="1227"/>
      <c r="R23" s="1227"/>
      <c r="S23" s="1227"/>
      <c r="T23" s="1227"/>
      <c r="U23" s="1227"/>
      <c r="V23" s="1227"/>
      <c r="W23" s="1227"/>
      <c r="X23" s="1227"/>
      <c r="Y23" s="1227"/>
      <c r="Z23" s="1227"/>
    </row>
    <row r="24" spans="2:26" ht="15.75" customHeight="1">
      <c r="B24" s="1229"/>
      <c r="C24" s="1229"/>
      <c r="D24" s="1227"/>
      <c r="E24" s="1227"/>
      <c r="F24" s="1227"/>
      <c r="G24" s="1227"/>
      <c r="H24" s="1227"/>
      <c r="I24" s="1227"/>
      <c r="J24" s="1227"/>
      <c r="K24" s="1227"/>
      <c r="L24" s="1227"/>
      <c r="M24" s="1227"/>
      <c r="N24" s="1227"/>
      <c r="O24" s="1227"/>
      <c r="P24" s="1227"/>
      <c r="Q24" s="1227"/>
      <c r="R24" s="1227"/>
      <c r="S24" s="1227"/>
      <c r="T24" s="1227"/>
      <c r="U24" s="1227"/>
      <c r="V24" s="1227"/>
      <c r="W24" s="1227"/>
      <c r="X24" s="1227"/>
      <c r="Y24" s="1227"/>
      <c r="Z24" s="1227"/>
    </row>
    <row r="25" spans="2:26" ht="15.75" customHeight="1">
      <c r="B25" s="1229"/>
      <c r="C25" s="1229"/>
      <c r="D25" s="1227"/>
      <c r="E25" s="1227"/>
      <c r="F25" s="1227"/>
      <c r="G25" s="1227"/>
      <c r="H25" s="1227"/>
      <c r="I25" s="1227"/>
      <c r="J25" s="1227"/>
      <c r="K25" s="1227"/>
      <c r="L25" s="1227"/>
      <c r="M25" s="1227"/>
      <c r="N25" s="1227"/>
      <c r="O25" s="1227"/>
      <c r="P25" s="1227"/>
      <c r="Q25" s="1227"/>
      <c r="R25" s="1227"/>
      <c r="S25" s="1227"/>
      <c r="T25" s="1227"/>
      <c r="U25" s="1227"/>
      <c r="V25" s="1227"/>
      <c r="W25" s="1227"/>
      <c r="X25" s="1227"/>
      <c r="Y25" s="1227"/>
      <c r="Z25" s="1227"/>
    </row>
    <row r="26" spans="2:26" ht="15.75" customHeight="1">
      <c r="B26" s="1229"/>
      <c r="C26" s="1229"/>
      <c r="D26" s="1227"/>
      <c r="E26" s="1227"/>
      <c r="F26" s="1227"/>
      <c r="G26" s="1227"/>
      <c r="H26" s="1227"/>
      <c r="I26" s="1227"/>
      <c r="J26" s="1227"/>
      <c r="K26" s="1227"/>
      <c r="L26" s="1227"/>
      <c r="M26" s="1227"/>
      <c r="N26" s="1227"/>
      <c r="O26" s="1227"/>
      <c r="P26" s="1227"/>
      <c r="Q26" s="1227"/>
      <c r="R26" s="1227"/>
      <c r="S26" s="1227"/>
      <c r="T26" s="1227"/>
      <c r="U26" s="1227"/>
      <c r="V26" s="1227"/>
      <c r="W26" s="1227"/>
      <c r="X26" s="1227"/>
      <c r="Y26" s="1227"/>
      <c r="Z26" s="1227"/>
    </row>
    <row r="27" spans="2:26" ht="15.75" customHeight="1">
      <c r="B27" s="1229"/>
      <c r="C27" s="1229"/>
      <c r="D27" s="1227"/>
      <c r="E27" s="1227"/>
      <c r="F27" s="1227"/>
      <c r="G27" s="1227"/>
      <c r="H27" s="1227"/>
      <c r="I27" s="1227"/>
      <c r="J27" s="1227"/>
      <c r="K27" s="1227"/>
      <c r="L27" s="1227"/>
      <c r="M27" s="1227"/>
      <c r="N27" s="1227"/>
      <c r="O27" s="1227"/>
      <c r="P27" s="1227"/>
      <c r="Q27" s="1227"/>
      <c r="R27" s="1227"/>
      <c r="S27" s="1227"/>
      <c r="T27" s="1227"/>
      <c r="U27" s="1227"/>
      <c r="V27" s="1227"/>
      <c r="W27" s="1227"/>
      <c r="X27" s="1227"/>
      <c r="Y27" s="1227"/>
      <c r="Z27" s="1227"/>
    </row>
    <row r="28" spans="2:26" ht="15.75" customHeight="1">
      <c r="B28" s="1229"/>
      <c r="C28" s="1229"/>
      <c r="D28" s="1227"/>
      <c r="E28" s="1227"/>
      <c r="F28" s="1227"/>
      <c r="G28" s="1227"/>
      <c r="H28" s="1227"/>
      <c r="I28" s="1227"/>
      <c r="J28" s="1227"/>
      <c r="K28" s="1227"/>
      <c r="L28" s="1227"/>
      <c r="M28" s="1227"/>
      <c r="N28" s="1227"/>
      <c r="O28" s="1227"/>
      <c r="P28" s="1227"/>
      <c r="Q28" s="1227"/>
      <c r="R28" s="1227"/>
      <c r="S28" s="1227"/>
      <c r="T28" s="1227"/>
      <c r="U28" s="1227"/>
      <c r="V28" s="1227"/>
      <c r="W28" s="1227"/>
      <c r="X28" s="1227"/>
      <c r="Y28" s="1227"/>
      <c r="Z28" s="1227"/>
    </row>
    <row r="29" spans="2:26" ht="15.75" customHeight="1">
      <c r="B29" s="1229"/>
      <c r="C29" s="1229"/>
      <c r="D29" s="1227"/>
      <c r="E29" s="1227"/>
      <c r="F29" s="1227"/>
      <c r="G29" s="1227"/>
      <c r="H29" s="1227"/>
      <c r="I29" s="1227"/>
      <c r="J29" s="1227"/>
      <c r="K29" s="1227"/>
      <c r="L29" s="1227"/>
      <c r="M29" s="1227"/>
      <c r="N29" s="1227"/>
      <c r="O29" s="1227"/>
      <c r="P29" s="1227"/>
      <c r="Q29" s="1227"/>
      <c r="R29" s="1227"/>
      <c r="S29" s="1227"/>
      <c r="T29" s="1227"/>
      <c r="U29" s="1227"/>
      <c r="V29" s="1227"/>
      <c r="W29" s="1227"/>
      <c r="X29" s="1227"/>
      <c r="Y29" s="1227"/>
      <c r="Z29" s="1227"/>
    </row>
    <row r="30" spans="2:26" ht="15.75" customHeight="1">
      <c r="B30" s="1229"/>
      <c r="C30" s="1229"/>
      <c r="D30" s="1227"/>
      <c r="E30" s="1227"/>
      <c r="F30" s="1227"/>
      <c r="G30" s="1227"/>
      <c r="H30" s="1227"/>
      <c r="I30" s="1227"/>
      <c r="J30" s="1227"/>
      <c r="K30" s="1227"/>
      <c r="L30" s="1227"/>
      <c r="M30" s="1227"/>
      <c r="N30" s="1227"/>
      <c r="O30" s="1227"/>
      <c r="P30" s="1227"/>
      <c r="Q30" s="1227"/>
      <c r="R30" s="1227"/>
      <c r="S30" s="1227"/>
      <c r="T30" s="1227"/>
      <c r="U30" s="1227"/>
      <c r="V30" s="1227"/>
      <c r="W30" s="1227"/>
      <c r="X30" s="1227"/>
      <c r="Y30" s="1227"/>
      <c r="Z30" s="1227"/>
    </row>
    <row r="31" spans="2:26" ht="15.75" customHeight="1">
      <c r="B31" s="1229"/>
      <c r="C31" s="1229"/>
      <c r="D31" s="1227"/>
      <c r="E31" s="1227"/>
      <c r="F31" s="1227"/>
      <c r="G31" s="1227"/>
      <c r="H31" s="1227"/>
      <c r="I31" s="1227"/>
      <c r="J31" s="1227"/>
      <c r="K31" s="1227"/>
      <c r="L31" s="1227"/>
      <c r="M31" s="1227"/>
      <c r="N31" s="1227"/>
      <c r="O31" s="1227"/>
      <c r="P31" s="1227"/>
      <c r="Q31" s="1227"/>
      <c r="R31" s="1227"/>
      <c r="S31" s="1227"/>
      <c r="T31" s="1227"/>
      <c r="U31" s="1227"/>
      <c r="V31" s="1227"/>
      <c r="W31" s="1227"/>
      <c r="X31" s="1227"/>
      <c r="Y31" s="1227"/>
      <c r="Z31" s="1227"/>
    </row>
    <row r="32" spans="2:26" ht="15.75" customHeight="1">
      <c r="B32" s="1229"/>
      <c r="C32" s="1229"/>
      <c r="D32" s="1227"/>
      <c r="E32" s="1227"/>
      <c r="F32" s="1227"/>
      <c r="G32" s="1227"/>
      <c r="H32" s="1227"/>
      <c r="I32" s="1227"/>
      <c r="J32" s="1227"/>
      <c r="K32" s="1227"/>
      <c r="L32" s="1227"/>
      <c r="M32" s="1227"/>
      <c r="N32" s="1227"/>
      <c r="O32" s="1227"/>
      <c r="P32" s="1227"/>
      <c r="Q32" s="1227"/>
      <c r="R32" s="1227"/>
      <c r="S32" s="1227"/>
      <c r="T32" s="1227"/>
      <c r="U32" s="1227"/>
      <c r="V32" s="1227"/>
      <c r="W32" s="1227"/>
      <c r="X32" s="1227"/>
      <c r="Y32" s="1227"/>
      <c r="Z32" s="1227"/>
    </row>
    <row r="33" spans="2:26" ht="15.75" customHeight="1">
      <c r="B33" s="1229"/>
      <c r="C33" s="1229"/>
      <c r="D33" s="1227"/>
      <c r="E33" s="1227"/>
      <c r="F33" s="1227"/>
      <c r="G33" s="1227"/>
      <c r="H33" s="1227"/>
      <c r="I33" s="1227"/>
      <c r="J33" s="1227"/>
      <c r="K33" s="1227"/>
      <c r="L33" s="1227"/>
      <c r="M33" s="1227"/>
      <c r="N33" s="1227"/>
      <c r="O33" s="1227"/>
      <c r="P33" s="1227"/>
      <c r="Q33" s="1227"/>
      <c r="R33" s="1227"/>
      <c r="S33" s="1227"/>
      <c r="T33" s="1227"/>
      <c r="U33" s="1227"/>
      <c r="V33" s="1227"/>
      <c r="W33" s="1227"/>
      <c r="X33" s="1227"/>
      <c r="Y33" s="1227"/>
      <c r="Z33" s="1227"/>
    </row>
    <row r="34" spans="2:26" ht="15.75" customHeight="1">
      <c r="B34" s="1229"/>
      <c r="C34" s="1229"/>
      <c r="D34" s="1227"/>
      <c r="E34" s="1227"/>
      <c r="F34" s="1227"/>
      <c r="G34" s="1227"/>
      <c r="H34" s="1227"/>
      <c r="I34" s="1227"/>
      <c r="J34" s="1227"/>
      <c r="K34" s="1227"/>
      <c r="L34" s="1227"/>
      <c r="M34" s="1227"/>
      <c r="N34" s="1227"/>
      <c r="O34" s="1227"/>
      <c r="P34" s="1227"/>
      <c r="Q34" s="1227"/>
      <c r="R34" s="1227"/>
      <c r="S34" s="1227"/>
      <c r="T34" s="1227"/>
      <c r="U34" s="1227"/>
      <c r="V34" s="1227"/>
      <c r="W34" s="1227"/>
      <c r="X34" s="1227"/>
      <c r="Y34" s="1227"/>
      <c r="Z34" s="1227"/>
    </row>
    <row r="35" spans="2:26" ht="15.75" customHeight="1">
      <c r="B35" s="1229"/>
      <c r="C35" s="1229"/>
      <c r="D35" s="1227"/>
      <c r="E35" s="1227"/>
      <c r="F35" s="1227"/>
      <c r="G35" s="1227"/>
      <c r="H35" s="1227"/>
      <c r="I35" s="1227"/>
      <c r="J35" s="1227"/>
      <c r="K35" s="1227"/>
      <c r="L35" s="1227"/>
      <c r="M35" s="1227"/>
      <c r="N35" s="1227"/>
      <c r="O35" s="1227"/>
      <c r="P35" s="1227"/>
      <c r="Q35" s="1227"/>
      <c r="R35" s="1227"/>
      <c r="S35" s="1227"/>
      <c r="T35" s="1227"/>
      <c r="U35" s="1227"/>
      <c r="V35" s="1227"/>
      <c r="W35" s="1227"/>
      <c r="X35" s="1227"/>
      <c r="Y35" s="1227"/>
      <c r="Z35" s="1227"/>
    </row>
    <row r="36" spans="2:26" ht="15.75" customHeight="1">
      <c r="B36" s="1229"/>
      <c r="C36" s="1229"/>
      <c r="D36" s="1227"/>
      <c r="E36" s="1227"/>
      <c r="F36" s="1227"/>
      <c r="G36" s="1227"/>
      <c r="H36" s="1227"/>
      <c r="I36" s="1227"/>
      <c r="J36" s="1227"/>
      <c r="K36" s="1227"/>
      <c r="L36" s="1227"/>
      <c r="M36" s="1227"/>
      <c r="N36" s="1227"/>
      <c r="O36" s="1227"/>
      <c r="P36" s="1227"/>
      <c r="Q36" s="1227"/>
      <c r="R36" s="1227"/>
      <c r="S36" s="1227"/>
      <c r="T36" s="1227"/>
      <c r="U36" s="1227"/>
      <c r="V36" s="1227"/>
      <c r="W36" s="1227"/>
      <c r="X36" s="1227"/>
      <c r="Y36" s="1227"/>
      <c r="Z36" s="1227"/>
    </row>
    <row r="37" spans="2:26" ht="15.75" customHeight="1">
      <c r="B37" s="1229"/>
      <c r="C37" s="1229"/>
      <c r="D37" s="1227"/>
      <c r="E37" s="1227"/>
      <c r="F37" s="1227"/>
      <c r="G37" s="1227"/>
      <c r="H37" s="1227"/>
      <c r="I37" s="1227"/>
      <c r="J37" s="1227"/>
      <c r="K37" s="1227"/>
      <c r="L37" s="1227"/>
      <c r="M37" s="1227"/>
      <c r="N37" s="1227"/>
      <c r="O37" s="1227"/>
      <c r="P37" s="1227"/>
      <c r="Q37" s="1227"/>
      <c r="R37" s="1227"/>
      <c r="S37" s="1227"/>
      <c r="T37" s="1227"/>
      <c r="U37" s="1227"/>
      <c r="V37" s="1227"/>
      <c r="W37" s="1227"/>
      <c r="X37" s="1227"/>
      <c r="Y37" s="1227"/>
      <c r="Z37" s="1227"/>
    </row>
    <row r="38" spans="2:26" ht="15.75" customHeight="1">
      <c r="B38" s="1229"/>
      <c r="C38" s="1229"/>
      <c r="D38" s="1227"/>
      <c r="E38" s="1227"/>
      <c r="F38" s="1227"/>
      <c r="G38" s="1227"/>
      <c r="H38" s="1227"/>
      <c r="I38" s="1227"/>
      <c r="J38" s="1227"/>
      <c r="K38" s="1227"/>
      <c r="L38" s="1227"/>
      <c r="M38" s="1227"/>
      <c r="N38" s="1227"/>
      <c r="O38" s="1227"/>
      <c r="P38" s="1227"/>
      <c r="Q38" s="1227"/>
      <c r="R38" s="1227"/>
      <c r="S38" s="1227"/>
      <c r="T38" s="1227"/>
      <c r="U38" s="1227"/>
      <c r="V38" s="1227"/>
      <c r="W38" s="1227"/>
      <c r="X38" s="1227"/>
      <c r="Y38" s="1227"/>
      <c r="Z38" s="1227"/>
    </row>
    <row r="39" spans="2:26" ht="15.75" customHeight="1">
      <c r="B39" s="1229"/>
      <c r="C39" s="1229"/>
      <c r="D39" s="1227"/>
      <c r="E39" s="1227"/>
      <c r="F39" s="1227"/>
      <c r="G39" s="1227"/>
      <c r="H39" s="1227"/>
      <c r="I39" s="1227"/>
      <c r="J39" s="1227"/>
      <c r="K39" s="1227"/>
      <c r="L39" s="1227"/>
      <c r="M39" s="1227"/>
      <c r="N39" s="1227"/>
      <c r="O39" s="1227"/>
      <c r="P39" s="1227"/>
      <c r="Q39" s="1227"/>
      <c r="R39" s="1227"/>
      <c r="S39" s="1227"/>
      <c r="T39" s="1227"/>
      <c r="U39" s="1227"/>
      <c r="V39" s="1227"/>
      <c r="W39" s="1227"/>
      <c r="X39" s="1227"/>
      <c r="Y39" s="1227"/>
      <c r="Z39" s="1227"/>
    </row>
    <row r="40" spans="2:26" ht="15.75" customHeight="1">
      <c r="B40" s="1229"/>
      <c r="C40" s="1229"/>
      <c r="D40" s="1227"/>
      <c r="E40" s="1227"/>
      <c r="F40" s="1227"/>
      <c r="G40" s="1227"/>
      <c r="H40" s="1227"/>
      <c r="I40" s="1227"/>
      <c r="J40" s="1227"/>
      <c r="K40" s="1227"/>
      <c r="L40" s="1227"/>
      <c r="M40" s="1227"/>
      <c r="N40" s="1227"/>
      <c r="O40" s="1227"/>
      <c r="P40" s="1227"/>
      <c r="Q40" s="1227"/>
      <c r="R40" s="1227"/>
      <c r="S40" s="1227"/>
      <c r="T40" s="1227"/>
      <c r="U40" s="1227"/>
      <c r="V40" s="1227"/>
      <c r="W40" s="1227"/>
      <c r="X40" s="1227"/>
      <c r="Y40" s="1227"/>
      <c r="Z40" s="1227"/>
    </row>
    <row r="41" spans="2:26" ht="15.75" customHeight="1">
      <c r="B41" s="1229"/>
      <c r="C41" s="1229"/>
      <c r="D41" s="1227"/>
      <c r="E41" s="1227"/>
      <c r="F41" s="1227"/>
      <c r="G41" s="1227"/>
      <c r="H41" s="1227"/>
      <c r="I41" s="1227"/>
      <c r="J41" s="1227"/>
      <c r="K41" s="1227"/>
      <c r="L41" s="1227"/>
      <c r="M41" s="1227"/>
      <c r="N41" s="1227"/>
      <c r="O41" s="1227"/>
      <c r="P41" s="1227"/>
      <c r="Q41" s="1227"/>
      <c r="R41" s="1227"/>
      <c r="S41" s="1227"/>
      <c r="T41" s="1227"/>
      <c r="U41" s="1227"/>
      <c r="V41" s="1227"/>
      <c r="W41" s="1227"/>
      <c r="X41" s="1227"/>
      <c r="Y41" s="1227"/>
      <c r="Z41" s="1227"/>
    </row>
    <row r="42" spans="2:26" ht="15.75" customHeight="1">
      <c r="B42" s="1229"/>
      <c r="C42" s="1229"/>
      <c r="D42" s="1227"/>
      <c r="E42" s="1227"/>
      <c r="F42" s="1227"/>
      <c r="G42" s="1227"/>
      <c r="H42" s="1227"/>
      <c r="I42" s="1227"/>
      <c r="J42" s="1227"/>
      <c r="K42" s="1227"/>
      <c r="L42" s="1227"/>
      <c r="M42" s="1227"/>
      <c r="N42" s="1227"/>
      <c r="O42" s="1227"/>
      <c r="P42" s="1227"/>
      <c r="Q42" s="1227"/>
      <c r="R42" s="1227"/>
      <c r="S42" s="1227"/>
      <c r="T42" s="1227"/>
      <c r="U42" s="1227"/>
      <c r="V42" s="1227"/>
      <c r="W42" s="1227"/>
      <c r="X42" s="1227"/>
      <c r="Y42" s="1227"/>
      <c r="Z42" s="1227"/>
    </row>
    <row r="43" spans="2:26" ht="15.75" customHeight="1">
      <c r="B43" s="1229"/>
      <c r="C43" s="1229"/>
      <c r="D43" s="1227"/>
      <c r="E43" s="1227"/>
      <c r="F43" s="1227"/>
      <c r="G43" s="1227"/>
      <c r="H43" s="1227"/>
      <c r="I43" s="1227"/>
      <c r="J43" s="1227"/>
      <c r="K43" s="1227"/>
      <c r="L43" s="1227"/>
      <c r="M43" s="1227"/>
      <c r="N43" s="1227"/>
      <c r="O43" s="1227"/>
      <c r="P43" s="1227"/>
      <c r="Q43" s="1227"/>
      <c r="R43" s="1227"/>
      <c r="S43" s="1227"/>
      <c r="T43" s="1227"/>
      <c r="U43" s="1227"/>
      <c r="V43" s="1227"/>
      <c r="W43" s="1227"/>
      <c r="X43" s="1227"/>
      <c r="Y43" s="1227"/>
      <c r="Z43" s="1227"/>
    </row>
    <row r="44" spans="2:26" ht="15.75" customHeight="1">
      <c r="B44" s="1229"/>
      <c r="C44" s="1229"/>
      <c r="D44" s="1227"/>
      <c r="E44" s="1227"/>
      <c r="F44" s="1227"/>
      <c r="G44" s="1227"/>
      <c r="H44" s="1227"/>
      <c r="I44" s="1227"/>
      <c r="J44" s="1227"/>
      <c r="K44" s="1227"/>
      <c r="L44" s="1227"/>
      <c r="M44" s="1227"/>
      <c r="N44" s="1227"/>
      <c r="O44" s="1227"/>
      <c r="P44" s="1227"/>
      <c r="Q44" s="1227"/>
      <c r="R44" s="1227"/>
      <c r="S44" s="1227"/>
      <c r="T44" s="1227"/>
      <c r="U44" s="1227"/>
      <c r="V44" s="1227"/>
      <c r="W44" s="1227"/>
      <c r="X44" s="1227"/>
      <c r="Y44" s="1227"/>
      <c r="Z44" s="1227"/>
    </row>
    <row r="45" spans="2:26" ht="15.75" customHeight="1">
      <c r="B45" s="1229"/>
      <c r="C45" s="1229"/>
      <c r="D45" s="1227"/>
      <c r="E45" s="1227"/>
      <c r="F45" s="1227"/>
      <c r="G45" s="1227"/>
      <c r="H45" s="1227"/>
      <c r="I45" s="1227"/>
      <c r="J45" s="1227"/>
      <c r="K45" s="1227"/>
      <c r="L45" s="1227"/>
      <c r="M45" s="1227"/>
      <c r="N45" s="1227"/>
      <c r="O45" s="1227"/>
      <c r="P45" s="1227"/>
      <c r="Q45" s="1227"/>
      <c r="R45" s="1227"/>
      <c r="S45" s="1227"/>
      <c r="T45" s="1227"/>
      <c r="U45" s="1227"/>
      <c r="V45" s="1227"/>
      <c r="W45" s="1227"/>
      <c r="X45" s="1227"/>
      <c r="Y45" s="1227"/>
      <c r="Z45" s="1227"/>
    </row>
    <row r="46" spans="2:26" ht="15.75" customHeight="1">
      <c r="B46" s="1229"/>
      <c r="C46" s="1229"/>
      <c r="D46" s="1227"/>
      <c r="E46" s="1227"/>
      <c r="F46" s="1227"/>
      <c r="G46" s="1227"/>
      <c r="H46" s="1227"/>
      <c r="I46" s="1227"/>
      <c r="J46" s="1227"/>
      <c r="K46" s="1227"/>
      <c r="L46" s="1227"/>
      <c r="M46" s="1227"/>
      <c r="N46" s="1227"/>
      <c r="O46" s="1227"/>
      <c r="P46" s="1227"/>
      <c r="Q46" s="1227"/>
      <c r="R46" s="1227"/>
      <c r="S46" s="1227"/>
      <c r="T46" s="1227"/>
      <c r="U46" s="1227"/>
      <c r="V46" s="1227"/>
      <c r="W46" s="1227"/>
      <c r="X46" s="1227"/>
      <c r="Y46" s="1227"/>
      <c r="Z46" s="1227"/>
    </row>
    <row r="47" spans="2:26" ht="15.75" customHeight="1">
      <c r="B47" s="1229"/>
      <c r="C47" s="1229"/>
      <c r="D47" s="1227"/>
      <c r="E47" s="1227"/>
      <c r="F47" s="1227"/>
      <c r="G47" s="1227"/>
      <c r="H47" s="1227"/>
      <c r="I47" s="1227"/>
      <c r="J47" s="1227"/>
      <c r="K47" s="1227"/>
      <c r="L47" s="1227"/>
      <c r="M47" s="1227"/>
      <c r="N47" s="1227"/>
      <c r="O47" s="1227"/>
      <c r="P47" s="1227"/>
      <c r="Q47" s="1227"/>
      <c r="R47" s="1227"/>
      <c r="S47" s="1227"/>
      <c r="T47" s="1227"/>
      <c r="U47" s="1227"/>
      <c r="V47" s="1227"/>
      <c r="W47" s="1227"/>
      <c r="X47" s="1227"/>
      <c r="Y47" s="1227"/>
      <c r="Z47" s="1227"/>
    </row>
    <row r="48" spans="2:26" ht="15.75" customHeight="1">
      <c r="B48" s="1229"/>
      <c r="C48" s="1229"/>
      <c r="D48" s="1227"/>
      <c r="E48" s="1227"/>
      <c r="F48" s="1227"/>
      <c r="G48" s="1227"/>
      <c r="H48" s="1227"/>
      <c r="I48" s="1227"/>
      <c r="J48" s="1227"/>
      <c r="K48" s="1227"/>
      <c r="L48" s="1227"/>
      <c r="M48" s="1227"/>
      <c r="N48" s="1227"/>
      <c r="O48" s="1227"/>
      <c r="P48" s="1227"/>
      <c r="Q48" s="1227"/>
      <c r="R48" s="1227"/>
      <c r="S48" s="1227"/>
      <c r="T48" s="1227"/>
      <c r="U48" s="1227"/>
      <c r="V48" s="1227"/>
      <c r="W48" s="1227"/>
      <c r="X48" s="1227"/>
      <c r="Y48" s="1227"/>
      <c r="Z48" s="1227"/>
    </row>
    <row r="49" spans="2:26" ht="15.75" customHeight="1">
      <c r="B49" s="1229"/>
      <c r="C49" s="1229"/>
      <c r="D49" s="1227"/>
      <c r="E49" s="1227"/>
      <c r="F49" s="1227"/>
      <c r="G49" s="1227"/>
      <c r="H49" s="1227"/>
      <c r="I49" s="1227"/>
      <c r="J49" s="1227"/>
      <c r="K49" s="1227"/>
      <c r="L49" s="1227"/>
      <c r="M49" s="1227"/>
      <c r="N49" s="1227"/>
      <c r="O49" s="1227"/>
      <c r="P49" s="1227"/>
      <c r="Q49" s="1227"/>
      <c r="R49" s="1227"/>
      <c r="S49" s="1227"/>
      <c r="T49" s="1227"/>
      <c r="U49" s="1227"/>
      <c r="V49" s="1227"/>
      <c r="W49" s="1227"/>
      <c r="X49" s="1227"/>
      <c r="Y49" s="1227"/>
      <c r="Z49" s="1227"/>
    </row>
    <row r="50" spans="2:26" ht="15.75" customHeight="1">
      <c r="B50" s="1229"/>
      <c r="C50" s="1229"/>
      <c r="D50" s="1227"/>
      <c r="E50" s="1227"/>
      <c r="F50" s="1227"/>
      <c r="G50" s="1227"/>
      <c r="H50" s="1227"/>
      <c r="I50" s="1227"/>
      <c r="J50" s="1227"/>
      <c r="K50" s="1227"/>
      <c r="L50" s="1227"/>
      <c r="M50" s="1227"/>
      <c r="N50" s="1227"/>
      <c r="O50" s="1227"/>
      <c r="P50" s="1227"/>
      <c r="Q50" s="1227"/>
      <c r="R50" s="1227"/>
      <c r="S50" s="1227"/>
      <c r="T50" s="1227"/>
      <c r="U50" s="1227"/>
      <c r="V50" s="1227"/>
      <c r="W50" s="1227"/>
      <c r="X50" s="1227"/>
      <c r="Y50" s="1227"/>
      <c r="Z50" s="1227"/>
    </row>
    <row r="51" spans="2:26" ht="15.75" customHeight="1">
      <c r="B51" s="1229"/>
      <c r="C51" s="1229"/>
      <c r="D51" s="1227"/>
      <c r="E51" s="1227"/>
      <c r="F51" s="1227"/>
      <c r="G51" s="1227"/>
      <c r="H51" s="1227"/>
      <c r="I51" s="1227"/>
      <c r="J51" s="1227"/>
      <c r="K51" s="1227"/>
      <c r="L51" s="1227"/>
      <c r="M51" s="1227"/>
      <c r="N51" s="1227"/>
      <c r="O51" s="1227"/>
      <c r="P51" s="1227"/>
      <c r="Q51" s="1227"/>
      <c r="R51" s="1227"/>
      <c r="S51" s="1227"/>
      <c r="T51" s="1227"/>
      <c r="U51" s="1227"/>
      <c r="V51" s="1227"/>
      <c r="W51" s="1227"/>
      <c r="X51" s="1227"/>
      <c r="Y51" s="1227"/>
      <c r="Z51" s="1227"/>
    </row>
    <row r="52" spans="2:26" ht="15.75" customHeight="1">
      <c r="B52" s="1229"/>
      <c r="C52" s="1229"/>
      <c r="D52" s="1227"/>
      <c r="E52" s="1227"/>
      <c r="F52" s="1227"/>
      <c r="G52" s="1227"/>
      <c r="H52" s="1227"/>
      <c r="I52" s="1227"/>
      <c r="J52" s="1227"/>
      <c r="K52" s="1227"/>
      <c r="L52" s="1227"/>
      <c r="M52" s="1227"/>
      <c r="N52" s="1227"/>
      <c r="O52" s="1227"/>
      <c r="P52" s="1227"/>
      <c r="Q52" s="1227"/>
      <c r="R52" s="1227"/>
      <c r="S52" s="1227"/>
      <c r="T52" s="1227"/>
      <c r="U52" s="1227"/>
      <c r="V52" s="1227"/>
      <c r="W52" s="1227"/>
      <c r="X52" s="1227"/>
      <c r="Y52" s="1227"/>
      <c r="Z52" s="1227"/>
    </row>
    <row r="53" spans="2:26" ht="15.75" customHeight="1">
      <c r="B53" s="1229"/>
      <c r="C53" s="1229"/>
      <c r="D53" s="1227"/>
      <c r="E53" s="1227"/>
      <c r="F53" s="1227"/>
      <c r="G53" s="1227"/>
      <c r="H53" s="1227"/>
      <c r="I53" s="1227"/>
      <c r="J53" s="1227"/>
      <c r="K53" s="1227"/>
      <c r="L53" s="1227"/>
      <c r="M53" s="1227"/>
      <c r="N53" s="1227"/>
      <c r="O53" s="1227"/>
      <c r="P53" s="1227"/>
      <c r="Q53" s="1227"/>
      <c r="R53" s="1227"/>
      <c r="S53" s="1227"/>
      <c r="T53" s="1227"/>
      <c r="U53" s="1227"/>
      <c r="V53" s="1227"/>
      <c r="W53" s="1227"/>
      <c r="X53" s="1227"/>
      <c r="Y53" s="1227"/>
      <c r="Z53" s="1227"/>
    </row>
  </sheetData>
  <sheetProtection insertRows="0" deleteRows="0"/>
  <mergeCells count="91">
    <mergeCell ref="V22:Z23"/>
    <mergeCell ref="A3:Z3"/>
    <mergeCell ref="E6:I7"/>
    <mergeCell ref="E8:I9"/>
    <mergeCell ref="J22:U23"/>
    <mergeCell ref="B20:C21"/>
    <mergeCell ref="B22:C23"/>
    <mergeCell ref="J6:Z7"/>
    <mergeCell ref="J8:Z9"/>
    <mergeCell ref="B16:C17"/>
    <mergeCell ref="B18:C19"/>
    <mergeCell ref="B14:C15"/>
    <mergeCell ref="B6:D13"/>
    <mergeCell ref="J20:U21"/>
    <mergeCell ref="V20:Z21"/>
    <mergeCell ref="V14:Z15"/>
    <mergeCell ref="D52:I53"/>
    <mergeCell ref="D40:I41"/>
    <mergeCell ref="D42:I43"/>
    <mergeCell ref="V30:Z31"/>
    <mergeCell ref="V32:Z33"/>
    <mergeCell ref="V48:Z49"/>
    <mergeCell ref="V50:Z51"/>
    <mergeCell ref="V52:Z53"/>
    <mergeCell ref="V36:Z37"/>
    <mergeCell ref="V38:Z39"/>
    <mergeCell ref="V40:Z41"/>
    <mergeCell ref="V42:Z43"/>
    <mergeCell ref="V44:Z45"/>
    <mergeCell ref="V46:Z47"/>
    <mergeCell ref="J48:U49"/>
    <mergeCell ref="J50:U51"/>
    <mergeCell ref="J32:U33"/>
    <mergeCell ref="J34:U35"/>
    <mergeCell ref="J36:U37"/>
    <mergeCell ref="V34:Z35"/>
    <mergeCell ref="V24:Z25"/>
    <mergeCell ref="V26:Z27"/>
    <mergeCell ref="V28:Z29"/>
    <mergeCell ref="J24:U25"/>
    <mergeCell ref="J26:U27"/>
    <mergeCell ref="J28:U29"/>
    <mergeCell ref="J30:U31"/>
    <mergeCell ref="J52:U53"/>
    <mergeCell ref="J38:U39"/>
    <mergeCell ref="J40:U41"/>
    <mergeCell ref="J42:U43"/>
    <mergeCell ref="J44:U45"/>
    <mergeCell ref="J46:U47"/>
    <mergeCell ref="B52:C53"/>
    <mergeCell ref="D14:I15"/>
    <mergeCell ref="D16:I17"/>
    <mergeCell ref="D18:I19"/>
    <mergeCell ref="D20:I21"/>
    <mergeCell ref="D22:I23"/>
    <mergeCell ref="B48:C49"/>
    <mergeCell ref="B50:C51"/>
    <mergeCell ref="D48:I49"/>
    <mergeCell ref="D50:I51"/>
    <mergeCell ref="B44:C45"/>
    <mergeCell ref="B46:C47"/>
    <mergeCell ref="D44:I45"/>
    <mergeCell ref="D46:I47"/>
    <mergeCell ref="B40:C41"/>
    <mergeCell ref="B42:C43"/>
    <mergeCell ref="B36:C37"/>
    <mergeCell ref="B38:C39"/>
    <mergeCell ref="D36:I37"/>
    <mergeCell ref="D38:I39"/>
    <mergeCell ref="B32:C33"/>
    <mergeCell ref="B34:C35"/>
    <mergeCell ref="D32:I33"/>
    <mergeCell ref="D34:I35"/>
    <mergeCell ref="B28:C29"/>
    <mergeCell ref="B30:C31"/>
    <mergeCell ref="D28:I29"/>
    <mergeCell ref="D30:I31"/>
    <mergeCell ref="B24:C25"/>
    <mergeCell ref="B26:C27"/>
    <mergeCell ref="D24:I25"/>
    <mergeCell ref="D26:I27"/>
    <mergeCell ref="V16:Z17"/>
    <mergeCell ref="V18:Z19"/>
    <mergeCell ref="J14:U15"/>
    <mergeCell ref="J16:U17"/>
    <mergeCell ref="J18:U19"/>
    <mergeCell ref="E10:I13"/>
    <mergeCell ref="J10:K11"/>
    <mergeCell ref="J12:K13"/>
    <mergeCell ref="L10:Z11"/>
    <mergeCell ref="L12:Z13"/>
  </mergeCells>
  <phoneticPr fontId="1"/>
  <printOptions horizontalCentered="1"/>
  <pageMargins left="0.19685039370078741" right="0.19685039370078741" top="0.74803149606299213" bottom="0.35433070866141736"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BO385"/>
  <sheetViews>
    <sheetView view="pageBreakPreview" topLeftCell="A43" zoomScaleNormal="100" zoomScaleSheetLayoutView="100" workbookViewId="0">
      <selection activeCell="R66" sqref="R66:W66"/>
    </sheetView>
  </sheetViews>
  <sheetFormatPr defaultColWidth="9" defaultRowHeight="17.25"/>
  <cols>
    <col min="1" max="65" width="3.875" style="22" customWidth="1"/>
    <col min="66" max="67" width="3.875" style="22" hidden="1" customWidth="1"/>
    <col min="68" max="81" width="3.875" style="22" customWidth="1"/>
    <col min="82" max="16384" width="9" style="22"/>
  </cols>
  <sheetData>
    <row r="1" spans="1:37" ht="18.75" customHeight="1">
      <c r="A1" s="22" t="s">
        <v>736</v>
      </c>
    </row>
    <row r="2" spans="1:37" ht="18.75" customHeight="1">
      <c r="A2" s="1333" t="s">
        <v>620</v>
      </c>
      <c r="B2" s="1333"/>
      <c r="C2" s="1333"/>
      <c r="D2" s="1333"/>
      <c r="E2" s="1333"/>
      <c r="F2" s="1333"/>
      <c r="G2" s="1333"/>
      <c r="H2" s="1333"/>
      <c r="I2" s="1333"/>
      <c r="J2" s="1333"/>
      <c r="K2" s="1333"/>
      <c r="L2" s="1333"/>
      <c r="M2" s="1333"/>
      <c r="N2" s="1333"/>
      <c r="O2" s="1333"/>
      <c r="P2" s="1333"/>
      <c r="Q2" s="1333"/>
      <c r="R2" s="1333"/>
      <c r="S2" s="1333"/>
      <c r="T2" s="1333"/>
      <c r="U2" s="1333"/>
      <c r="V2" s="1333"/>
      <c r="W2" s="1333"/>
      <c r="X2" s="1333"/>
      <c r="Y2" s="1333"/>
      <c r="Z2" s="1333"/>
      <c r="AA2" s="1333"/>
      <c r="AB2" s="1333"/>
      <c r="AC2" s="1333"/>
      <c r="AD2" s="1333"/>
      <c r="AE2" s="1333"/>
      <c r="AF2" s="1333"/>
      <c r="AG2" s="1333"/>
      <c r="AH2" s="1333"/>
      <c r="AI2" s="1333"/>
      <c r="AJ2" s="1333"/>
      <c r="AK2" s="1333"/>
    </row>
    <row r="3" spans="1:37" ht="18.75" customHeight="1"/>
    <row r="4" spans="1:37" ht="18.75" customHeight="1">
      <c r="AB4" s="23" t="s">
        <v>134</v>
      </c>
      <c r="AC4" s="1334" t="str">
        <f>+'様式６（事業計画変更申請書）'!J10</f>
        <v>●●法人　●●●●</v>
      </c>
      <c r="AD4" s="1334"/>
      <c r="AE4" s="1334"/>
      <c r="AF4" s="1334"/>
      <c r="AG4" s="1334"/>
      <c r="AH4" s="1334"/>
      <c r="AI4" s="1334"/>
      <c r="AJ4" s="1334"/>
      <c r="AK4" s="1334"/>
    </row>
    <row r="5" spans="1:37" ht="18.75" customHeight="1">
      <c r="B5" s="22" t="s">
        <v>135</v>
      </c>
    </row>
    <row r="6" spans="1:37" ht="18.75" customHeight="1">
      <c r="C6" s="1289" t="s">
        <v>136</v>
      </c>
      <c r="D6" s="1289"/>
      <c r="E6" s="1289"/>
      <c r="F6" s="1289"/>
      <c r="G6" s="1289"/>
      <c r="H6" s="1289"/>
      <c r="I6" s="1289"/>
      <c r="J6" s="1289"/>
      <c r="K6" s="1289"/>
      <c r="L6" s="1289"/>
      <c r="M6" s="1289"/>
      <c r="N6" s="1289"/>
      <c r="O6" s="1289"/>
      <c r="P6" s="1289"/>
      <c r="Q6" s="1311"/>
      <c r="R6" s="1289" t="s">
        <v>164</v>
      </c>
      <c r="S6" s="1289"/>
      <c r="T6" s="1289"/>
      <c r="U6" s="1289"/>
      <c r="V6" s="1289"/>
      <c r="W6" s="1289"/>
      <c r="X6" s="1289" t="s">
        <v>137</v>
      </c>
      <c r="Y6" s="1289"/>
      <c r="Z6" s="1289"/>
      <c r="AA6" s="1289"/>
      <c r="AB6" s="1289"/>
      <c r="AC6" s="1289"/>
      <c r="AD6" s="1289"/>
      <c r="AE6" s="1289"/>
      <c r="AF6" s="1289"/>
      <c r="AG6" s="1289"/>
      <c r="AH6" s="1289"/>
      <c r="AI6" s="1289"/>
      <c r="AJ6" s="1289"/>
      <c r="AK6" s="1289"/>
    </row>
    <row r="7" spans="1:37" ht="18.75" customHeight="1">
      <c r="C7" s="1335" t="s">
        <v>138</v>
      </c>
      <c r="D7" s="1336"/>
      <c r="E7" s="1336"/>
      <c r="F7" s="1336"/>
      <c r="G7" s="1336"/>
      <c r="H7" s="1336"/>
      <c r="I7" s="1336"/>
      <c r="J7" s="1336"/>
      <c r="K7" s="1336"/>
      <c r="L7" s="1336"/>
      <c r="M7" s="1336"/>
      <c r="N7" s="1336"/>
      <c r="O7" s="1336"/>
      <c r="P7" s="1336"/>
      <c r="Q7" s="1336"/>
      <c r="R7" s="1337">
        <f>SUM(R8:W10,R12:W13)</f>
        <v>8128000</v>
      </c>
      <c r="S7" s="1338"/>
      <c r="T7" s="1338"/>
      <c r="U7" s="1338"/>
      <c r="V7" s="1338"/>
      <c r="W7" s="1339"/>
      <c r="X7" s="1340"/>
      <c r="Y7" s="1341"/>
      <c r="Z7" s="1341"/>
      <c r="AA7" s="1341"/>
      <c r="AB7" s="1341"/>
      <c r="AC7" s="1341"/>
      <c r="AD7" s="1341"/>
      <c r="AE7" s="1341"/>
      <c r="AF7" s="1341"/>
      <c r="AG7" s="1341"/>
      <c r="AH7" s="1341"/>
      <c r="AI7" s="1341"/>
      <c r="AJ7" s="1341"/>
      <c r="AK7" s="1342"/>
    </row>
    <row r="8" spans="1:37" ht="18.75" customHeight="1">
      <c r="C8" s="24"/>
      <c r="D8" s="1271" t="s">
        <v>139</v>
      </c>
      <c r="E8" s="1272"/>
      <c r="F8" s="1272"/>
      <c r="G8" s="1272"/>
      <c r="H8" s="1272"/>
      <c r="I8" s="1272"/>
      <c r="J8" s="1272"/>
      <c r="K8" s="1272"/>
      <c r="L8" s="1272"/>
      <c r="M8" s="1272"/>
      <c r="N8" s="1272"/>
      <c r="O8" s="1272"/>
      <c r="P8" s="1272"/>
      <c r="Q8" s="1272"/>
      <c r="R8" s="1349">
        <v>4114000</v>
      </c>
      <c r="S8" s="1350"/>
      <c r="T8" s="1350"/>
      <c r="U8" s="1350"/>
      <c r="V8" s="1350"/>
      <c r="W8" s="1351"/>
      <c r="X8" s="1352" t="s">
        <v>728</v>
      </c>
      <c r="Y8" s="1353"/>
      <c r="Z8" s="1353"/>
      <c r="AA8" s="1353"/>
      <c r="AB8" s="1353"/>
      <c r="AC8" s="1353"/>
      <c r="AD8" s="1353"/>
      <c r="AE8" s="1353"/>
      <c r="AF8" s="1353"/>
      <c r="AG8" s="1353"/>
      <c r="AH8" s="1353"/>
      <c r="AI8" s="1353"/>
      <c r="AJ8" s="1353"/>
      <c r="AK8" s="1354"/>
    </row>
    <row r="9" spans="1:37" ht="18.75" customHeight="1">
      <c r="C9" s="25"/>
      <c r="D9" s="1273" t="s">
        <v>140</v>
      </c>
      <c r="E9" s="1274"/>
      <c r="F9" s="1274"/>
      <c r="G9" s="1274"/>
      <c r="H9" s="1274"/>
      <c r="I9" s="1274"/>
      <c r="J9" s="1274"/>
      <c r="K9" s="1274"/>
      <c r="L9" s="1274"/>
      <c r="M9" s="1274"/>
      <c r="N9" s="1274"/>
      <c r="O9" s="1274"/>
      <c r="P9" s="1274"/>
      <c r="Q9" s="1274"/>
      <c r="R9" s="1343">
        <v>50000</v>
      </c>
      <c r="S9" s="1344"/>
      <c r="T9" s="1344"/>
      <c r="U9" s="1344"/>
      <c r="V9" s="1344"/>
      <c r="W9" s="1345"/>
      <c r="X9" s="1346"/>
      <c r="Y9" s="1347"/>
      <c r="Z9" s="1347"/>
      <c r="AA9" s="1347"/>
      <c r="AB9" s="1347"/>
      <c r="AC9" s="1347"/>
      <c r="AD9" s="1347"/>
      <c r="AE9" s="1347"/>
      <c r="AF9" s="1347"/>
      <c r="AG9" s="1347"/>
      <c r="AH9" s="1347"/>
      <c r="AI9" s="1347"/>
      <c r="AJ9" s="1347"/>
      <c r="AK9" s="1348"/>
    </row>
    <row r="10" spans="1:37" ht="18.75" customHeight="1">
      <c r="C10" s="25"/>
      <c r="D10" s="1273" t="s">
        <v>141</v>
      </c>
      <c r="E10" s="1274"/>
      <c r="F10" s="1274"/>
      <c r="G10" s="1274"/>
      <c r="H10" s="1274"/>
      <c r="I10" s="1274"/>
      <c r="J10" s="1274"/>
      <c r="K10" s="1274"/>
      <c r="L10" s="1274"/>
      <c r="M10" s="1274"/>
      <c r="N10" s="1274"/>
      <c r="O10" s="1274"/>
      <c r="P10" s="1274"/>
      <c r="Q10" s="1274"/>
      <c r="R10" s="1343">
        <v>3264000</v>
      </c>
      <c r="S10" s="1344"/>
      <c r="T10" s="1344"/>
      <c r="U10" s="1344"/>
      <c r="V10" s="1344"/>
      <c r="W10" s="1345"/>
      <c r="X10" s="1346"/>
      <c r="Y10" s="1347"/>
      <c r="Z10" s="1347"/>
      <c r="AA10" s="1347"/>
      <c r="AB10" s="1347"/>
      <c r="AC10" s="1347"/>
      <c r="AD10" s="1347"/>
      <c r="AE10" s="1347"/>
      <c r="AF10" s="1347"/>
      <c r="AG10" s="1347"/>
      <c r="AH10" s="1347"/>
      <c r="AI10" s="1347"/>
      <c r="AJ10" s="1347"/>
      <c r="AK10" s="1348"/>
    </row>
    <row r="11" spans="1:37" s="436" customFormat="1" ht="17.100000000000001" customHeight="1">
      <c r="C11" s="437"/>
      <c r="D11" s="438"/>
      <c r="E11" s="439" t="s">
        <v>467</v>
      </c>
      <c r="F11" s="440"/>
      <c r="G11" s="440"/>
      <c r="H11" s="440"/>
      <c r="I11" s="440"/>
      <c r="J11" s="440"/>
      <c r="K11" s="440"/>
      <c r="L11" s="440"/>
      <c r="M11" s="440"/>
      <c r="N11" s="440"/>
      <c r="O11" s="440"/>
      <c r="P11" s="440"/>
      <c r="Q11" s="441"/>
      <c r="R11" s="1246">
        <v>200000</v>
      </c>
      <c r="S11" s="1247"/>
      <c r="T11" s="1247"/>
      <c r="U11" s="1247"/>
      <c r="V11" s="1247"/>
      <c r="W11" s="1248"/>
      <c r="X11" s="298"/>
      <c r="Y11" s="379"/>
      <c r="Z11" s="379"/>
      <c r="AA11" s="379"/>
      <c r="AB11" s="379"/>
      <c r="AC11" s="379"/>
      <c r="AD11" s="379"/>
      <c r="AE11" s="379"/>
      <c r="AF11" s="379"/>
      <c r="AG11" s="379"/>
      <c r="AH11" s="379"/>
      <c r="AI11" s="379"/>
      <c r="AJ11" s="379"/>
      <c r="AK11" s="380"/>
    </row>
    <row r="12" spans="1:37" ht="18.75" customHeight="1">
      <c r="C12" s="25"/>
      <c r="D12" s="1273" t="s">
        <v>142</v>
      </c>
      <c r="E12" s="1274"/>
      <c r="F12" s="1274"/>
      <c r="G12" s="1274"/>
      <c r="H12" s="1274"/>
      <c r="I12" s="1274"/>
      <c r="J12" s="1274"/>
      <c r="K12" s="1274"/>
      <c r="L12" s="1274"/>
      <c r="M12" s="1274"/>
      <c r="N12" s="1274"/>
      <c r="O12" s="1274"/>
      <c r="P12" s="1274"/>
      <c r="Q12" s="1274"/>
      <c r="R12" s="1343">
        <v>100000</v>
      </c>
      <c r="S12" s="1344"/>
      <c r="T12" s="1344"/>
      <c r="U12" s="1344"/>
      <c r="V12" s="1344"/>
      <c r="W12" s="1345"/>
      <c r="X12" s="1346"/>
      <c r="Y12" s="1347"/>
      <c r="Z12" s="1347"/>
      <c r="AA12" s="1347"/>
      <c r="AB12" s="1347"/>
      <c r="AC12" s="1347"/>
      <c r="AD12" s="1347"/>
      <c r="AE12" s="1347"/>
      <c r="AF12" s="1347"/>
      <c r="AG12" s="1347"/>
      <c r="AH12" s="1347"/>
      <c r="AI12" s="1347"/>
      <c r="AJ12" s="1347"/>
      <c r="AK12" s="1348"/>
    </row>
    <row r="13" spans="1:37" ht="18.75" customHeight="1">
      <c r="C13" s="26"/>
      <c r="D13" s="1281" t="s">
        <v>143</v>
      </c>
      <c r="E13" s="1282"/>
      <c r="F13" s="1282"/>
      <c r="G13" s="1282"/>
      <c r="H13" s="1282"/>
      <c r="I13" s="1282"/>
      <c r="J13" s="1282"/>
      <c r="K13" s="1282"/>
      <c r="L13" s="1282"/>
      <c r="M13" s="1282"/>
      <c r="N13" s="1282"/>
      <c r="O13" s="1282"/>
      <c r="P13" s="1282"/>
      <c r="Q13" s="1282"/>
      <c r="R13" s="1355">
        <v>600000</v>
      </c>
      <c r="S13" s="1356"/>
      <c r="T13" s="1356"/>
      <c r="U13" s="1356"/>
      <c r="V13" s="1356"/>
      <c r="W13" s="1357"/>
      <c r="X13" s="1358"/>
      <c r="Y13" s="1359"/>
      <c r="Z13" s="1359"/>
      <c r="AA13" s="1359"/>
      <c r="AB13" s="1359"/>
      <c r="AC13" s="1359"/>
      <c r="AD13" s="1359"/>
      <c r="AE13" s="1359"/>
      <c r="AF13" s="1359"/>
      <c r="AG13" s="1359"/>
      <c r="AH13" s="1359"/>
      <c r="AI13" s="1359"/>
      <c r="AJ13" s="1359"/>
      <c r="AK13" s="1360"/>
    </row>
    <row r="14" spans="1:37" ht="18.75" customHeight="1">
      <c r="C14" s="1335" t="s">
        <v>144</v>
      </c>
      <c r="D14" s="1336"/>
      <c r="E14" s="1336"/>
      <c r="F14" s="1336"/>
      <c r="G14" s="1336"/>
      <c r="H14" s="1336"/>
      <c r="I14" s="1336"/>
      <c r="J14" s="1336"/>
      <c r="K14" s="1336"/>
      <c r="L14" s="1336"/>
      <c r="M14" s="1336"/>
      <c r="N14" s="1336"/>
      <c r="O14" s="1336"/>
      <c r="P14" s="1336"/>
      <c r="Q14" s="1336"/>
      <c r="R14" s="1337">
        <f>SUM(R15:W34)</f>
        <v>12231600</v>
      </c>
      <c r="S14" s="1338"/>
      <c r="T14" s="1338"/>
      <c r="U14" s="1338"/>
      <c r="V14" s="1338"/>
      <c r="W14" s="1339"/>
      <c r="X14" s="1340"/>
      <c r="Y14" s="1341"/>
      <c r="Z14" s="1341"/>
      <c r="AA14" s="1341"/>
      <c r="AB14" s="1341"/>
      <c r="AC14" s="1341"/>
      <c r="AD14" s="1341"/>
      <c r="AE14" s="1341"/>
      <c r="AF14" s="1341"/>
      <c r="AG14" s="1341"/>
      <c r="AH14" s="1341"/>
      <c r="AI14" s="1341"/>
      <c r="AJ14" s="1341"/>
      <c r="AK14" s="1342"/>
    </row>
    <row r="15" spans="1:37" ht="18.75" customHeight="1">
      <c r="C15" s="25"/>
      <c r="D15" s="1271" t="s">
        <v>462</v>
      </c>
      <c r="E15" s="1272"/>
      <c r="F15" s="1272"/>
      <c r="G15" s="1272"/>
      <c r="H15" s="1272"/>
      <c r="I15" s="1272"/>
      <c r="J15" s="1272"/>
      <c r="K15" s="1272"/>
      <c r="L15" s="1272"/>
      <c r="M15" s="1272"/>
      <c r="N15" s="1272"/>
      <c r="O15" s="1272"/>
      <c r="P15" s="1272"/>
      <c r="Q15" s="1272"/>
      <c r="R15" s="1278">
        <f>'様式６（事業計画変更申請書）'!P19</f>
        <v>4552000</v>
      </c>
      <c r="S15" s="1279"/>
      <c r="T15" s="1279"/>
      <c r="U15" s="1279"/>
      <c r="V15" s="1279"/>
      <c r="W15" s="1280"/>
      <c r="X15" s="1257"/>
      <c r="Y15" s="1258"/>
      <c r="Z15" s="1258"/>
      <c r="AA15" s="1258"/>
      <c r="AB15" s="1258"/>
      <c r="AC15" s="1258"/>
      <c r="AD15" s="1258"/>
      <c r="AE15" s="1258"/>
      <c r="AF15" s="1258"/>
      <c r="AG15" s="1258"/>
      <c r="AH15" s="1258"/>
      <c r="AI15" s="1258"/>
      <c r="AJ15" s="1258"/>
      <c r="AK15" s="1259"/>
    </row>
    <row r="16" spans="1:37" ht="18.75" customHeight="1">
      <c r="C16" s="25"/>
      <c r="D16" s="1273" t="s">
        <v>463</v>
      </c>
      <c r="E16" s="1274"/>
      <c r="F16" s="1274"/>
      <c r="G16" s="1274"/>
      <c r="H16" s="1274"/>
      <c r="I16" s="1274"/>
      <c r="J16" s="1274"/>
      <c r="K16" s="1274"/>
      <c r="L16" s="1274"/>
      <c r="M16" s="1274"/>
      <c r="N16" s="1274"/>
      <c r="O16" s="1274"/>
      <c r="P16" s="1274"/>
      <c r="Q16" s="1274"/>
      <c r="R16" s="1275">
        <f>'様式６（事業計画変更申請書）'!P20</f>
        <v>0</v>
      </c>
      <c r="S16" s="1276"/>
      <c r="T16" s="1276"/>
      <c r="U16" s="1276"/>
      <c r="V16" s="1276"/>
      <c r="W16" s="1277"/>
      <c r="X16" s="1260"/>
      <c r="Y16" s="1261"/>
      <c r="Z16" s="1261"/>
      <c r="AA16" s="1261"/>
      <c r="AB16" s="1261"/>
      <c r="AC16" s="1261"/>
      <c r="AD16" s="1261"/>
      <c r="AE16" s="1261"/>
      <c r="AF16" s="1261"/>
      <c r="AG16" s="1261"/>
      <c r="AH16" s="1261"/>
      <c r="AI16" s="1261"/>
      <c r="AJ16" s="1261"/>
      <c r="AK16" s="1262"/>
    </row>
    <row r="17" spans="3:37" ht="18.75" customHeight="1">
      <c r="C17" s="25"/>
      <c r="D17" s="1273" t="s">
        <v>464</v>
      </c>
      <c r="E17" s="1274"/>
      <c r="F17" s="1274"/>
      <c r="G17" s="1274"/>
      <c r="H17" s="1274"/>
      <c r="I17" s="1274"/>
      <c r="J17" s="1274"/>
      <c r="K17" s="1274"/>
      <c r="L17" s="1274"/>
      <c r="M17" s="1274"/>
      <c r="N17" s="1274"/>
      <c r="O17" s="1274"/>
      <c r="P17" s="1274"/>
      <c r="Q17" s="1274"/>
      <c r="R17" s="1275">
        <f>'様式６（事業計画変更申請書）'!P21</f>
        <v>1102000</v>
      </c>
      <c r="S17" s="1276"/>
      <c r="T17" s="1276"/>
      <c r="U17" s="1276"/>
      <c r="V17" s="1276"/>
      <c r="W17" s="1277"/>
      <c r="X17" s="1260"/>
      <c r="Y17" s="1261"/>
      <c r="Z17" s="1261"/>
      <c r="AA17" s="1261"/>
      <c r="AB17" s="1261"/>
      <c r="AC17" s="1261"/>
      <c r="AD17" s="1261"/>
      <c r="AE17" s="1261"/>
      <c r="AF17" s="1261"/>
      <c r="AG17" s="1261"/>
      <c r="AH17" s="1261"/>
      <c r="AI17" s="1261"/>
      <c r="AJ17" s="1261"/>
      <c r="AK17" s="1262"/>
    </row>
    <row r="18" spans="3:37" ht="18.75" customHeight="1">
      <c r="C18" s="25"/>
      <c r="D18" s="1273" t="s">
        <v>465</v>
      </c>
      <c r="E18" s="1274"/>
      <c r="F18" s="1274"/>
      <c r="G18" s="1274"/>
      <c r="H18" s="1274"/>
      <c r="I18" s="1274"/>
      <c r="J18" s="1274"/>
      <c r="K18" s="1274"/>
      <c r="L18" s="1274"/>
      <c r="M18" s="1274"/>
      <c r="N18" s="1274"/>
      <c r="O18" s="1274"/>
      <c r="P18" s="1274"/>
      <c r="Q18" s="1274"/>
      <c r="R18" s="1275">
        <f>'様式６（事業計画変更申請書）'!P22</f>
        <v>0</v>
      </c>
      <c r="S18" s="1276"/>
      <c r="T18" s="1276"/>
      <c r="U18" s="1276"/>
      <c r="V18" s="1276"/>
      <c r="W18" s="1277"/>
      <c r="X18" s="1260"/>
      <c r="Y18" s="1261"/>
      <c r="Z18" s="1261"/>
      <c r="AA18" s="1261"/>
      <c r="AB18" s="1261"/>
      <c r="AC18" s="1261"/>
      <c r="AD18" s="1261"/>
      <c r="AE18" s="1261"/>
      <c r="AF18" s="1261"/>
      <c r="AG18" s="1261"/>
      <c r="AH18" s="1261"/>
      <c r="AI18" s="1261"/>
      <c r="AJ18" s="1261"/>
      <c r="AK18" s="1262"/>
    </row>
    <row r="19" spans="3:37" ht="18.75" customHeight="1">
      <c r="C19" s="25"/>
      <c r="D19" s="1273" t="s">
        <v>466</v>
      </c>
      <c r="E19" s="1274"/>
      <c r="F19" s="1274"/>
      <c r="G19" s="1274"/>
      <c r="H19" s="1274"/>
      <c r="I19" s="1274"/>
      <c r="J19" s="1274"/>
      <c r="K19" s="1274"/>
      <c r="L19" s="1274"/>
      <c r="M19" s="1274"/>
      <c r="N19" s="1274"/>
      <c r="O19" s="1274"/>
      <c r="P19" s="1274"/>
      <c r="Q19" s="1274"/>
      <c r="R19" s="1275">
        <f>'様式６（事業計画変更申請書）'!P23</f>
        <v>189000</v>
      </c>
      <c r="S19" s="1276"/>
      <c r="T19" s="1276"/>
      <c r="U19" s="1276"/>
      <c r="V19" s="1276"/>
      <c r="W19" s="1277"/>
      <c r="X19" s="1260"/>
      <c r="Y19" s="1261"/>
      <c r="Z19" s="1261"/>
      <c r="AA19" s="1261"/>
      <c r="AB19" s="1261"/>
      <c r="AC19" s="1261"/>
      <c r="AD19" s="1261"/>
      <c r="AE19" s="1261"/>
      <c r="AF19" s="1261"/>
      <c r="AG19" s="1261"/>
      <c r="AH19" s="1261"/>
      <c r="AI19" s="1261"/>
      <c r="AJ19" s="1261"/>
      <c r="AK19" s="1262"/>
    </row>
    <row r="20" spans="3:37" ht="18.75" customHeight="1">
      <c r="C20" s="25"/>
      <c r="D20" s="1273" t="s">
        <v>468</v>
      </c>
      <c r="E20" s="1274"/>
      <c r="F20" s="1274"/>
      <c r="G20" s="1274"/>
      <c r="H20" s="1274"/>
      <c r="I20" s="1274"/>
      <c r="J20" s="1274"/>
      <c r="K20" s="1274"/>
      <c r="L20" s="1274"/>
      <c r="M20" s="1274"/>
      <c r="N20" s="1274"/>
      <c r="O20" s="1274"/>
      <c r="P20" s="1274"/>
      <c r="Q20" s="1274"/>
      <c r="R20" s="1275">
        <f>'様式６（事業計画変更申請書）'!P24</f>
        <v>2009000</v>
      </c>
      <c r="S20" s="1276"/>
      <c r="T20" s="1276"/>
      <c r="U20" s="1276"/>
      <c r="V20" s="1276"/>
      <c r="W20" s="1277"/>
      <c r="X20" s="1260"/>
      <c r="Y20" s="1261"/>
      <c r="Z20" s="1261"/>
      <c r="AA20" s="1261"/>
      <c r="AB20" s="1261"/>
      <c r="AC20" s="1261"/>
      <c r="AD20" s="1261"/>
      <c r="AE20" s="1261"/>
      <c r="AF20" s="1261"/>
      <c r="AG20" s="1261"/>
      <c r="AH20" s="1261"/>
      <c r="AI20" s="1261"/>
      <c r="AJ20" s="1261"/>
      <c r="AK20" s="1262"/>
    </row>
    <row r="21" spans="3:37" ht="18.75" customHeight="1">
      <c r="C21" s="25"/>
      <c r="D21" s="1273" t="s">
        <v>469</v>
      </c>
      <c r="E21" s="1274"/>
      <c r="F21" s="1274"/>
      <c r="G21" s="1274"/>
      <c r="H21" s="1274"/>
      <c r="I21" s="1274"/>
      <c r="J21" s="1274"/>
      <c r="K21" s="1274"/>
      <c r="L21" s="1274"/>
      <c r="M21" s="1274"/>
      <c r="N21" s="1274"/>
      <c r="O21" s="1274"/>
      <c r="P21" s="1274"/>
      <c r="Q21" s="1274"/>
      <c r="R21" s="1275">
        <f>'様式６（事業計画変更申請書）'!P25</f>
        <v>401000</v>
      </c>
      <c r="S21" s="1276"/>
      <c r="T21" s="1276"/>
      <c r="U21" s="1276"/>
      <c r="V21" s="1276"/>
      <c r="W21" s="1277"/>
      <c r="X21" s="1260"/>
      <c r="Y21" s="1261"/>
      <c r="Z21" s="1261"/>
      <c r="AA21" s="1261"/>
      <c r="AB21" s="1261"/>
      <c r="AC21" s="1261"/>
      <c r="AD21" s="1261"/>
      <c r="AE21" s="1261"/>
      <c r="AF21" s="1261"/>
      <c r="AG21" s="1261"/>
      <c r="AH21" s="1261"/>
      <c r="AI21" s="1261"/>
      <c r="AJ21" s="1261"/>
      <c r="AK21" s="1262"/>
    </row>
    <row r="22" spans="3:37" ht="18.75" customHeight="1">
      <c r="C22" s="25"/>
      <c r="D22" s="1273" t="s">
        <v>470</v>
      </c>
      <c r="E22" s="1274"/>
      <c r="F22" s="1274"/>
      <c r="G22" s="1274"/>
      <c r="H22" s="1274"/>
      <c r="I22" s="1274"/>
      <c r="J22" s="1274"/>
      <c r="K22" s="1274"/>
      <c r="L22" s="1274"/>
      <c r="M22" s="1274"/>
      <c r="N22" s="1274"/>
      <c r="O22" s="1274"/>
      <c r="P22" s="1274"/>
      <c r="Q22" s="1274"/>
      <c r="R22" s="1275">
        <f>'様式６（事業計画変更申請書）'!P26</f>
        <v>0</v>
      </c>
      <c r="S22" s="1276"/>
      <c r="T22" s="1276"/>
      <c r="U22" s="1276"/>
      <c r="V22" s="1276"/>
      <c r="W22" s="1277"/>
      <c r="X22" s="1260"/>
      <c r="Y22" s="1261"/>
      <c r="Z22" s="1261"/>
      <c r="AA22" s="1261"/>
      <c r="AB22" s="1261"/>
      <c r="AC22" s="1261"/>
      <c r="AD22" s="1261"/>
      <c r="AE22" s="1261"/>
      <c r="AF22" s="1261"/>
      <c r="AG22" s="1261"/>
      <c r="AH22" s="1261"/>
      <c r="AI22" s="1261"/>
      <c r="AJ22" s="1261"/>
      <c r="AK22" s="1262"/>
    </row>
    <row r="23" spans="3:37" ht="18.75" customHeight="1">
      <c r="C23" s="25"/>
      <c r="D23" s="1273" t="s">
        <v>471</v>
      </c>
      <c r="E23" s="1274"/>
      <c r="F23" s="1274"/>
      <c r="G23" s="1274"/>
      <c r="H23" s="1274"/>
      <c r="I23" s="1274"/>
      <c r="J23" s="1274"/>
      <c r="K23" s="1274"/>
      <c r="L23" s="1274"/>
      <c r="M23" s="1274"/>
      <c r="N23" s="1274"/>
      <c r="O23" s="1274"/>
      <c r="P23" s="1274"/>
      <c r="Q23" s="1274"/>
      <c r="R23" s="1275">
        <f>'様式６（事業計画変更申請書）'!P27</f>
        <v>1678000</v>
      </c>
      <c r="S23" s="1276"/>
      <c r="T23" s="1276"/>
      <c r="U23" s="1276"/>
      <c r="V23" s="1276"/>
      <c r="W23" s="1277"/>
      <c r="X23" s="1260"/>
      <c r="Y23" s="1261"/>
      <c r="Z23" s="1261"/>
      <c r="AA23" s="1261"/>
      <c r="AB23" s="1261"/>
      <c r="AC23" s="1261"/>
      <c r="AD23" s="1261"/>
      <c r="AE23" s="1261"/>
      <c r="AF23" s="1261"/>
      <c r="AG23" s="1261"/>
      <c r="AH23" s="1261"/>
      <c r="AI23" s="1261"/>
      <c r="AJ23" s="1261"/>
      <c r="AK23" s="1262"/>
    </row>
    <row r="24" spans="3:37" ht="18.75" customHeight="1">
      <c r="C24" s="25"/>
      <c r="D24" s="1273" t="s">
        <v>586</v>
      </c>
      <c r="E24" s="1274"/>
      <c r="F24" s="1274"/>
      <c r="G24" s="1274"/>
      <c r="H24" s="1274"/>
      <c r="I24" s="1274"/>
      <c r="J24" s="1274"/>
      <c r="K24" s="1274"/>
      <c r="L24" s="1274"/>
      <c r="M24" s="1274"/>
      <c r="N24" s="1274"/>
      <c r="O24" s="1274"/>
      <c r="P24" s="1274"/>
      <c r="Q24" s="1274"/>
      <c r="R24" s="1361">
        <f>'様式６（事業計画変更申請書）'!P28</f>
        <v>888000</v>
      </c>
      <c r="S24" s="1362"/>
      <c r="T24" s="1362"/>
      <c r="U24" s="1362"/>
      <c r="V24" s="1362"/>
      <c r="W24" s="1363"/>
      <c r="X24" s="1260"/>
      <c r="Y24" s="1261"/>
      <c r="Z24" s="1261"/>
      <c r="AA24" s="1261"/>
      <c r="AB24" s="1261"/>
      <c r="AC24" s="1261"/>
      <c r="AD24" s="1261"/>
      <c r="AE24" s="1261"/>
      <c r="AF24" s="1261"/>
      <c r="AG24" s="1261"/>
      <c r="AH24" s="1261"/>
      <c r="AI24" s="1261"/>
      <c r="AJ24" s="1261"/>
      <c r="AK24" s="1262"/>
    </row>
    <row r="25" spans="3:37" ht="18.75" customHeight="1">
      <c r="C25" s="25"/>
      <c r="D25" s="1273" t="s">
        <v>647</v>
      </c>
      <c r="E25" s="1274"/>
      <c r="F25" s="1274"/>
      <c r="G25" s="1274"/>
      <c r="H25" s="1274"/>
      <c r="I25" s="1274"/>
      <c r="J25" s="1274"/>
      <c r="K25" s="1274"/>
      <c r="L25" s="1274"/>
      <c r="M25" s="1274"/>
      <c r="N25" s="1274"/>
      <c r="O25" s="1274"/>
      <c r="P25" s="1274"/>
      <c r="Q25" s="1274"/>
      <c r="R25" s="1275">
        <f>'様式６（事業計画変更申請書）'!P29</f>
        <v>534600</v>
      </c>
      <c r="S25" s="1276"/>
      <c r="T25" s="1276"/>
      <c r="U25" s="1276"/>
      <c r="V25" s="1276"/>
      <c r="W25" s="1277"/>
      <c r="X25" s="1260"/>
      <c r="Y25" s="1261"/>
      <c r="Z25" s="1261"/>
      <c r="AA25" s="1261"/>
      <c r="AB25" s="1261"/>
      <c r="AC25" s="1261"/>
      <c r="AD25" s="1261"/>
      <c r="AE25" s="1261"/>
      <c r="AF25" s="1261"/>
      <c r="AG25" s="1261"/>
      <c r="AH25" s="1261"/>
      <c r="AI25" s="1261"/>
      <c r="AJ25" s="1261"/>
      <c r="AK25" s="1262"/>
    </row>
    <row r="26" spans="3:37" ht="18.75" customHeight="1">
      <c r="C26" s="25"/>
      <c r="D26" s="1273" t="s">
        <v>472</v>
      </c>
      <c r="E26" s="1274"/>
      <c r="F26" s="1274"/>
      <c r="G26" s="1274"/>
      <c r="H26" s="1274"/>
      <c r="I26" s="1274"/>
      <c r="J26" s="1274"/>
      <c r="K26" s="1274"/>
      <c r="L26" s="1274"/>
      <c r="M26" s="1274"/>
      <c r="N26" s="1274"/>
      <c r="O26" s="1274"/>
      <c r="P26" s="1274"/>
      <c r="Q26" s="1274"/>
      <c r="R26" s="1275">
        <f>'様式６（事業計画変更申請書）'!P30</f>
        <v>480000</v>
      </c>
      <c r="S26" s="1276"/>
      <c r="T26" s="1276"/>
      <c r="U26" s="1276"/>
      <c r="V26" s="1276"/>
      <c r="W26" s="1277"/>
      <c r="X26" s="1260"/>
      <c r="Y26" s="1261"/>
      <c r="Z26" s="1261"/>
      <c r="AA26" s="1261"/>
      <c r="AB26" s="1261"/>
      <c r="AC26" s="1261"/>
      <c r="AD26" s="1261"/>
      <c r="AE26" s="1261"/>
      <c r="AF26" s="1261"/>
      <c r="AG26" s="1261"/>
      <c r="AH26" s="1261"/>
      <c r="AI26" s="1261"/>
      <c r="AJ26" s="1261"/>
      <c r="AK26" s="1262"/>
    </row>
    <row r="27" spans="3:37" ht="18.75" customHeight="1">
      <c r="C27" s="25"/>
      <c r="D27" s="1273" t="s">
        <v>473</v>
      </c>
      <c r="E27" s="1274"/>
      <c r="F27" s="1274"/>
      <c r="G27" s="1274"/>
      <c r="H27" s="1274"/>
      <c r="I27" s="1274"/>
      <c r="J27" s="1274"/>
      <c r="K27" s="1274"/>
      <c r="L27" s="1274"/>
      <c r="M27" s="1274"/>
      <c r="N27" s="1274"/>
      <c r="O27" s="1274"/>
      <c r="P27" s="1274"/>
      <c r="Q27" s="1274"/>
      <c r="R27" s="1275">
        <f>'様式６（事業計画変更申請書）'!P31</f>
        <v>0</v>
      </c>
      <c r="S27" s="1276"/>
      <c r="T27" s="1276"/>
      <c r="U27" s="1276"/>
      <c r="V27" s="1276"/>
      <c r="W27" s="1277"/>
      <c r="X27" s="1260"/>
      <c r="Y27" s="1261"/>
      <c r="Z27" s="1261"/>
      <c r="AA27" s="1261"/>
      <c r="AB27" s="1261"/>
      <c r="AC27" s="1261"/>
      <c r="AD27" s="1261"/>
      <c r="AE27" s="1261"/>
      <c r="AF27" s="1261"/>
      <c r="AG27" s="1261"/>
      <c r="AH27" s="1261"/>
      <c r="AI27" s="1261"/>
      <c r="AJ27" s="1261"/>
      <c r="AK27" s="1262"/>
    </row>
    <row r="28" spans="3:37" ht="18.75" customHeight="1">
      <c r="C28" s="25"/>
      <c r="D28" s="1273" t="s">
        <v>474</v>
      </c>
      <c r="E28" s="1274"/>
      <c r="F28" s="1274"/>
      <c r="G28" s="1274"/>
      <c r="H28" s="1274"/>
      <c r="I28" s="1274"/>
      <c r="J28" s="1274"/>
      <c r="K28" s="1274"/>
      <c r="L28" s="1274"/>
      <c r="M28" s="1274"/>
      <c r="N28" s="1274"/>
      <c r="O28" s="1274"/>
      <c r="P28" s="1274"/>
      <c r="Q28" s="1274"/>
      <c r="R28" s="1275">
        <f>'様式６（事業計画変更申請書）'!P32</f>
        <v>180000</v>
      </c>
      <c r="S28" s="1276"/>
      <c r="T28" s="1276"/>
      <c r="U28" s="1276"/>
      <c r="V28" s="1276"/>
      <c r="W28" s="1277"/>
      <c r="X28" s="1260"/>
      <c r="Y28" s="1261"/>
      <c r="Z28" s="1261"/>
      <c r="AA28" s="1261"/>
      <c r="AB28" s="1261"/>
      <c r="AC28" s="1261"/>
      <c r="AD28" s="1261"/>
      <c r="AE28" s="1261"/>
      <c r="AF28" s="1261"/>
      <c r="AG28" s="1261"/>
      <c r="AH28" s="1261"/>
      <c r="AI28" s="1261"/>
      <c r="AJ28" s="1261"/>
      <c r="AK28" s="1262"/>
    </row>
    <row r="29" spans="3:37" ht="18.75" customHeight="1">
      <c r="C29" s="25"/>
      <c r="D29" s="1273" t="s">
        <v>475</v>
      </c>
      <c r="E29" s="1274"/>
      <c r="F29" s="1274"/>
      <c r="G29" s="1274"/>
      <c r="H29" s="1274"/>
      <c r="I29" s="1274"/>
      <c r="J29" s="1274"/>
      <c r="K29" s="1274"/>
      <c r="L29" s="1274"/>
      <c r="M29" s="1274"/>
      <c r="N29" s="1274"/>
      <c r="O29" s="1274"/>
      <c r="P29" s="1274"/>
      <c r="Q29" s="1274"/>
      <c r="R29" s="1275">
        <f>'様式６（事業計画変更申請書）'!P33</f>
        <v>170000</v>
      </c>
      <c r="S29" s="1276"/>
      <c r="T29" s="1276"/>
      <c r="U29" s="1276"/>
      <c r="V29" s="1276"/>
      <c r="W29" s="1277"/>
      <c r="X29" s="1260"/>
      <c r="Y29" s="1261"/>
      <c r="Z29" s="1261"/>
      <c r="AA29" s="1261"/>
      <c r="AB29" s="1261"/>
      <c r="AC29" s="1261"/>
      <c r="AD29" s="1261"/>
      <c r="AE29" s="1261"/>
      <c r="AF29" s="1261"/>
      <c r="AG29" s="1261"/>
      <c r="AH29" s="1261"/>
      <c r="AI29" s="1261"/>
      <c r="AJ29" s="1261"/>
      <c r="AK29" s="1262"/>
    </row>
    <row r="30" spans="3:37" ht="18.75" customHeight="1">
      <c r="C30" s="25"/>
      <c r="D30" s="1273" t="s">
        <v>476</v>
      </c>
      <c r="E30" s="1274"/>
      <c r="F30" s="1274"/>
      <c r="G30" s="1274"/>
      <c r="H30" s="1274"/>
      <c r="I30" s="1274"/>
      <c r="J30" s="1274"/>
      <c r="K30" s="1274"/>
      <c r="L30" s="1274"/>
      <c r="M30" s="1274"/>
      <c r="N30" s="1274"/>
      <c r="O30" s="1274"/>
      <c r="P30" s="1274"/>
      <c r="Q30" s="1274"/>
      <c r="R30" s="1275">
        <f>'様式６（事業計画変更申請書）'!P34</f>
        <v>0</v>
      </c>
      <c r="S30" s="1276"/>
      <c r="T30" s="1276"/>
      <c r="U30" s="1276"/>
      <c r="V30" s="1276"/>
      <c r="W30" s="1277"/>
      <c r="X30" s="1260"/>
      <c r="Y30" s="1261"/>
      <c r="Z30" s="1261"/>
      <c r="AA30" s="1261"/>
      <c r="AB30" s="1261"/>
      <c r="AC30" s="1261"/>
      <c r="AD30" s="1261"/>
      <c r="AE30" s="1261"/>
      <c r="AF30" s="1261"/>
      <c r="AG30" s="1261"/>
      <c r="AH30" s="1261"/>
      <c r="AI30" s="1261"/>
      <c r="AJ30" s="1261"/>
      <c r="AK30" s="1262"/>
    </row>
    <row r="31" spans="3:37" ht="18.75" customHeight="1">
      <c r="C31" s="25"/>
      <c r="D31" s="1273" t="s">
        <v>477</v>
      </c>
      <c r="E31" s="1274"/>
      <c r="F31" s="1274"/>
      <c r="G31" s="1274"/>
      <c r="H31" s="1274"/>
      <c r="I31" s="1274"/>
      <c r="J31" s="1274"/>
      <c r="K31" s="1274"/>
      <c r="L31" s="1274"/>
      <c r="M31" s="1274"/>
      <c r="N31" s="1274"/>
      <c r="O31" s="1274"/>
      <c r="P31" s="1274"/>
      <c r="Q31" s="1274"/>
      <c r="R31" s="1275">
        <f>'様式６（事業計画変更申請書）'!P35</f>
        <v>0</v>
      </c>
      <c r="S31" s="1276"/>
      <c r="T31" s="1276"/>
      <c r="U31" s="1276"/>
      <c r="V31" s="1276"/>
      <c r="W31" s="1277"/>
      <c r="X31" s="1260"/>
      <c r="Y31" s="1261"/>
      <c r="Z31" s="1261"/>
      <c r="AA31" s="1261"/>
      <c r="AB31" s="1261"/>
      <c r="AC31" s="1261"/>
      <c r="AD31" s="1261"/>
      <c r="AE31" s="1261"/>
      <c r="AF31" s="1261"/>
      <c r="AG31" s="1261"/>
      <c r="AH31" s="1261"/>
      <c r="AI31" s="1261"/>
      <c r="AJ31" s="1261"/>
      <c r="AK31" s="1262"/>
    </row>
    <row r="32" spans="3:37" ht="18.75" customHeight="1">
      <c r="C32" s="25"/>
      <c r="D32" s="1266" t="s">
        <v>322</v>
      </c>
      <c r="E32" s="1267"/>
      <c r="F32" s="1267"/>
      <c r="G32" s="1267"/>
      <c r="H32" s="1267"/>
      <c r="I32" s="1267"/>
      <c r="J32" s="1267"/>
      <c r="K32" s="1267"/>
      <c r="L32" s="1267"/>
      <c r="M32" s="1267"/>
      <c r="N32" s="1267"/>
      <c r="O32" s="1267"/>
      <c r="P32" s="1267"/>
      <c r="Q32" s="1267"/>
      <c r="R32" s="1268">
        <f>SUM(R33:W33)</f>
        <v>0</v>
      </c>
      <c r="S32" s="1269"/>
      <c r="T32" s="1269"/>
      <c r="U32" s="1269"/>
      <c r="V32" s="1269"/>
      <c r="W32" s="1270"/>
      <c r="X32" s="1260"/>
      <c r="Y32" s="1261"/>
      <c r="Z32" s="1261"/>
      <c r="AA32" s="1261"/>
      <c r="AB32" s="1261"/>
      <c r="AC32" s="1261"/>
      <c r="AD32" s="1261"/>
      <c r="AE32" s="1261"/>
      <c r="AF32" s="1261"/>
      <c r="AG32" s="1261"/>
      <c r="AH32" s="1261"/>
      <c r="AI32" s="1261"/>
      <c r="AJ32" s="1261"/>
      <c r="AK32" s="1262"/>
    </row>
    <row r="33" spans="2:48" ht="18.75" customHeight="1">
      <c r="C33" s="25"/>
      <c r="D33" s="1281" t="s">
        <v>621</v>
      </c>
      <c r="E33" s="1282"/>
      <c r="F33" s="1282"/>
      <c r="G33" s="1282"/>
      <c r="H33" s="1282"/>
      <c r="I33" s="1282"/>
      <c r="J33" s="1282"/>
      <c r="K33" s="1282"/>
      <c r="L33" s="1282"/>
      <c r="M33" s="1282"/>
      <c r="N33" s="1282"/>
      <c r="O33" s="1282"/>
      <c r="P33" s="1282"/>
      <c r="Q33" s="1283"/>
      <c r="R33" s="1268">
        <f>'様式６（事業計画変更申請書）'!P37</f>
        <v>0</v>
      </c>
      <c r="S33" s="1269"/>
      <c r="T33" s="1269"/>
      <c r="U33" s="1269"/>
      <c r="V33" s="1269"/>
      <c r="W33" s="1270"/>
      <c r="X33" s="1263"/>
      <c r="Y33" s="1264"/>
      <c r="Z33" s="1264"/>
      <c r="AA33" s="1264"/>
      <c r="AB33" s="1264"/>
      <c r="AC33" s="1264"/>
      <c r="AD33" s="1264"/>
      <c r="AE33" s="1264"/>
      <c r="AF33" s="1264"/>
      <c r="AG33" s="1264"/>
      <c r="AH33" s="1264"/>
      <c r="AI33" s="1264"/>
      <c r="AJ33" s="1264"/>
      <c r="AK33" s="1265"/>
    </row>
    <row r="34" spans="2:48" ht="18.75" customHeight="1">
      <c r="C34" s="1291" t="s">
        <v>578</v>
      </c>
      <c r="D34" s="1292"/>
      <c r="E34" s="1292"/>
      <c r="F34" s="1292"/>
      <c r="G34" s="1292"/>
      <c r="H34" s="1292"/>
      <c r="I34" s="1292"/>
      <c r="J34" s="1292"/>
      <c r="K34" s="1292"/>
      <c r="L34" s="1292"/>
      <c r="M34" s="1292"/>
      <c r="N34" s="1292"/>
      <c r="O34" s="1292"/>
      <c r="P34" s="1292"/>
      <c r="Q34" s="1293"/>
      <c r="R34" s="1255">
        <v>48000</v>
      </c>
      <c r="S34" s="1255"/>
      <c r="T34" s="1255"/>
      <c r="U34" s="1255"/>
      <c r="V34" s="1255"/>
      <c r="W34" s="1255"/>
      <c r="X34" s="1256"/>
      <c r="Y34" s="1256"/>
      <c r="Z34" s="1256"/>
      <c r="AA34" s="1256"/>
      <c r="AB34" s="1256"/>
      <c r="AC34" s="1256"/>
      <c r="AD34" s="1256"/>
      <c r="AE34" s="1256"/>
      <c r="AF34" s="1256"/>
      <c r="AG34" s="1256"/>
      <c r="AH34" s="1256"/>
      <c r="AI34" s="1256"/>
      <c r="AJ34" s="1256"/>
      <c r="AK34" s="1256"/>
    </row>
    <row r="35" spans="2:48" ht="18.75" customHeight="1">
      <c r="C35" s="1291" t="s">
        <v>145</v>
      </c>
      <c r="D35" s="1292"/>
      <c r="E35" s="1292"/>
      <c r="F35" s="1292"/>
      <c r="G35" s="1292"/>
      <c r="H35" s="1292"/>
      <c r="I35" s="1292"/>
      <c r="J35" s="1292"/>
      <c r="K35" s="1292"/>
      <c r="L35" s="1292"/>
      <c r="M35" s="1292"/>
      <c r="N35" s="1292"/>
      <c r="O35" s="1292"/>
      <c r="P35" s="1292"/>
      <c r="Q35" s="1293"/>
      <c r="R35" s="1255">
        <v>200000</v>
      </c>
      <c r="S35" s="1255"/>
      <c r="T35" s="1255"/>
      <c r="U35" s="1255"/>
      <c r="V35" s="1255"/>
      <c r="W35" s="1255"/>
      <c r="X35" s="1298" t="s">
        <v>731</v>
      </c>
      <c r="Y35" s="1298"/>
      <c r="Z35" s="1298"/>
      <c r="AA35" s="1298"/>
      <c r="AB35" s="1298"/>
      <c r="AC35" s="1298"/>
      <c r="AD35" s="1298"/>
      <c r="AE35" s="1298"/>
      <c r="AF35" s="1298"/>
      <c r="AG35" s="1298"/>
      <c r="AH35" s="1298"/>
      <c r="AI35" s="1298"/>
      <c r="AJ35" s="1298"/>
      <c r="AK35" s="1298"/>
    </row>
    <row r="36" spans="2:48" ht="18.75" customHeight="1">
      <c r="C36" s="1291" t="s">
        <v>146</v>
      </c>
      <c r="D36" s="1291"/>
      <c r="E36" s="1291"/>
      <c r="F36" s="1291"/>
      <c r="G36" s="1291"/>
      <c r="H36" s="1291"/>
      <c r="I36" s="1291"/>
      <c r="J36" s="1291"/>
      <c r="K36" s="1291"/>
      <c r="L36" s="1291"/>
      <c r="M36" s="1291"/>
      <c r="N36" s="1291"/>
      <c r="O36" s="1291"/>
      <c r="P36" s="1291"/>
      <c r="Q36" s="1305"/>
      <c r="R36" s="1255"/>
      <c r="S36" s="1255"/>
      <c r="T36" s="1255"/>
      <c r="U36" s="1255"/>
      <c r="V36" s="1255"/>
      <c r="W36" s="1255"/>
      <c r="X36" s="1298" t="s">
        <v>730</v>
      </c>
      <c r="Y36" s="1298"/>
      <c r="Z36" s="1298"/>
      <c r="AA36" s="1298"/>
      <c r="AB36" s="1298"/>
      <c r="AC36" s="1298"/>
      <c r="AD36" s="1298"/>
      <c r="AE36" s="1298"/>
      <c r="AF36" s="1298"/>
      <c r="AG36" s="1298"/>
      <c r="AH36" s="1298"/>
      <c r="AI36" s="1298"/>
      <c r="AJ36" s="1298"/>
      <c r="AK36" s="1298"/>
    </row>
    <row r="37" spans="2:48" ht="18.75" customHeight="1">
      <c r="C37" s="1291" t="s">
        <v>143</v>
      </c>
      <c r="D37" s="1291"/>
      <c r="E37" s="1291"/>
      <c r="F37" s="1291"/>
      <c r="G37" s="1291"/>
      <c r="H37" s="1291"/>
      <c r="I37" s="1291"/>
      <c r="J37" s="1291"/>
      <c r="K37" s="1291"/>
      <c r="L37" s="1291"/>
      <c r="M37" s="1291"/>
      <c r="N37" s="1291"/>
      <c r="O37" s="1291"/>
      <c r="P37" s="1291"/>
      <c r="Q37" s="1305"/>
      <c r="R37" s="1255">
        <v>0</v>
      </c>
      <c r="S37" s="1255"/>
      <c r="T37" s="1255"/>
      <c r="U37" s="1255"/>
      <c r="V37" s="1255"/>
      <c r="W37" s="1255"/>
      <c r="X37" s="1256"/>
      <c r="Y37" s="1256"/>
      <c r="Z37" s="1256"/>
      <c r="AA37" s="1256"/>
      <c r="AB37" s="1256"/>
      <c r="AC37" s="1256"/>
      <c r="AD37" s="1256"/>
      <c r="AE37" s="1256"/>
      <c r="AF37" s="1256"/>
      <c r="AG37" s="1256"/>
      <c r="AH37" s="1256"/>
      <c r="AI37" s="1256"/>
      <c r="AJ37" s="1256"/>
      <c r="AK37" s="1256"/>
    </row>
    <row r="38" spans="2:48" ht="18.75" customHeight="1">
      <c r="C38" s="1289" t="s">
        <v>147</v>
      </c>
      <c r="D38" s="1289"/>
      <c r="E38" s="1289"/>
      <c r="F38" s="1289"/>
      <c r="G38" s="1289"/>
      <c r="H38" s="1289"/>
      <c r="I38" s="1289"/>
      <c r="J38" s="1289"/>
      <c r="K38" s="1289"/>
      <c r="L38" s="1289"/>
      <c r="M38" s="1289"/>
      <c r="N38" s="1289"/>
      <c r="O38" s="1289"/>
      <c r="P38" s="1289"/>
      <c r="Q38" s="1289"/>
      <c r="R38" s="1290">
        <f>SUM(R37,R36,R35,R34,R14,R7)</f>
        <v>20607600</v>
      </c>
      <c r="S38" s="1290"/>
      <c r="T38" s="1290"/>
      <c r="U38" s="1290"/>
      <c r="V38" s="1290"/>
      <c r="W38" s="1290"/>
      <c r="X38" s="1369"/>
      <c r="Y38" s="1369"/>
      <c r="Z38" s="1369"/>
      <c r="AA38" s="1369"/>
      <c r="AB38" s="1369"/>
      <c r="AC38" s="1369"/>
      <c r="AD38" s="1369"/>
      <c r="AE38" s="1369"/>
      <c r="AF38" s="1369"/>
      <c r="AG38" s="1369"/>
      <c r="AH38" s="1369"/>
      <c r="AI38" s="1369"/>
      <c r="AJ38" s="1369"/>
      <c r="AK38" s="1369"/>
    </row>
    <row r="39" spans="2:48" ht="18.75" customHeight="1">
      <c r="B39" s="22" t="s">
        <v>148</v>
      </c>
      <c r="D39" s="27"/>
      <c r="E39" s="27"/>
      <c r="F39" s="27"/>
      <c r="G39" s="27"/>
      <c r="H39" s="27"/>
      <c r="I39" s="27"/>
      <c r="J39" s="27"/>
      <c r="K39" s="27"/>
      <c r="L39" s="27"/>
      <c r="M39" s="27"/>
      <c r="N39" s="27"/>
      <c r="O39" s="27"/>
      <c r="P39" s="27"/>
      <c r="Q39" s="27"/>
      <c r="R39" s="28"/>
      <c r="S39" s="28"/>
      <c r="T39" s="28"/>
      <c r="U39" s="28"/>
      <c r="V39" s="28"/>
      <c r="W39" s="28"/>
      <c r="X39" s="27"/>
      <c r="Y39" s="27"/>
      <c r="Z39" s="27"/>
      <c r="AA39" s="27"/>
      <c r="AB39" s="27"/>
      <c r="AC39" s="27"/>
      <c r="AD39" s="27"/>
      <c r="AE39" s="27"/>
      <c r="AF39" s="27"/>
      <c r="AG39" s="27"/>
      <c r="AH39" s="27"/>
      <c r="AI39" s="27"/>
      <c r="AJ39" s="27"/>
      <c r="AK39" s="27"/>
    </row>
    <row r="40" spans="2:48" s="436" customFormat="1" ht="17.100000000000001" customHeight="1">
      <c r="C40" s="1306" t="s">
        <v>136</v>
      </c>
      <c r="D40" s="1307"/>
      <c r="E40" s="1307"/>
      <c r="F40" s="1307"/>
      <c r="G40" s="1307"/>
      <c r="H40" s="1307"/>
      <c r="I40" s="1307"/>
      <c r="J40" s="1307"/>
      <c r="K40" s="1307"/>
      <c r="L40" s="1307"/>
      <c r="M40" s="1307"/>
      <c r="N40" s="1307"/>
      <c r="O40" s="1307"/>
      <c r="P40" s="1307"/>
      <c r="Q40" s="1308"/>
      <c r="R40" s="1294" t="s">
        <v>164</v>
      </c>
      <c r="S40" s="1294"/>
      <c r="T40" s="1294"/>
      <c r="U40" s="1294"/>
      <c r="V40" s="1294"/>
      <c r="W40" s="1294"/>
      <c r="X40" s="1308" t="s">
        <v>137</v>
      </c>
      <c r="Y40" s="1294"/>
      <c r="Z40" s="1294"/>
      <c r="AA40" s="1294"/>
      <c r="AB40" s="1294"/>
      <c r="AC40" s="1294"/>
      <c r="AD40" s="1294"/>
      <c r="AE40" s="1294"/>
      <c r="AF40" s="1294"/>
      <c r="AG40" s="1294"/>
      <c r="AH40" s="1294"/>
      <c r="AI40" s="1294"/>
      <c r="AJ40" s="1294"/>
      <c r="AK40" s="1294"/>
    </row>
    <row r="41" spans="2:48" s="436" customFormat="1" ht="17.100000000000001" customHeight="1">
      <c r="C41" s="1299" t="s">
        <v>149</v>
      </c>
      <c r="D41" s="1300"/>
      <c r="E41" s="1300"/>
      <c r="F41" s="1300"/>
      <c r="G41" s="1300"/>
      <c r="H41" s="1300"/>
      <c r="I41" s="1300"/>
      <c r="J41" s="1300"/>
      <c r="K41" s="1300"/>
      <c r="L41" s="1300"/>
      <c r="M41" s="1300"/>
      <c r="N41" s="1300"/>
      <c r="O41" s="1300"/>
      <c r="P41" s="1300"/>
      <c r="Q41" s="1301"/>
      <c r="R41" s="1286">
        <f>SUM(R46,R52,R42)</f>
        <v>21048000</v>
      </c>
      <c r="S41" s="1287"/>
      <c r="T41" s="1287"/>
      <c r="U41" s="1287"/>
      <c r="V41" s="1287"/>
      <c r="W41" s="1288"/>
      <c r="X41" s="1252"/>
      <c r="Y41" s="1252"/>
      <c r="Z41" s="1252"/>
      <c r="AA41" s="1252"/>
      <c r="AB41" s="1252"/>
      <c r="AC41" s="1252"/>
      <c r="AD41" s="1252"/>
      <c r="AE41" s="1252"/>
      <c r="AF41" s="1252"/>
      <c r="AG41" s="1252"/>
      <c r="AH41" s="1252"/>
      <c r="AI41" s="1252"/>
      <c r="AJ41" s="1252"/>
      <c r="AK41" s="1295"/>
    </row>
    <row r="42" spans="2:48" s="436" customFormat="1" ht="17.100000000000001" customHeight="1">
      <c r="C42" s="437"/>
      <c r="D42" s="1251" t="s">
        <v>150</v>
      </c>
      <c r="E42" s="1252"/>
      <c r="F42" s="1252"/>
      <c r="G42" s="1252"/>
      <c r="H42" s="1252"/>
      <c r="I42" s="1252"/>
      <c r="J42" s="1252"/>
      <c r="K42" s="1252"/>
      <c r="L42" s="1252"/>
      <c r="M42" s="1252"/>
      <c r="N42" s="1252"/>
      <c r="O42" s="1252"/>
      <c r="P42" s="1252"/>
      <c r="Q42" s="1252"/>
      <c r="R42" s="1286">
        <f>R43+R44+R45</f>
        <v>16814000</v>
      </c>
      <c r="S42" s="1287"/>
      <c r="T42" s="1287"/>
      <c r="U42" s="1287"/>
      <c r="V42" s="1287"/>
      <c r="W42" s="1288"/>
      <c r="X42" s="1252"/>
      <c r="Y42" s="1252"/>
      <c r="Z42" s="1252"/>
      <c r="AA42" s="1252"/>
      <c r="AB42" s="1252"/>
      <c r="AC42" s="1252"/>
      <c r="AD42" s="1252"/>
      <c r="AE42" s="1252"/>
      <c r="AF42" s="1252"/>
      <c r="AG42" s="1252"/>
      <c r="AH42" s="1252"/>
      <c r="AI42" s="1252"/>
      <c r="AJ42" s="1252"/>
      <c r="AK42" s="1295"/>
      <c r="AL42" s="545" t="str">
        <f>IF(●常勤処遇改善の可能額!G11=R42, "", "←「常勤処遇改善の可能額」と異なる金額が入力されていますので確認してください")</f>
        <v/>
      </c>
      <c r="AM42" s="546"/>
      <c r="AN42" s="546"/>
      <c r="AO42" s="546"/>
      <c r="AP42" s="546"/>
      <c r="AQ42" s="546"/>
      <c r="AR42" s="546"/>
      <c r="AS42" s="546"/>
      <c r="AT42" s="546"/>
      <c r="AU42" s="546"/>
      <c r="AV42" s="546"/>
    </row>
    <row r="43" spans="2:48" s="436" customFormat="1" ht="17.100000000000001" customHeight="1">
      <c r="C43" s="437"/>
      <c r="D43" s="442"/>
      <c r="E43" s="1251" t="s">
        <v>151</v>
      </c>
      <c r="F43" s="1254"/>
      <c r="G43" s="1254"/>
      <c r="H43" s="1254"/>
      <c r="I43" s="1254"/>
      <c r="J43" s="1254"/>
      <c r="K43" s="1254"/>
      <c r="L43" s="1254"/>
      <c r="M43" s="1254"/>
      <c r="N43" s="1254"/>
      <c r="O43" s="1254"/>
      <c r="P43" s="1254"/>
      <c r="Q43" s="1254"/>
      <c r="R43" s="1302">
        <v>15804000</v>
      </c>
      <c r="S43" s="1303"/>
      <c r="T43" s="1303"/>
      <c r="U43" s="1303"/>
      <c r="V43" s="1303"/>
      <c r="W43" s="1304"/>
      <c r="X43" s="1296"/>
      <c r="Y43" s="1296"/>
      <c r="Z43" s="1296"/>
      <c r="AA43" s="1296"/>
      <c r="AB43" s="1296"/>
      <c r="AC43" s="1296"/>
      <c r="AD43" s="1296"/>
      <c r="AE43" s="1296"/>
      <c r="AF43" s="1296"/>
      <c r="AG43" s="1296"/>
      <c r="AH43" s="1296"/>
      <c r="AI43" s="1296"/>
      <c r="AJ43" s="1296"/>
      <c r="AK43" s="1297"/>
    </row>
    <row r="44" spans="2:48" s="436" customFormat="1" ht="17.100000000000001" customHeight="1">
      <c r="C44" s="437"/>
      <c r="D44" s="442"/>
      <c r="E44" s="1235" t="s">
        <v>152</v>
      </c>
      <c r="F44" s="1236"/>
      <c r="G44" s="1236"/>
      <c r="H44" s="1236"/>
      <c r="I44" s="1236"/>
      <c r="J44" s="1236"/>
      <c r="K44" s="1236"/>
      <c r="L44" s="1236"/>
      <c r="M44" s="1236"/>
      <c r="N44" s="1236"/>
      <c r="O44" s="1236"/>
      <c r="P44" s="1236"/>
      <c r="Q44" s="1236"/>
      <c r="R44" s="1246">
        <v>1010000</v>
      </c>
      <c r="S44" s="1247"/>
      <c r="T44" s="1247"/>
      <c r="U44" s="1247"/>
      <c r="V44" s="1247"/>
      <c r="W44" s="1248"/>
      <c r="X44" s="1364"/>
      <c r="Y44" s="1365"/>
      <c r="Z44" s="1365"/>
      <c r="AA44" s="1365"/>
      <c r="AB44" s="1365"/>
      <c r="AC44" s="1365"/>
      <c r="AD44" s="1365"/>
      <c r="AE44" s="1365"/>
      <c r="AF44" s="1365"/>
      <c r="AG44" s="1365"/>
      <c r="AH44" s="1365"/>
      <c r="AI44" s="1365"/>
      <c r="AJ44" s="1365"/>
      <c r="AK44" s="1366"/>
    </row>
    <row r="45" spans="2:48" s="436" customFormat="1" ht="17.100000000000001" customHeight="1">
      <c r="C45" s="437"/>
      <c r="D45" s="444"/>
      <c r="E45" s="1239" t="s">
        <v>143</v>
      </c>
      <c r="F45" s="1240"/>
      <c r="G45" s="1240"/>
      <c r="H45" s="1240"/>
      <c r="I45" s="1240"/>
      <c r="J45" s="1240"/>
      <c r="K45" s="1240"/>
      <c r="L45" s="1240"/>
      <c r="M45" s="1240"/>
      <c r="N45" s="1240"/>
      <c r="O45" s="1240"/>
      <c r="P45" s="1240"/>
      <c r="Q45" s="1240"/>
      <c r="R45" s="1241">
        <v>0</v>
      </c>
      <c r="S45" s="1242"/>
      <c r="T45" s="1242"/>
      <c r="U45" s="1242"/>
      <c r="V45" s="1242"/>
      <c r="W45" s="1243"/>
      <c r="X45" s="1284"/>
      <c r="Y45" s="1284"/>
      <c r="Z45" s="1284"/>
      <c r="AA45" s="1284"/>
      <c r="AB45" s="1284"/>
      <c r="AC45" s="1284"/>
      <c r="AD45" s="1284"/>
      <c r="AE45" s="1284"/>
      <c r="AF45" s="1284"/>
      <c r="AG45" s="1284"/>
      <c r="AH45" s="1284"/>
      <c r="AI45" s="1284"/>
      <c r="AJ45" s="1284"/>
      <c r="AK45" s="1285"/>
    </row>
    <row r="46" spans="2:48" s="436" customFormat="1" ht="17.100000000000001" customHeight="1">
      <c r="C46" s="437"/>
      <c r="D46" s="1367" t="s">
        <v>153</v>
      </c>
      <c r="E46" s="1368"/>
      <c r="F46" s="1368"/>
      <c r="G46" s="1368"/>
      <c r="H46" s="1368"/>
      <c r="I46" s="1368"/>
      <c r="J46" s="1368"/>
      <c r="K46" s="1368"/>
      <c r="L46" s="1368"/>
      <c r="M46" s="1368"/>
      <c r="N46" s="1368"/>
      <c r="O46" s="1368"/>
      <c r="P46" s="1368"/>
      <c r="Q46" s="1368"/>
      <c r="R46" s="1286">
        <f>SUM(R47:W51)</f>
        <v>1098000</v>
      </c>
      <c r="S46" s="1287"/>
      <c r="T46" s="1287"/>
      <c r="U46" s="1287"/>
      <c r="V46" s="1287"/>
      <c r="W46" s="1288"/>
      <c r="X46" s="1252"/>
      <c r="Y46" s="1252"/>
      <c r="Z46" s="1252"/>
      <c r="AA46" s="1252"/>
      <c r="AB46" s="1252"/>
      <c r="AC46" s="1252"/>
      <c r="AD46" s="1252"/>
      <c r="AE46" s="1252"/>
      <c r="AF46" s="1252"/>
      <c r="AG46" s="1252"/>
      <c r="AH46" s="1252"/>
      <c r="AI46" s="1252"/>
      <c r="AJ46" s="1252"/>
      <c r="AK46" s="1295"/>
    </row>
    <row r="47" spans="2:48" s="436" customFormat="1" ht="17.100000000000001" customHeight="1">
      <c r="C47" s="437"/>
      <c r="D47" s="442"/>
      <c r="E47" s="1253" t="s">
        <v>154</v>
      </c>
      <c r="F47" s="1254"/>
      <c r="G47" s="1254"/>
      <c r="H47" s="1254"/>
      <c r="I47" s="1254"/>
      <c r="J47" s="1254"/>
      <c r="K47" s="1254"/>
      <c r="L47" s="1254"/>
      <c r="M47" s="1254"/>
      <c r="N47" s="1254"/>
      <c r="O47" s="1254"/>
      <c r="P47" s="1254"/>
      <c r="Q47" s="1254"/>
      <c r="R47" s="1302">
        <v>528000</v>
      </c>
      <c r="S47" s="1303"/>
      <c r="T47" s="1303"/>
      <c r="U47" s="1303"/>
      <c r="V47" s="1303"/>
      <c r="W47" s="1304"/>
      <c r="X47" s="1309"/>
      <c r="Y47" s="1309"/>
      <c r="Z47" s="1309"/>
      <c r="AA47" s="1309"/>
      <c r="AB47" s="1309"/>
      <c r="AC47" s="1309"/>
      <c r="AD47" s="1309"/>
      <c r="AE47" s="1309"/>
      <c r="AF47" s="1309"/>
      <c r="AG47" s="1309"/>
      <c r="AH47" s="1309"/>
      <c r="AI47" s="1309"/>
      <c r="AJ47" s="1309"/>
      <c r="AK47" s="1310"/>
    </row>
    <row r="48" spans="2:48" s="436" customFormat="1" ht="17.100000000000001" customHeight="1">
      <c r="C48" s="437"/>
      <c r="D48" s="442"/>
      <c r="E48" s="1235" t="s">
        <v>155</v>
      </c>
      <c r="F48" s="1236"/>
      <c r="G48" s="1236"/>
      <c r="H48" s="1236"/>
      <c r="I48" s="1236"/>
      <c r="J48" s="1236"/>
      <c r="K48" s="1236"/>
      <c r="L48" s="1236"/>
      <c r="M48" s="1236"/>
      <c r="N48" s="1236"/>
      <c r="O48" s="1236"/>
      <c r="P48" s="1236"/>
      <c r="Q48" s="1236"/>
      <c r="R48" s="1246">
        <v>120000</v>
      </c>
      <c r="S48" s="1247"/>
      <c r="T48" s="1247"/>
      <c r="U48" s="1247"/>
      <c r="V48" s="1247"/>
      <c r="W48" s="1248"/>
      <c r="X48" s="1249"/>
      <c r="Y48" s="1249"/>
      <c r="Z48" s="1249"/>
      <c r="AA48" s="1249"/>
      <c r="AB48" s="1249"/>
      <c r="AC48" s="1249"/>
      <c r="AD48" s="1249"/>
      <c r="AE48" s="1249"/>
      <c r="AF48" s="1249"/>
      <c r="AG48" s="1249"/>
      <c r="AH48" s="1249"/>
      <c r="AI48" s="1249"/>
      <c r="AJ48" s="1249"/>
      <c r="AK48" s="1250"/>
    </row>
    <row r="49" spans="3:38" s="436" customFormat="1" ht="17.100000000000001" customHeight="1">
      <c r="C49" s="437"/>
      <c r="D49" s="442"/>
      <c r="E49" s="1235" t="s">
        <v>156</v>
      </c>
      <c r="F49" s="1236"/>
      <c r="G49" s="1236"/>
      <c r="H49" s="1236"/>
      <c r="I49" s="1236"/>
      <c r="J49" s="1236"/>
      <c r="K49" s="1236"/>
      <c r="L49" s="1236"/>
      <c r="M49" s="1236"/>
      <c r="N49" s="1236"/>
      <c r="O49" s="1236"/>
      <c r="P49" s="1236"/>
      <c r="Q49" s="1236"/>
      <c r="R49" s="1246">
        <v>240000</v>
      </c>
      <c r="S49" s="1247"/>
      <c r="T49" s="1247"/>
      <c r="U49" s="1247"/>
      <c r="V49" s="1247"/>
      <c r="W49" s="1248"/>
      <c r="X49" s="1249"/>
      <c r="Y49" s="1249"/>
      <c r="Z49" s="1249"/>
      <c r="AA49" s="1249"/>
      <c r="AB49" s="1249"/>
      <c r="AC49" s="1249"/>
      <c r="AD49" s="1249"/>
      <c r="AE49" s="1249"/>
      <c r="AF49" s="1249"/>
      <c r="AG49" s="1249"/>
      <c r="AH49" s="1249"/>
      <c r="AI49" s="1249"/>
      <c r="AJ49" s="1249"/>
      <c r="AK49" s="1250"/>
    </row>
    <row r="50" spans="3:38" s="436" customFormat="1" ht="17.100000000000001" customHeight="1">
      <c r="C50" s="437"/>
      <c r="D50" s="442"/>
      <c r="E50" s="1235" t="s">
        <v>157</v>
      </c>
      <c r="F50" s="1236"/>
      <c r="G50" s="1236"/>
      <c r="H50" s="1236"/>
      <c r="I50" s="1236"/>
      <c r="J50" s="1236"/>
      <c r="K50" s="1236"/>
      <c r="L50" s="1236"/>
      <c r="M50" s="1236"/>
      <c r="N50" s="1236"/>
      <c r="O50" s="1236"/>
      <c r="P50" s="1236"/>
      <c r="Q50" s="1236"/>
      <c r="R50" s="1246">
        <v>110000</v>
      </c>
      <c r="S50" s="1247"/>
      <c r="T50" s="1247"/>
      <c r="U50" s="1247"/>
      <c r="V50" s="1247"/>
      <c r="W50" s="1248"/>
      <c r="X50" s="1249"/>
      <c r="Y50" s="1249"/>
      <c r="Z50" s="1249"/>
      <c r="AA50" s="1249"/>
      <c r="AB50" s="1249"/>
      <c r="AC50" s="1249"/>
      <c r="AD50" s="1249"/>
      <c r="AE50" s="1249"/>
      <c r="AF50" s="1249"/>
      <c r="AG50" s="1249"/>
      <c r="AH50" s="1249"/>
      <c r="AI50" s="1249"/>
      <c r="AJ50" s="1249"/>
      <c r="AK50" s="1250"/>
    </row>
    <row r="51" spans="3:38" s="436" customFormat="1" ht="17.100000000000001" customHeight="1">
      <c r="C51" s="437"/>
      <c r="D51" s="444"/>
      <c r="E51" s="1239" t="s">
        <v>143</v>
      </c>
      <c r="F51" s="1240"/>
      <c r="G51" s="1240"/>
      <c r="H51" s="1240"/>
      <c r="I51" s="1240"/>
      <c r="J51" s="1240"/>
      <c r="K51" s="1240"/>
      <c r="L51" s="1240"/>
      <c r="M51" s="1240"/>
      <c r="N51" s="1240"/>
      <c r="O51" s="1240"/>
      <c r="P51" s="1240"/>
      <c r="Q51" s="1240"/>
      <c r="R51" s="1241">
        <v>100000</v>
      </c>
      <c r="S51" s="1242"/>
      <c r="T51" s="1242"/>
      <c r="U51" s="1242"/>
      <c r="V51" s="1242"/>
      <c r="W51" s="1243"/>
      <c r="X51" s="1244"/>
      <c r="Y51" s="1244"/>
      <c r="Z51" s="1244"/>
      <c r="AA51" s="1244"/>
      <c r="AB51" s="1244"/>
      <c r="AC51" s="1244"/>
      <c r="AD51" s="1244"/>
      <c r="AE51" s="1244"/>
      <c r="AF51" s="1244"/>
      <c r="AG51" s="1244"/>
      <c r="AH51" s="1244"/>
      <c r="AI51" s="1244"/>
      <c r="AJ51" s="1244"/>
      <c r="AK51" s="1245"/>
    </row>
    <row r="52" spans="3:38" s="436" customFormat="1" ht="17.100000000000001" customHeight="1">
      <c r="C52" s="437"/>
      <c r="D52" s="1251" t="s">
        <v>158</v>
      </c>
      <c r="E52" s="1252"/>
      <c r="F52" s="1252"/>
      <c r="G52" s="1252"/>
      <c r="H52" s="1252"/>
      <c r="I52" s="1252"/>
      <c r="J52" s="1252"/>
      <c r="K52" s="1252"/>
      <c r="L52" s="1252"/>
      <c r="M52" s="1252"/>
      <c r="N52" s="1252"/>
      <c r="O52" s="1252"/>
      <c r="P52" s="1252"/>
      <c r="Q52" s="1252"/>
      <c r="R52" s="1286">
        <f>SUM(R53:W58,R60)</f>
        <v>3136000</v>
      </c>
      <c r="S52" s="1287"/>
      <c r="T52" s="1287"/>
      <c r="U52" s="1287"/>
      <c r="V52" s="1287"/>
      <c r="W52" s="1288"/>
      <c r="X52" s="1252"/>
      <c r="Y52" s="1252"/>
      <c r="Z52" s="1252"/>
      <c r="AA52" s="1252"/>
      <c r="AB52" s="1252"/>
      <c r="AC52" s="1252"/>
      <c r="AD52" s="1252"/>
      <c r="AE52" s="1252"/>
      <c r="AF52" s="1252"/>
      <c r="AG52" s="1252"/>
      <c r="AH52" s="1252"/>
      <c r="AI52" s="1252"/>
      <c r="AJ52" s="1252"/>
      <c r="AK52" s="1295"/>
    </row>
    <row r="53" spans="3:38" s="436" customFormat="1" ht="17.100000000000001" customHeight="1">
      <c r="C53" s="437"/>
      <c r="D53" s="442"/>
      <c r="E53" s="1253" t="s">
        <v>159</v>
      </c>
      <c r="F53" s="1254"/>
      <c r="G53" s="1254"/>
      <c r="H53" s="1254"/>
      <c r="I53" s="1254"/>
      <c r="J53" s="1254"/>
      <c r="K53" s="1254"/>
      <c r="L53" s="1254"/>
      <c r="M53" s="1254"/>
      <c r="N53" s="1254"/>
      <c r="O53" s="1254"/>
      <c r="P53" s="1254"/>
      <c r="Q53" s="1254"/>
      <c r="R53" s="1302">
        <v>1866000</v>
      </c>
      <c r="S53" s="1303"/>
      <c r="T53" s="1303"/>
      <c r="U53" s="1303"/>
      <c r="V53" s="1303"/>
      <c r="W53" s="1304"/>
      <c r="X53" s="1309"/>
      <c r="Y53" s="1309"/>
      <c r="Z53" s="1309"/>
      <c r="AA53" s="1309"/>
      <c r="AB53" s="1309"/>
      <c r="AC53" s="1309"/>
      <c r="AD53" s="1309"/>
      <c r="AE53" s="1309"/>
      <c r="AF53" s="1309"/>
      <c r="AG53" s="1309"/>
      <c r="AH53" s="1309"/>
      <c r="AI53" s="1309"/>
      <c r="AJ53" s="1309"/>
      <c r="AK53" s="1310"/>
    </row>
    <row r="54" spans="3:38" s="436" customFormat="1" ht="17.100000000000001" customHeight="1">
      <c r="C54" s="437"/>
      <c r="D54" s="442"/>
      <c r="E54" s="1235" t="s">
        <v>160</v>
      </c>
      <c r="F54" s="1236"/>
      <c r="G54" s="1236"/>
      <c r="H54" s="1236"/>
      <c r="I54" s="1236"/>
      <c r="J54" s="1236"/>
      <c r="K54" s="1236"/>
      <c r="L54" s="1236"/>
      <c r="M54" s="1236"/>
      <c r="N54" s="1236"/>
      <c r="O54" s="1236"/>
      <c r="P54" s="1236"/>
      <c r="Q54" s="1236"/>
      <c r="R54" s="1246">
        <v>400000</v>
      </c>
      <c r="S54" s="1247"/>
      <c r="T54" s="1247"/>
      <c r="U54" s="1247"/>
      <c r="V54" s="1247"/>
      <c r="W54" s="1248"/>
      <c r="X54" s="1249"/>
      <c r="Y54" s="1249"/>
      <c r="Z54" s="1249"/>
      <c r="AA54" s="1249"/>
      <c r="AB54" s="1249"/>
      <c r="AC54" s="1249"/>
      <c r="AD54" s="1249"/>
      <c r="AE54" s="1249"/>
      <c r="AF54" s="1249"/>
      <c r="AG54" s="1249"/>
      <c r="AH54" s="1249"/>
      <c r="AI54" s="1249"/>
      <c r="AJ54" s="1249"/>
      <c r="AK54" s="1250"/>
    </row>
    <row r="55" spans="3:38" s="436" customFormat="1" ht="17.100000000000001" customHeight="1">
      <c r="C55" s="437"/>
      <c r="D55" s="442"/>
      <c r="E55" s="1235" t="s">
        <v>161</v>
      </c>
      <c r="F55" s="1236"/>
      <c r="G55" s="1236"/>
      <c r="H55" s="1236"/>
      <c r="I55" s="1236"/>
      <c r="J55" s="1236"/>
      <c r="K55" s="1236"/>
      <c r="L55" s="1236"/>
      <c r="M55" s="1236"/>
      <c r="N55" s="1236"/>
      <c r="O55" s="1236"/>
      <c r="P55" s="1236"/>
      <c r="Q55" s="1236"/>
      <c r="R55" s="1246">
        <v>500000</v>
      </c>
      <c r="S55" s="1247"/>
      <c r="T55" s="1247"/>
      <c r="U55" s="1247"/>
      <c r="V55" s="1247"/>
      <c r="W55" s="1248"/>
      <c r="X55" s="1249"/>
      <c r="Y55" s="1249"/>
      <c r="Z55" s="1249"/>
      <c r="AA55" s="1249"/>
      <c r="AB55" s="1249"/>
      <c r="AC55" s="1249"/>
      <c r="AD55" s="1249"/>
      <c r="AE55" s="1249"/>
      <c r="AF55" s="1249"/>
      <c r="AG55" s="1249"/>
      <c r="AH55" s="1249"/>
      <c r="AI55" s="1249"/>
      <c r="AJ55" s="1249"/>
      <c r="AK55" s="1250"/>
    </row>
    <row r="56" spans="3:38" s="436" customFormat="1" ht="17.100000000000001" customHeight="1">
      <c r="C56" s="437"/>
      <c r="D56" s="442"/>
      <c r="E56" s="1235" t="s">
        <v>162</v>
      </c>
      <c r="F56" s="1236"/>
      <c r="G56" s="1236"/>
      <c r="H56" s="1236"/>
      <c r="I56" s="1236"/>
      <c r="J56" s="1236"/>
      <c r="K56" s="1236"/>
      <c r="L56" s="1236"/>
      <c r="M56" s="1236"/>
      <c r="N56" s="1236"/>
      <c r="O56" s="1236"/>
      <c r="P56" s="1236"/>
      <c r="Q56" s="1236"/>
      <c r="R56" s="1246">
        <v>60000</v>
      </c>
      <c r="S56" s="1247"/>
      <c r="T56" s="1247"/>
      <c r="U56" s="1247"/>
      <c r="V56" s="1247"/>
      <c r="W56" s="1248"/>
      <c r="X56" s="1249"/>
      <c r="Y56" s="1249"/>
      <c r="Z56" s="1249"/>
      <c r="AA56" s="1249"/>
      <c r="AB56" s="1249"/>
      <c r="AC56" s="1249"/>
      <c r="AD56" s="1249"/>
      <c r="AE56" s="1249"/>
      <c r="AF56" s="1249"/>
      <c r="AG56" s="1249"/>
      <c r="AH56" s="1249"/>
      <c r="AI56" s="1249"/>
      <c r="AJ56" s="1249"/>
      <c r="AK56" s="1250"/>
    </row>
    <row r="57" spans="3:38" s="436" customFormat="1" ht="17.100000000000001" customHeight="1">
      <c r="C57" s="437"/>
      <c r="D57" s="442"/>
      <c r="E57" s="1235" t="s">
        <v>163</v>
      </c>
      <c r="F57" s="1236"/>
      <c r="G57" s="1236"/>
      <c r="H57" s="1236"/>
      <c r="I57" s="1236"/>
      <c r="J57" s="1236"/>
      <c r="K57" s="1236"/>
      <c r="L57" s="1236"/>
      <c r="M57" s="1236"/>
      <c r="N57" s="1236"/>
      <c r="O57" s="1236"/>
      <c r="P57" s="1236"/>
      <c r="Q57" s="1236"/>
      <c r="R57" s="1246">
        <v>110000</v>
      </c>
      <c r="S57" s="1247"/>
      <c r="T57" s="1247"/>
      <c r="U57" s="1247"/>
      <c r="V57" s="1247"/>
      <c r="W57" s="1248"/>
      <c r="X57" s="1249"/>
      <c r="Y57" s="1249"/>
      <c r="Z57" s="1249"/>
      <c r="AA57" s="1249"/>
      <c r="AB57" s="1249"/>
      <c r="AC57" s="1249"/>
      <c r="AD57" s="1249"/>
      <c r="AE57" s="1249"/>
      <c r="AF57" s="1249"/>
      <c r="AG57" s="1249"/>
      <c r="AH57" s="1249"/>
      <c r="AI57" s="1249"/>
      <c r="AJ57" s="1249"/>
      <c r="AK57" s="1250"/>
    </row>
    <row r="58" spans="3:38" s="436" customFormat="1" ht="17.100000000000001" customHeight="1">
      <c r="C58" s="437"/>
      <c r="D58" s="442"/>
      <c r="E58" s="1235" t="s">
        <v>478</v>
      </c>
      <c r="F58" s="1236"/>
      <c r="G58" s="1236"/>
      <c r="H58" s="1236"/>
      <c r="I58" s="1236"/>
      <c r="J58" s="1236"/>
      <c r="K58" s="1236"/>
      <c r="L58" s="1236"/>
      <c r="M58" s="1236"/>
      <c r="N58" s="1236"/>
      <c r="O58" s="1236"/>
      <c r="P58" s="1236"/>
      <c r="Q58" s="1236"/>
      <c r="R58" s="1246">
        <v>200000</v>
      </c>
      <c r="S58" s="1247"/>
      <c r="T58" s="1247"/>
      <c r="U58" s="1247"/>
      <c r="V58" s="1247"/>
      <c r="W58" s="1248"/>
      <c r="X58" s="1249"/>
      <c r="Y58" s="1249"/>
      <c r="Z58" s="1249"/>
      <c r="AA58" s="1249"/>
      <c r="AB58" s="1249"/>
      <c r="AC58" s="1249"/>
      <c r="AD58" s="1249"/>
      <c r="AE58" s="1249"/>
      <c r="AF58" s="1249"/>
      <c r="AG58" s="1249"/>
      <c r="AH58" s="1249"/>
      <c r="AI58" s="1249"/>
      <c r="AJ58" s="1249"/>
      <c r="AK58" s="1250"/>
    </row>
    <row r="59" spans="3:38" s="436" customFormat="1" ht="17.100000000000001" customHeight="1">
      <c r="C59" s="437"/>
      <c r="D59" s="442"/>
      <c r="E59" s="442"/>
      <c r="F59" s="439" t="s">
        <v>479</v>
      </c>
      <c r="G59" s="443"/>
      <c r="H59" s="443"/>
      <c r="I59" s="443"/>
      <c r="J59" s="443"/>
      <c r="K59" s="443"/>
      <c r="L59" s="443"/>
      <c r="M59" s="443"/>
      <c r="N59" s="443"/>
      <c r="O59" s="443"/>
      <c r="P59" s="443"/>
      <c r="Q59" s="443"/>
      <c r="R59" s="1246">
        <v>200000</v>
      </c>
      <c r="S59" s="1247"/>
      <c r="T59" s="1247"/>
      <c r="U59" s="1247"/>
      <c r="V59" s="1247"/>
      <c r="W59" s="1248"/>
      <c r="X59" s="1249"/>
      <c r="Y59" s="1249"/>
      <c r="Z59" s="1249"/>
      <c r="AA59" s="1249"/>
      <c r="AB59" s="1249"/>
      <c r="AC59" s="1249"/>
      <c r="AD59" s="1249"/>
      <c r="AE59" s="1249"/>
      <c r="AF59" s="1249"/>
      <c r="AG59" s="1249"/>
      <c r="AH59" s="1249"/>
      <c r="AI59" s="1249"/>
      <c r="AJ59" s="1249"/>
      <c r="AK59" s="1250"/>
    </row>
    <row r="60" spans="3:38" s="436" customFormat="1" ht="17.100000000000001" customHeight="1">
      <c r="C60" s="445"/>
      <c r="D60" s="444"/>
      <c r="E60" s="1237" t="s">
        <v>143</v>
      </c>
      <c r="F60" s="1238"/>
      <c r="G60" s="1238"/>
      <c r="H60" s="1238"/>
      <c r="I60" s="1238"/>
      <c r="J60" s="1238"/>
      <c r="K60" s="1238"/>
      <c r="L60" s="1238"/>
      <c r="M60" s="1238"/>
      <c r="N60" s="1238"/>
      <c r="O60" s="1238"/>
      <c r="P60" s="1238"/>
      <c r="Q60" s="1238"/>
      <c r="R60" s="1241">
        <v>0</v>
      </c>
      <c r="S60" s="1242"/>
      <c r="T60" s="1242"/>
      <c r="U60" s="1242"/>
      <c r="V60" s="1242"/>
      <c r="W60" s="1243"/>
      <c r="X60" s="1244"/>
      <c r="Y60" s="1244"/>
      <c r="Z60" s="1244"/>
      <c r="AA60" s="1244"/>
      <c r="AB60" s="1244"/>
      <c r="AC60" s="1244"/>
      <c r="AD60" s="1244"/>
      <c r="AE60" s="1244"/>
      <c r="AF60" s="1244"/>
      <c r="AG60" s="1244"/>
      <c r="AH60" s="1244"/>
      <c r="AI60" s="1244"/>
      <c r="AJ60" s="1244"/>
      <c r="AK60" s="1245"/>
    </row>
    <row r="61" spans="3:38" s="436" customFormat="1" ht="17.100000000000001" customHeight="1">
      <c r="C61" s="446" t="s">
        <v>480</v>
      </c>
      <c r="D61" s="447"/>
      <c r="E61" s="447"/>
      <c r="F61" s="447"/>
      <c r="G61" s="447"/>
      <c r="H61" s="447"/>
      <c r="I61" s="447"/>
      <c r="J61" s="447"/>
      <c r="K61" s="447"/>
      <c r="L61" s="447"/>
      <c r="M61" s="447"/>
      <c r="N61" s="447"/>
      <c r="O61" s="447"/>
      <c r="P61" s="447"/>
      <c r="Q61" s="447"/>
      <c r="R61" s="1286">
        <f>SUM(R62:R63)</f>
        <v>340000</v>
      </c>
      <c r="S61" s="1287"/>
      <c r="T61" s="1287"/>
      <c r="U61" s="1287"/>
      <c r="V61" s="1287"/>
      <c r="W61" s="1288"/>
      <c r="X61" s="1252"/>
      <c r="Y61" s="1252"/>
      <c r="Z61" s="1252"/>
      <c r="AA61" s="1252"/>
      <c r="AB61" s="1252"/>
      <c r="AC61" s="1252"/>
      <c r="AD61" s="1252"/>
      <c r="AE61" s="1252"/>
      <c r="AF61" s="1252"/>
      <c r="AG61" s="1252"/>
      <c r="AH61" s="1252"/>
      <c r="AI61" s="1252"/>
      <c r="AJ61" s="1252"/>
      <c r="AK61" s="1295"/>
      <c r="AL61" s="448"/>
    </row>
    <row r="62" spans="3:38" s="436" customFormat="1" ht="17.100000000000001" customHeight="1">
      <c r="C62" s="437"/>
      <c r="D62" s="1253" t="s">
        <v>481</v>
      </c>
      <c r="E62" s="1254"/>
      <c r="F62" s="1254"/>
      <c r="G62" s="1254"/>
      <c r="H62" s="1254"/>
      <c r="I62" s="1254"/>
      <c r="J62" s="1254"/>
      <c r="K62" s="1254"/>
      <c r="L62" s="1254"/>
      <c r="M62" s="1254"/>
      <c r="N62" s="1254"/>
      <c r="O62" s="1254"/>
      <c r="P62" s="1254"/>
      <c r="Q62" s="1254"/>
      <c r="R62" s="1302">
        <v>240000</v>
      </c>
      <c r="S62" s="1303"/>
      <c r="T62" s="1303"/>
      <c r="U62" s="1303"/>
      <c r="V62" s="1303"/>
      <c r="W62" s="1304"/>
      <c r="X62" s="1309"/>
      <c r="Y62" s="1309"/>
      <c r="Z62" s="1309"/>
      <c r="AA62" s="1309"/>
      <c r="AB62" s="1309"/>
      <c r="AC62" s="1309"/>
      <c r="AD62" s="1309"/>
      <c r="AE62" s="1309"/>
      <c r="AF62" s="1309"/>
      <c r="AG62" s="1309"/>
      <c r="AH62" s="1309"/>
      <c r="AI62" s="1309"/>
      <c r="AJ62" s="1309"/>
      <c r="AK62" s="1310"/>
    </row>
    <row r="63" spans="3:38" s="436" customFormat="1" ht="17.100000000000001" customHeight="1">
      <c r="C63" s="445"/>
      <c r="D63" s="1237" t="s">
        <v>482</v>
      </c>
      <c r="E63" s="1238"/>
      <c r="F63" s="1238"/>
      <c r="G63" s="1238"/>
      <c r="H63" s="1238"/>
      <c r="I63" s="1238"/>
      <c r="J63" s="1238"/>
      <c r="K63" s="1238"/>
      <c r="L63" s="1238"/>
      <c r="M63" s="1238"/>
      <c r="N63" s="1238"/>
      <c r="O63" s="1238"/>
      <c r="P63" s="1238"/>
      <c r="Q63" s="1238"/>
      <c r="R63" s="1241">
        <v>100000</v>
      </c>
      <c r="S63" s="1242"/>
      <c r="T63" s="1242"/>
      <c r="U63" s="1242"/>
      <c r="V63" s="1242"/>
      <c r="W63" s="1243"/>
      <c r="X63" s="1244"/>
      <c r="Y63" s="1244"/>
      <c r="Z63" s="1244"/>
      <c r="AA63" s="1244"/>
      <c r="AB63" s="1244"/>
      <c r="AC63" s="1244"/>
      <c r="AD63" s="1244"/>
      <c r="AE63" s="1244"/>
      <c r="AF63" s="1244"/>
      <c r="AG63" s="1244"/>
      <c r="AH63" s="1244"/>
      <c r="AI63" s="1244"/>
      <c r="AJ63" s="1244"/>
      <c r="AK63" s="1245"/>
    </row>
    <row r="64" spans="3:38" s="436" customFormat="1" ht="16.5" customHeight="1">
      <c r="C64" s="1318" t="s">
        <v>483</v>
      </c>
      <c r="D64" s="1319"/>
      <c r="E64" s="1319"/>
      <c r="F64" s="1319"/>
      <c r="G64" s="1319"/>
      <c r="H64" s="1319"/>
      <c r="I64" s="1319"/>
      <c r="J64" s="1319"/>
      <c r="K64" s="1319"/>
      <c r="L64" s="1319"/>
      <c r="M64" s="1319"/>
      <c r="N64" s="1319"/>
      <c r="O64" s="1319"/>
      <c r="P64" s="1319"/>
      <c r="Q64" s="1320"/>
      <c r="R64" s="1321">
        <v>160000</v>
      </c>
      <c r="S64" s="1322"/>
      <c r="T64" s="1322"/>
      <c r="U64" s="1322"/>
      <c r="V64" s="1322"/>
      <c r="W64" s="1323"/>
      <c r="X64" s="1331"/>
      <c r="Y64" s="1331"/>
      <c r="Z64" s="1331"/>
      <c r="AA64" s="1331"/>
      <c r="AB64" s="1331"/>
      <c r="AC64" s="1331"/>
      <c r="AD64" s="1331"/>
      <c r="AE64" s="1331"/>
      <c r="AF64" s="1331"/>
      <c r="AG64" s="1331"/>
      <c r="AH64" s="1331"/>
      <c r="AI64" s="1331"/>
      <c r="AJ64" s="1331"/>
      <c r="AK64" s="1332"/>
    </row>
    <row r="65" spans="1:37" s="436" customFormat="1" ht="17.100000000000001" customHeight="1">
      <c r="C65" s="1318" t="s">
        <v>145</v>
      </c>
      <c r="D65" s="1319"/>
      <c r="E65" s="1319"/>
      <c r="F65" s="1319"/>
      <c r="G65" s="1319"/>
      <c r="H65" s="1319"/>
      <c r="I65" s="1319"/>
      <c r="J65" s="1319"/>
      <c r="K65" s="1319"/>
      <c r="L65" s="1319"/>
      <c r="M65" s="1319"/>
      <c r="N65" s="1319"/>
      <c r="O65" s="1319"/>
      <c r="P65" s="1319"/>
      <c r="Q65" s="1320"/>
      <c r="R65" s="1321">
        <v>50000</v>
      </c>
      <c r="S65" s="1322"/>
      <c r="T65" s="1322"/>
      <c r="U65" s="1322"/>
      <c r="V65" s="1322"/>
      <c r="W65" s="1323"/>
      <c r="X65" s="1326" t="s">
        <v>732</v>
      </c>
      <c r="Y65" s="1326"/>
      <c r="Z65" s="1326"/>
      <c r="AA65" s="1326"/>
      <c r="AB65" s="1326"/>
      <c r="AC65" s="1326"/>
      <c r="AD65" s="1326"/>
      <c r="AE65" s="1326"/>
      <c r="AF65" s="1326"/>
      <c r="AG65" s="1326"/>
      <c r="AH65" s="1326"/>
      <c r="AI65" s="1326"/>
      <c r="AJ65" s="1326"/>
      <c r="AK65" s="1327"/>
    </row>
    <row r="66" spans="1:37" s="436" customFormat="1" ht="17.100000000000001" customHeight="1">
      <c r="C66" s="1318" t="s">
        <v>143</v>
      </c>
      <c r="D66" s="1319"/>
      <c r="E66" s="1319"/>
      <c r="F66" s="1319"/>
      <c r="G66" s="1319"/>
      <c r="H66" s="1319"/>
      <c r="I66" s="1319"/>
      <c r="J66" s="1319"/>
      <c r="K66" s="1319"/>
      <c r="L66" s="1319"/>
      <c r="M66" s="1319"/>
      <c r="N66" s="1319"/>
      <c r="O66" s="1319"/>
      <c r="P66" s="1319"/>
      <c r="Q66" s="1320"/>
      <c r="R66" s="1321"/>
      <c r="S66" s="1322"/>
      <c r="T66" s="1322"/>
      <c r="U66" s="1322"/>
      <c r="V66" s="1322"/>
      <c r="W66" s="1323"/>
      <c r="X66" s="1328"/>
      <c r="Y66" s="1329"/>
      <c r="Z66" s="1329"/>
      <c r="AA66" s="1329"/>
      <c r="AB66" s="1329"/>
      <c r="AC66" s="1329"/>
      <c r="AD66" s="1329"/>
      <c r="AE66" s="1329"/>
      <c r="AF66" s="1329"/>
      <c r="AG66" s="1329"/>
      <c r="AH66" s="1329"/>
      <c r="AI66" s="1329"/>
      <c r="AJ66" s="1329"/>
      <c r="AK66" s="1330"/>
    </row>
    <row r="67" spans="1:37" s="13" customFormat="1">
      <c r="A67" s="29"/>
      <c r="B67" s="29"/>
      <c r="C67" s="1311" t="s">
        <v>147</v>
      </c>
      <c r="D67" s="1312"/>
      <c r="E67" s="1312"/>
      <c r="F67" s="1312"/>
      <c r="G67" s="1312"/>
      <c r="H67" s="1312"/>
      <c r="I67" s="1312"/>
      <c r="J67" s="1312"/>
      <c r="K67" s="1312"/>
      <c r="L67" s="1312"/>
      <c r="M67" s="1312"/>
      <c r="N67" s="1312"/>
      <c r="O67" s="1312"/>
      <c r="P67" s="1312"/>
      <c r="Q67" s="1312"/>
      <c r="R67" s="1313">
        <f>SUM(R41,R61,R64:W66)</f>
        <v>21598000</v>
      </c>
      <c r="S67" s="1314"/>
      <c r="T67" s="1314"/>
      <c r="U67" s="1314"/>
      <c r="V67" s="1314"/>
      <c r="W67" s="1315"/>
      <c r="X67" s="1316"/>
      <c r="Y67" s="1316"/>
      <c r="Z67" s="1316"/>
      <c r="AA67" s="1316"/>
      <c r="AB67" s="1316"/>
      <c r="AC67" s="1316"/>
      <c r="AD67" s="1316"/>
      <c r="AE67" s="1316"/>
      <c r="AF67" s="1316"/>
      <c r="AG67" s="1316"/>
      <c r="AH67" s="1316"/>
      <c r="AI67" s="1316"/>
      <c r="AJ67" s="1316"/>
      <c r="AK67" s="1317"/>
    </row>
    <row r="68" spans="1:37" s="13" customForma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row>
    <row r="69" spans="1:37" s="13" customFormat="1">
      <c r="A69" s="29"/>
      <c r="B69" s="29" t="s">
        <v>165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row>
    <row r="70" spans="1:37" s="13" customFormat="1">
      <c r="A70" s="29"/>
      <c r="B70" s="29"/>
      <c r="C70" s="1289" t="s">
        <v>136</v>
      </c>
      <c r="D70" s="1289"/>
      <c r="E70" s="1289"/>
      <c r="F70" s="1289"/>
      <c r="G70" s="1289"/>
      <c r="H70" s="1289"/>
      <c r="I70" s="1289"/>
      <c r="J70" s="1289"/>
      <c r="K70" s="1289"/>
      <c r="L70" s="1289"/>
      <c r="M70" s="1289"/>
      <c r="N70" s="1289"/>
      <c r="O70" s="1289"/>
      <c r="P70" s="1289"/>
      <c r="Q70" s="1311"/>
      <c r="R70" s="1289" t="s">
        <v>164</v>
      </c>
      <c r="S70" s="1289"/>
      <c r="T70" s="1289"/>
      <c r="U70" s="1289"/>
      <c r="V70" s="1289"/>
      <c r="W70" s="1289"/>
      <c r="X70" s="1289" t="s">
        <v>137</v>
      </c>
      <c r="Y70" s="1289"/>
      <c r="Z70" s="1289"/>
      <c r="AA70" s="1289"/>
      <c r="AB70" s="1289"/>
      <c r="AC70" s="1289"/>
      <c r="AD70" s="1289"/>
      <c r="AE70" s="1289"/>
      <c r="AF70" s="1289"/>
      <c r="AG70" s="1289"/>
      <c r="AH70" s="1289"/>
      <c r="AI70" s="1289"/>
      <c r="AJ70" s="1289"/>
      <c r="AK70" s="1289"/>
    </row>
    <row r="71" spans="1:37" s="13" customFormat="1">
      <c r="A71" s="29"/>
      <c r="B71" s="29"/>
      <c r="C71" s="1305" t="s">
        <v>166</v>
      </c>
      <c r="D71" s="1316"/>
      <c r="E71" s="1316"/>
      <c r="F71" s="1316"/>
      <c r="G71" s="1316"/>
      <c r="H71" s="1316"/>
      <c r="I71" s="1316"/>
      <c r="J71" s="1316"/>
      <c r="K71" s="1316"/>
      <c r="L71" s="1316"/>
      <c r="M71" s="1316"/>
      <c r="N71" s="1316"/>
      <c r="O71" s="1316"/>
      <c r="P71" s="1316"/>
      <c r="Q71" s="1316"/>
      <c r="R71" s="1313">
        <f>+R38-R67</f>
        <v>-990400</v>
      </c>
      <c r="S71" s="1314"/>
      <c r="T71" s="1314"/>
      <c r="U71" s="1314"/>
      <c r="V71" s="1314"/>
      <c r="W71" s="1315"/>
      <c r="X71" s="1324" t="s">
        <v>733</v>
      </c>
      <c r="Y71" s="1324"/>
      <c r="Z71" s="1324"/>
      <c r="AA71" s="1324"/>
      <c r="AB71" s="1324"/>
      <c r="AC71" s="1324"/>
      <c r="AD71" s="1324"/>
      <c r="AE71" s="1324"/>
      <c r="AF71" s="1324"/>
      <c r="AG71" s="1324"/>
      <c r="AH71" s="1324"/>
      <c r="AI71" s="1324"/>
      <c r="AJ71" s="1324"/>
      <c r="AK71" s="1325"/>
    </row>
    <row r="72" spans="1:37" ht="18.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row>
    <row r="73" spans="1:37" ht="18.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row>
    <row r="74" spans="1:37" ht="18.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row>
    <row r="75" spans="1:37" ht="18.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row>
    <row r="76" spans="1:37" ht="18.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row>
    <row r="77" spans="1:37" ht="18.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row>
    <row r="78" spans="1:37" ht="18.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row>
    <row r="79" spans="1:37" ht="18.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row>
    <row r="80" spans="1:37" ht="18.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row>
    <row r="81" spans="1:37" ht="18.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row>
    <row r="82" spans="1:37" ht="18.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row>
    <row r="83" spans="1:37" ht="18.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row>
    <row r="84" spans="1:37" ht="18.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row>
    <row r="85" spans="1:37" ht="18.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row>
    <row r="86" spans="1:37" ht="18.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row>
    <row r="87" spans="1:37" ht="18.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row>
    <row r="88" spans="1:37" ht="18.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row>
    <row r="89" spans="1:37" ht="18.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row>
    <row r="90" spans="1:37" ht="18.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row>
    <row r="91" spans="1:37" ht="18.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row>
    <row r="92" spans="1:37" ht="18.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row>
    <row r="93" spans="1:37" ht="18.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row>
    <row r="94" spans="1:37" ht="18.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row>
    <row r="95" spans="1:37" ht="18.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row>
    <row r="96" spans="1:37" ht="18.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row>
    <row r="97" spans="1:37" ht="18.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row>
    <row r="98" spans="1:37" ht="18.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row>
    <row r="99" spans="1:37" ht="18.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row>
    <row r="100" spans="1:37" ht="18.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row>
    <row r="101" spans="1:37" ht="18.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row>
    <row r="102" spans="1:37" ht="18.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row>
    <row r="103" spans="1:37" ht="18.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row>
    <row r="104" spans="1:37" ht="18.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row>
    <row r="105" spans="1:37" ht="18.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row>
    <row r="106" spans="1:37" ht="18.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row>
    <row r="107" spans="1:37" ht="18.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row>
    <row r="108" spans="1:37" ht="18.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row>
    <row r="109" spans="1:37" ht="18.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row>
    <row r="110" spans="1:37" ht="18.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row>
    <row r="111" spans="1:37" ht="18.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row>
    <row r="112" spans="1:37" ht="18.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row>
    <row r="113" spans="1:37" ht="18.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row>
    <row r="114" spans="1:37" ht="18.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row>
    <row r="115" spans="1:37" ht="18.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row>
    <row r="116" spans="1:37" ht="18.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row>
    <row r="117" spans="1:37" ht="18.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row>
    <row r="118" spans="1:37" ht="18.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row>
    <row r="119" spans="1:37" ht="18.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row>
    <row r="120" spans="1:37" ht="18.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row>
    <row r="121" spans="1:37" ht="18.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row>
    <row r="122" spans="1:37" ht="18.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row>
    <row r="123" spans="1:37" ht="18.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row>
    <row r="124" spans="1:37" ht="18.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row>
    <row r="125" spans="1:37" ht="18.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row>
    <row r="126" spans="1:37" ht="18.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row>
    <row r="127" spans="1:37" ht="18.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row>
    <row r="128" spans="1:37" ht="18.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row>
    <row r="129" spans="1:37" ht="18.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row>
    <row r="130" spans="1:37" ht="18.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row>
    <row r="131" spans="1:37" ht="18.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row>
    <row r="132" spans="1:37" ht="18.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row>
    <row r="133" spans="1:37" ht="18.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row>
    <row r="134" spans="1:37" ht="18.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row>
    <row r="135" spans="1:37" ht="18.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row>
    <row r="136" spans="1:37" ht="18.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1:37" ht="18.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1:37" ht="18.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row>
    <row r="139" spans="1:37" ht="18.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row>
    <row r="140" spans="1:37" ht="18.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row>
    <row r="141" spans="1:37" ht="18.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row>
    <row r="142" spans="1:37" ht="18.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row>
    <row r="143" spans="1:37" ht="18.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row>
    <row r="144" spans="1:37" ht="18.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row>
    <row r="145" spans="1:37" ht="18.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row>
    <row r="146" spans="1:37" ht="18.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row>
    <row r="147" spans="1:37" ht="18.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row>
    <row r="148" spans="1:37" ht="18.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row>
    <row r="149" spans="1:37" ht="18.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row>
    <row r="150" spans="1:37" ht="18.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row>
    <row r="151" spans="1:37" ht="18.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row>
    <row r="152" spans="1:37" ht="18.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row>
    <row r="153" spans="1:37" ht="18.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row>
    <row r="154" spans="1:37" ht="18.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row>
    <row r="155" spans="1:37" ht="18.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row>
    <row r="156" spans="1:37" ht="18.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row>
    <row r="157" spans="1:37" ht="18.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row>
    <row r="158" spans="1:37" ht="18.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row>
    <row r="159" spans="1:37" ht="18.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row>
    <row r="160" spans="1:37" ht="18.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row>
    <row r="161" spans="1:37" ht="18.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row>
    <row r="162" spans="1:37" ht="18.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row>
    <row r="163" spans="1:37" ht="18.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row>
    <row r="164" spans="1:37" ht="18.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row>
    <row r="165" spans="1:37" ht="18.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row>
    <row r="166" spans="1:37" ht="18.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row>
    <row r="167" spans="1:37" ht="18.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row>
    <row r="168" spans="1:37" ht="18.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row>
    <row r="169" spans="1:37" ht="18.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row>
    <row r="170" spans="1:37" ht="18.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row>
    <row r="171" spans="1:37" ht="18.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row>
    <row r="172" spans="1:37" ht="18.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row>
    <row r="173" spans="1:37" ht="18.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row>
    <row r="174" spans="1:37" ht="18.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row>
    <row r="175" spans="1:37" ht="18.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row>
    <row r="176" spans="1:37" ht="18.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row>
    <row r="177" spans="1:37" ht="18.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row>
    <row r="178" spans="1:37" ht="18.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row>
    <row r="179" spans="1:37" ht="18.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row>
    <row r="180" spans="1:37" ht="18.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row>
    <row r="181" spans="1:37" ht="18.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row>
    <row r="182" spans="1:37" ht="18.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row>
    <row r="183" spans="1:37" ht="18.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row>
    <row r="184" spans="1:37" ht="18.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row>
    <row r="185" spans="1:37" ht="18.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row>
    <row r="186" spans="1:37" ht="18.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row>
    <row r="187" spans="1:37" ht="18.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row>
    <row r="188" spans="1:37" ht="18.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row>
    <row r="189" spans="1:37" ht="18.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row>
    <row r="190" spans="1:37" ht="18.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row>
    <row r="191" spans="1:37" ht="18.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row>
    <row r="192" spans="1:37" ht="18.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row>
    <row r="193" spans="1:37" ht="18.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row>
    <row r="194" spans="1:37" ht="18.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row>
    <row r="195" spans="1:37" ht="18.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row>
    <row r="196" spans="1:37" ht="18.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row>
    <row r="197" spans="1:37" ht="18.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row>
    <row r="198" spans="1:37" ht="18.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row>
    <row r="199" spans="1:37" ht="18.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row>
    <row r="200" spans="1:37" ht="18.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row>
    <row r="201" spans="1:37" ht="18.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row>
    <row r="202" spans="1:37" ht="18.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row>
    <row r="203" spans="1:37" ht="18.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row>
    <row r="204" spans="1:37" ht="18.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row>
    <row r="205" spans="1:37" ht="18.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row>
    <row r="206" spans="1:37" ht="18.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row>
    <row r="207" spans="1:37" ht="18.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row>
    <row r="208" spans="1:37" ht="18.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row>
    <row r="209" spans="1:37" ht="18.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row>
    <row r="210" spans="1:37" ht="18.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row>
    <row r="211" spans="1:37" ht="18.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row>
    <row r="212" spans="1:37" ht="18.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row>
    <row r="213" spans="1:37" ht="18.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row>
    <row r="214" spans="1:37" ht="18.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row>
    <row r="215" spans="1:37" ht="18.75" customHeight="1"/>
    <row r="216" spans="1:37" ht="18.75" customHeight="1"/>
    <row r="217" spans="1:37" ht="18.75" customHeight="1"/>
    <row r="218" spans="1:37" ht="18.75" customHeight="1"/>
    <row r="219" spans="1:37" ht="18.75" customHeight="1"/>
    <row r="220" spans="1:37" ht="18.75" customHeight="1"/>
    <row r="221" spans="1:37" ht="18.75" customHeight="1"/>
    <row r="222" spans="1:37" ht="18.75" customHeight="1"/>
    <row r="223" spans="1:37" ht="18.75" customHeight="1"/>
    <row r="224" spans="1:37"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sheetData>
  <mergeCells count="169">
    <mergeCell ref="R55:W55"/>
    <mergeCell ref="X55:AK55"/>
    <mergeCell ref="R52:W52"/>
    <mergeCell ref="X52:AK52"/>
    <mergeCell ref="R53:W53"/>
    <mergeCell ref="X53:AK53"/>
    <mergeCell ref="X44:AK44"/>
    <mergeCell ref="X46:AK46"/>
    <mergeCell ref="D29:Q29"/>
    <mergeCell ref="R29:W29"/>
    <mergeCell ref="D30:Q30"/>
    <mergeCell ref="R30:W30"/>
    <mergeCell ref="D31:Q31"/>
    <mergeCell ref="R31:W31"/>
    <mergeCell ref="R54:W54"/>
    <mergeCell ref="X54:AK54"/>
    <mergeCell ref="E45:Q45"/>
    <mergeCell ref="D46:Q46"/>
    <mergeCell ref="C34:Q34"/>
    <mergeCell ref="R34:W34"/>
    <mergeCell ref="X37:AK37"/>
    <mergeCell ref="X38:AK38"/>
    <mergeCell ref="X40:AK40"/>
    <mergeCell ref="R45:W45"/>
    <mergeCell ref="D13:Q13"/>
    <mergeCell ref="R13:W13"/>
    <mergeCell ref="X13:AK13"/>
    <mergeCell ref="C14:Q14"/>
    <mergeCell ref="R14:W14"/>
    <mergeCell ref="X14:AK14"/>
    <mergeCell ref="D28:Q28"/>
    <mergeCell ref="R28:W28"/>
    <mergeCell ref="D21:Q21"/>
    <mergeCell ref="R21:W21"/>
    <mergeCell ref="D22:Q22"/>
    <mergeCell ref="R22:W22"/>
    <mergeCell ref="D24:Q24"/>
    <mergeCell ref="R24:W24"/>
    <mergeCell ref="D27:Q27"/>
    <mergeCell ref="R27:W27"/>
    <mergeCell ref="D26:Q26"/>
    <mergeCell ref="R26:W26"/>
    <mergeCell ref="D25:Q25"/>
    <mergeCell ref="R25:W25"/>
    <mergeCell ref="D23:Q23"/>
    <mergeCell ref="R23:W23"/>
    <mergeCell ref="D12:Q12"/>
    <mergeCell ref="R12:W12"/>
    <mergeCell ref="X12:AK12"/>
    <mergeCell ref="D8:Q8"/>
    <mergeCell ref="R8:W8"/>
    <mergeCell ref="X8:AK8"/>
    <mergeCell ref="D9:Q9"/>
    <mergeCell ref="R9:W9"/>
    <mergeCell ref="X9:AK9"/>
    <mergeCell ref="R11:W11"/>
    <mergeCell ref="A2:AK2"/>
    <mergeCell ref="AC4:AK4"/>
    <mergeCell ref="C6:Q6"/>
    <mergeCell ref="R6:W6"/>
    <mergeCell ref="X6:AK6"/>
    <mergeCell ref="C7:Q7"/>
    <mergeCell ref="R7:W7"/>
    <mergeCell ref="X7:AK7"/>
    <mergeCell ref="D10:Q10"/>
    <mergeCell ref="R10:W10"/>
    <mergeCell ref="X10:AK10"/>
    <mergeCell ref="C71:Q71"/>
    <mergeCell ref="R71:W71"/>
    <mergeCell ref="X71:AK71"/>
    <mergeCell ref="R66:W66"/>
    <mergeCell ref="X65:AK65"/>
    <mergeCell ref="R50:W50"/>
    <mergeCell ref="X50:AK50"/>
    <mergeCell ref="E47:Q47"/>
    <mergeCell ref="R47:W47"/>
    <mergeCell ref="X47:AK47"/>
    <mergeCell ref="E48:Q48"/>
    <mergeCell ref="R48:W48"/>
    <mergeCell ref="X48:AK48"/>
    <mergeCell ref="R59:W59"/>
    <mergeCell ref="D62:Q62"/>
    <mergeCell ref="C64:Q64"/>
    <mergeCell ref="C66:Q66"/>
    <mergeCell ref="X66:AK66"/>
    <mergeCell ref="C70:Q70"/>
    <mergeCell ref="R70:W70"/>
    <mergeCell ref="X70:AK70"/>
    <mergeCell ref="D63:Q63"/>
    <mergeCell ref="R64:W64"/>
    <mergeCell ref="X64:AK64"/>
    <mergeCell ref="R61:W61"/>
    <mergeCell ref="X61:AK61"/>
    <mergeCell ref="R62:W62"/>
    <mergeCell ref="X62:AK62"/>
    <mergeCell ref="C67:Q67"/>
    <mergeCell ref="R67:W67"/>
    <mergeCell ref="X67:AK67"/>
    <mergeCell ref="R63:W63"/>
    <mergeCell ref="X63:AK63"/>
    <mergeCell ref="C65:Q65"/>
    <mergeCell ref="R65:W65"/>
    <mergeCell ref="X45:AK45"/>
    <mergeCell ref="R46:W46"/>
    <mergeCell ref="C38:Q38"/>
    <mergeCell ref="R38:W38"/>
    <mergeCell ref="C35:Q35"/>
    <mergeCell ref="R35:W35"/>
    <mergeCell ref="R40:W40"/>
    <mergeCell ref="X41:AK41"/>
    <mergeCell ref="E44:Q44"/>
    <mergeCell ref="R44:W44"/>
    <mergeCell ref="X42:AK42"/>
    <mergeCell ref="X43:AK43"/>
    <mergeCell ref="X35:AK35"/>
    <mergeCell ref="X36:AK36"/>
    <mergeCell ref="C41:Q41"/>
    <mergeCell ref="D42:Q42"/>
    <mergeCell ref="R42:W42"/>
    <mergeCell ref="E43:Q43"/>
    <mergeCell ref="R43:W43"/>
    <mergeCell ref="C36:Q36"/>
    <mergeCell ref="R36:W36"/>
    <mergeCell ref="C40:Q40"/>
    <mergeCell ref="R41:W41"/>
    <mergeCell ref="C37:Q37"/>
    <mergeCell ref="R37:W37"/>
    <mergeCell ref="X34:AK34"/>
    <mergeCell ref="X15:AK33"/>
    <mergeCell ref="D32:Q32"/>
    <mergeCell ref="R32:W32"/>
    <mergeCell ref="D15:Q15"/>
    <mergeCell ref="D20:Q20"/>
    <mergeCell ref="R20:W20"/>
    <mergeCell ref="D17:Q17"/>
    <mergeCell ref="R17:W17"/>
    <mergeCell ref="D18:Q18"/>
    <mergeCell ref="R18:W18"/>
    <mergeCell ref="D19:Q19"/>
    <mergeCell ref="R19:W19"/>
    <mergeCell ref="R15:W15"/>
    <mergeCell ref="D16:Q16"/>
    <mergeCell ref="R16:W16"/>
    <mergeCell ref="D33:Q33"/>
    <mergeCell ref="R33:W33"/>
    <mergeCell ref="E58:Q58"/>
    <mergeCell ref="E60:Q60"/>
    <mergeCell ref="E51:Q51"/>
    <mergeCell ref="R51:W51"/>
    <mergeCell ref="X51:AK51"/>
    <mergeCell ref="E49:Q49"/>
    <mergeCell ref="R49:W49"/>
    <mergeCell ref="X49:AK49"/>
    <mergeCell ref="E50:Q50"/>
    <mergeCell ref="R60:W60"/>
    <mergeCell ref="X60:AK60"/>
    <mergeCell ref="D52:Q52"/>
    <mergeCell ref="E53:Q53"/>
    <mergeCell ref="E54:Q54"/>
    <mergeCell ref="E55:Q55"/>
    <mergeCell ref="E56:Q56"/>
    <mergeCell ref="E57:Q57"/>
    <mergeCell ref="R56:W56"/>
    <mergeCell ref="X56:AK56"/>
    <mergeCell ref="R57:W57"/>
    <mergeCell ref="X57:AK57"/>
    <mergeCell ref="X59:AK59"/>
    <mergeCell ref="R58:W58"/>
    <mergeCell ref="X58:AK58"/>
  </mergeCells>
  <phoneticPr fontId="1"/>
  <conditionalFormatting sqref="AL42">
    <cfRule type="expression" dxfId="0" priority="1">
      <formula>AL42="←「常勤処遇改善の可能額」と異なる金額が入力されていますので確認してください"</formula>
    </cfRule>
  </conditionalFormatting>
  <dataValidations count="2">
    <dataValidation type="whole" allowBlank="1" showInputMessage="1" showErrorMessage="1" sqref="R11" xr:uid="{A68B5DA0-7144-4DC8-8353-098CCE6F0535}">
      <formula1>0</formula1>
      <formula2>99999999999</formula2>
    </dataValidation>
    <dataValidation type="whole" allowBlank="1" showInputMessage="1" showErrorMessage="1" sqref="R43:W45 R47:W51 S53:W58 S60:W60 R53:R60 R62:W66" xr:uid="{72C64D01-7732-4926-A2D5-F82C40FDBE08}">
      <formula1>-999999999</formula1>
      <formula2>99999999999</formula2>
    </dataValidation>
  </dataValidations>
  <pageMargins left="0.51181102362204722" right="0.31496062992125984" top="0.55118110236220474" bottom="0.15748031496062992" header="0.31496062992125984" footer="0.31496062992125984"/>
  <pageSetup paperSize="9" scale="6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I20"/>
  <sheetViews>
    <sheetView view="pageBreakPreview" zoomScaleNormal="100" zoomScaleSheetLayoutView="100" workbookViewId="0">
      <selection activeCell="A9" sqref="A9"/>
    </sheetView>
  </sheetViews>
  <sheetFormatPr defaultRowHeight="13.5"/>
  <cols>
    <col min="1" max="1" width="17.875" style="159" customWidth="1"/>
    <col min="2" max="2" width="22.125" style="159" customWidth="1"/>
    <col min="3" max="5" width="17.875" style="159" customWidth="1"/>
    <col min="6" max="256" width="9" style="159"/>
    <col min="257" max="257" width="17.875" style="159" customWidth="1"/>
    <col min="258" max="258" width="22.125" style="159" customWidth="1"/>
    <col min="259" max="261" width="17.875" style="159" customWidth="1"/>
    <col min="262" max="512" width="9" style="159"/>
    <col min="513" max="513" width="17.875" style="159" customWidth="1"/>
    <col min="514" max="514" width="22.125" style="159" customWidth="1"/>
    <col min="515" max="517" width="17.875" style="159" customWidth="1"/>
    <col min="518" max="768" width="9" style="159"/>
    <col min="769" max="769" width="17.875" style="159" customWidth="1"/>
    <col min="770" max="770" width="22.125" style="159" customWidth="1"/>
    <col min="771" max="773" width="17.875" style="159" customWidth="1"/>
    <col min="774" max="1024" width="9" style="159"/>
    <col min="1025" max="1025" width="17.875" style="159" customWidth="1"/>
    <col min="1026" max="1026" width="22.125" style="159" customWidth="1"/>
    <col min="1027" max="1029" width="17.875" style="159" customWidth="1"/>
    <col min="1030" max="1280" width="9" style="159"/>
    <col min="1281" max="1281" width="17.875" style="159" customWidth="1"/>
    <col min="1282" max="1282" width="22.125" style="159" customWidth="1"/>
    <col min="1283" max="1285" width="17.875" style="159" customWidth="1"/>
    <col min="1286" max="1536" width="9" style="159"/>
    <col min="1537" max="1537" width="17.875" style="159" customWidth="1"/>
    <col min="1538" max="1538" width="22.125" style="159" customWidth="1"/>
    <col min="1539" max="1541" width="17.875" style="159" customWidth="1"/>
    <col min="1542" max="1792" width="9" style="159"/>
    <col min="1793" max="1793" width="17.875" style="159" customWidth="1"/>
    <col min="1794" max="1794" width="22.125" style="159" customWidth="1"/>
    <col min="1795" max="1797" width="17.875" style="159" customWidth="1"/>
    <col min="1798" max="2048" width="9" style="159"/>
    <col min="2049" max="2049" width="17.875" style="159" customWidth="1"/>
    <col min="2050" max="2050" width="22.125" style="159" customWidth="1"/>
    <col min="2051" max="2053" width="17.875" style="159" customWidth="1"/>
    <col min="2054" max="2304" width="9" style="159"/>
    <col min="2305" max="2305" width="17.875" style="159" customWidth="1"/>
    <col min="2306" max="2306" width="22.125" style="159" customWidth="1"/>
    <col min="2307" max="2309" width="17.875" style="159" customWidth="1"/>
    <col min="2310" max="2560" width="9" style="159"/>
    <col min="2561" max="2561" width="17.875" style="159" customWidth="1"/>
    <col min="2562" max="2562" width="22.125" style="159" customWidth="1"/>
    <col min="2563" max="2565" width="17.875" style="159" customWidth="1"/>
    <col min="2566" max="2816" width="9" style="159"/>
    <col min="2817" max="2817" width="17.875" style="159" customWidth="1"/>
    <col min="2818" max="2818" width="22.125" style="159" customWidth="1"/>
    <col min="2819" max="2821" width="17.875" style="159" customWidth="1"/>
    <col min="2822" max="3072" width="9" style="159"/>
    <col min="3073" max="3073" width="17.875" style="159" customWidth="1"/>
    <col min="3074" max="3074" width="22.125" style="159" customWidth="1"/>
    <col min="3075" max="3077" width="17.875" style="159" customWidth="1"/>
    <col min="3078" max="3328" width="9" style="159"/>
    <col min="3329" max="3329" width="17.875" style="159" customWidth="1"/>
    <col min="3330" max="3330" width="22.125" style="159" customWidth="1"/>
    <col min="3331" max="3333" width="17.875" style="159" customWidth="1"/>
    <col min="3334" max="3584" width="9" style="159"/>
    <col min="3585" max="3585" width="17.875" style="159" customWidth="1"/>
    <col min="3586" max="3586" width="22.125" style="159" customWidth="1"/>
    <col min="3587" max="3589" width="17.875" style="159" customWidth="1"/>
    <col min="3590" max="3840" width="9" style="159"/>
    <col min="3841" max="3841" width="17.875" style="159" customWidth="1"/>
    <col min="3842" max="3842" width="22.125" style="159" customWidth="1"/>
    <col min="3843" max="3845" width="17.875" style="159" customWidth="1"/>
    <col min="3846" max="4096" width="9" style="159"/>
    <col min="4097" max="4097" width="17.875" style="159" customWidth="1"/>
    <col min="4098" max="4098" width="22.125" style="159" customWidth="1"/>
    <col min="4099" max="4101" width="17.875" style="159" customWidth="1"/>
    <col min="4102" max="4352" width="9" style="159"/>
    <col min="4353" max="4353" width="17.875" style="159" customWidth="1"/>
    <col min="4354" max="4354" width="22.125" style="159" customWidth="1"/>
    <col min="4355" max="4357" width="17.875" style="159" customWidth="1"/>
    <col min="4358" max="4608" width="9" style="159"/>
    <col min="4609" max="4609" width="17.875" style="159" customWidth="1"/>
    <col min="4610" max="4610" width="22.125" style="159" customWidth="1"/>
    <col min="4611" max="4613" width="17.875" style="159" customWidth="1"/>
    <col min="4614" max="4864" width="9" style="159"/>
    <col min="4865" max="4865" width="17.875" style="159" customWidth="1"/>
    <col min="4866" max="4866" width="22.125" style="159" customWidth="1"/>
    <col min="4867" max="4869" width="17.875" style="159" customWidth="1"/>
    <col min="4870" max="5120" width="9" style="159"/>
    <col min="5121" max="5121" width="17.875" style="159" customWidth="1"/>
    <col min="5122" max="5122" width="22.125" style="159" customWidth="1"/>
    <col min="5123" max="5125" width="17.875" style="159" customWidth="1"/>
    <col min="5126" max="5376" width="9" style="159"/>
    <col min="5377" max="5377" width="17.875" style="159" customWidth="1"/>
    <col min="5378" max="5378" width="22.125" style="159" customWidth="1"/>
    <col min="5379" max="5381" width="17.875" style="159" customWidth="1"/>
    <col min="5382" max="5632" width="9" style="159"/>
    <col min="5633" max="5633" width="17.875" style="159" customWidth="1"/>
    <col min="5634" max="5634" width="22.125" style="159" customWidth="1"/>
    <col min="5635" max="5637" width="17.875" style="159" customWidth="1"/>
    <col min="5638" max="5888" width="9" style="159"/>
    <col min="5889" max="5889" width="17.875" style="159" customWidth="1"/>
    <col min="5890" max="5890" width="22.125" style="159" customWidth="1"/>
    <col min="5891" max="5893" width="17.875" style="159" customWidth="1"/>
    <col min="5894" max="6144" width="9" style="159"/>
    <col min="6145" max="6145" width="17.875" style="159" customWidth="1"/>
    <col min="6146" max="6146" width="22.125" style="159" customWidth="1"/>
    <col min="6147" max="6149" width="17.875" style="159" customWidth="1"/>
    <col min="6150" max="6400" width="9" style="159"/>
    <col min="6401" max="6401" width="17.875" style="159" customWidth="1"/>
    <col min="6402" max="6402" width="22.125" style="159" customWidth="1"/>
    <col min="6403" max="6405" width="17.875" style="159" customWidth="1"/>
    <col min="6406" max="6656" width="9" style="159"/>
    <col min="6657" max="6657" width="17.875" style="159" customWidth="1"/>
    <col min="6658" max="6658" width="22.125" style="159" customWidth="1"/>
    <col min="6659" max="6661" width="17.875" style="159" customWidth="1"/>
    <col min="6662" max="6912" width="9" style="159"/>
    <col min="6913" max="6913" width="17.875" style="159" customWidth="1"/>
    <col min="6914" max="6914" width="22.125" style="159" customWidth="1"/>
    <col min="6915" max="6917" width="17.875" style="159" customWidth="1"/>
    <col min="6918" max="7168" width="9" style="159"/>
    <col min="7169" max="7169" width="17.875" style="159" customWidth="1"/>
    <col min="7170" max="7170" width="22.125" style="159" customWidth="1"/>
    <col min="7171" max="7173" width="17.875" style="159" customWidth="1"/>
    <col min="7174" max="7424" width="9" style="159"/>
    <col min="7425" max="7425" width="17.875" style="159" customWidth="1"/>
    <col min="7426" max="7426" width="22.125" style="159" customWidth="1"/>
    <col min="7427" max="7429" width="17.875" style="159" customWidth="1"/>
    <col min="7430" max="7680" width="9" style="159"/>
    <col min="7681" max="7681" width="17.875" style="159" customWidth="1"/>
    <col min="7682" max="7682" width="22.125" style="159" customWidth="1"/>
    <col min="7683" max="7685" width="17.875" style="159" customWidth="1"/>
    <col min="7686" max="7936" width="9" style="159"/>
    <col min="7937" max="7937" width="17.875" style="159" customWidth="1"/>
    <col min="7938" max="7938" width="22.125" style="159" customWidth="1"/>
    <col min="7939" max="7941" width="17.875" style="159" customWidth="1"/>
    <col min="7942" max="8192" width="9" style="159"/>
    <col min="8193" max="8193" width="17.875" style="159" customWidth="1"/>
    <col min="8194" max="8194" width="22.125" style="159" customWidth="1"/>
    <col min="8195" max="8197" width="17.875" style="159" customWidth="1"/>
    <col min="8198" max="8448" width="9" style="159"/>
    <col min="8449" max="8449" width="17.875" style="159" customWidth="1"/>
    <col min="8450" max="8450" width="22.125" style="159" customWidth="1"/>
    <col min="8451" max="8453" width="17.875" style="159" customWidth="1"/>
    <col min="8454" max="8704" width="9" style="159"/>
    <col min="8705" max="8705" width="17.875" style="159" customWidth="1"/>
    <col min="8706" max="8706" width="22.125" style="159" customWidth="1"/>
    <col min="8707" max="8709" width="17.875" style="159" customWidth="1"/>
    <col min="8710" max="8960" width="9" style="159"/>
    <col min="8961" max="8961" width="17.875" style="159" customWidth="1"/>
    <col min="8962" max="8962" width="22.125" style="159" customWidth="1"/>
    <col min="8963" max="8965" width="17.875" style="159" customWidth="1"/>
    <col min="8966" max="9216" width="9" style="159"/>
    <col min="9217" max="9217" width="17.875" style="159" customWidth="1"/>
    <col min="9218" max="9218" width="22.125" style="159" customWidth="1"/>
    <col min="9219" max="9221" width="17.875" style="159" customWidth="1"/>
    <col min="9222" max="9472" width="9" style="159"/>
    <col min="9473" max="9473" width="17.875" style="159" customWidth="1"/>
    <col min="9474" max="9474" width="22.125" style="159" customWidth="1"/>
    <col min="9475" max="9477" width="17.875" style="159" customWidth="1"/>
    <col min="9478" max="9728" width="9" style="159"/>
    <col min="9729" max="9729" width="17.875" style="159" customWidth="1"/>
    <col min="9730" max="9730" width="22.125" style="159" customWidth="1"/>
    <col min="9731" max="9733" width="17.875" style="159" customWidth="1"/>
    <col min="9734" max="9984" width="9" style="159"/>
    <col min="9985" max="9985" width="17.875" style="159" customWidth="1"/>
    <col min="9986" max="9986" width="22.125" style="159" customWidth="1"/>
    <col min="9987" max="9989" width="17.875" style="159" customWidth="1"/>
    <col min="9990" max="10240" width="9" style="159"/>
    <col min="10241" max="10241" width="17.875" style="159" customWidth="1"/>
    <col min="10242" max="10242" width="22.125" style="159" customWidth="1"/>
    <col min="10243" max="10245" width="17.875" style="159" customWidth="1"/>
    <col min="10246" max="10496" width="9" style="159"/>
    <col min="10497" max="10497" width="17.875" style="159" customWidth="1"/>
    <col min="10498" max="10498" width="22.125" style="159" customWidth="1"/>
    <col min="10499" max="10501" width="17.875" style="159" customWidth="1"/>
    <col min="10502" max="10752" width="9" style="159"/>
    <col min="10753" max="10753" width="17.875" style="159" customWidth="1"/>
    <col min="10754" max="10754" width="22.125" style="159" customWidth="1"/>
    <col min="10755" max="10757" width="17.875" style="159" customWidth="1"/>
    <col min="10758" max="11008" width="9" style="159"/>
    <col min="11009" max="11009" width="17.875" style="159" customWidth="1"/>
    <col min="11010" max="11010" width="22.125" style="159" customWidth="1"/>
    <col min="11011" max="11013" width="17.875" style="159" customWidth="1"/>
    <col min="11014" max="11264" width="9" style="159"/>
    <col min="11265" max="11265" width="17.875" style="159" customWidth="1"/>
    <col min="11266" max="11266" width="22.125" style="159" customWidth="1"/>
    <col min="11267" max="11269" width="17.875" style="159" customWidth="1"/>
    <col min="11270" max="11520" width="9" style="159"/>
    <col min="11521" max="11521" width="17.875" style="159" customWidth="1"/>
    <col min="11522" max="11522" width="22.125" style="159" customWidth="1"/>
    <col min="11523" max="11525" width="17.875" style="159" customWidth="1"/>
    <col min="11526" max="11776" width="9" style="159"/>
    <col min="11777" max="11777" width="17.875" style="159" customWidth="1"/>
    <col min="11778" max="11778" width="22.125" style="159" customWidth="1"/>
    <col min="11779" max="11781" width="17.875" style="159" customWidth="1"/>
    <col min="11782" max="12032" width="9" style="159"/>
    <col min="12033" max="12033" width="17.875" style="159" customWidth="1"/>
    <col min="12034" max="12034" width="22.125" style="159" customWidth="1"/>
    <col min="12035" max="12037" width="17.875" style="159" customWidth="1"/>
    <col min="12038" max="12288" width="9" style="159"/>
    <col min="12289" max="12289" width="17.875" style="159" customWidth="1"/>
    <col min="12290" max="12290" width="22.125" style="159" customWidth="1"/>
    <col min="12291" max="12293" width="17.875" style="159" customWidth="1"/>
    <col min="12294" max="12544" width="9" style="159"/>
    <col min="12545" max="12545" width="17.875" style="159" customWidth="1"/>
    <col min="12546" max="12546" width="22.125" style="159" customWidth="1"/>
    <col min="12547" max="12549" width="17.875" style="159" customWidth="1"/>
    <col min="12550" max="12800" width="9" style="159"/>
    <col min="12801" max="12801" width="17.875" style="159" customWidth="1"/>
    <col min="12802" max="12802" width="22.125" style="159" customWidth="1"/>
    <col min="12803" max="12805" width="17.875" style="159" customWidth="1"/>
    <col min="12806" max="13056" width="9" style="159"/>
    <col min="13057" max="13057" width="17.875" style="159" customWidth="1"/>
    <col min="13058" max="13058" width="22.125" style="159" customWidth="1"/>
    <col min="13059" max="13061" width="17.875" style="159" customWidth="1"/>
    <col min="13062" max="13312" width="9" style="159"/>
    <col min="13313" max="13313" width="17.875" style="159" customWidth="1"/>
    <col min="13314" max="13314" width="22.125" style="159" customWidth="1"/>
    <col min="13315" max="13317" width="17.875" style="159" customWidth="1"/>
    <col min="13318" max="13568" width="9" style="159"/>
    <col min="13569" max="13569" width="17.875" style="159" customWidth="1"/>
    <col min="13570" max="13570" width="22.125" style="159" customWidth="1"/>
    <col min="13571" max="13573" width="17.875" style="159" customWidth="1"/>
    <col min="13574" max="13824" width="9" style="159"/>
    <col min="13825" max="13825" width="17.875" style="159" customWidth="1"/>
    <col min="13826" max="13826" width="22.125" style="159" customWidth="1"/>
    <col min="13827" max="13829" width="17.875" style="159" customWidth="1"/>
    <col min="13830" max="14080" width="9" style="159"/>
    <col min="14081" max="14081" width="17.875" style="159" customWidth="1"/>
    <col min="14082" max="14082" width="22.125" style="159" customWidth="1"/>
    <col min="14083" max="14085" width="17.875" style="159" customWidth="1"/>
    <col min="14086" max="14336" width="9" style="159"/>
    <col min="14337" max="14337" width="17.875" style="159" customWidth="1"/>
    <col min="14338" max="14338" width="22.125" style="159" customWidth="1"/>
    <col min="14339" max="14341" width="17.875" style="159" customWidth="1"/>
    <col min="14342" max="14592" width="9" style="159"/>
    <col min="14593" max="14593" width="17.875" style="159" customWidth="1"/>
    <col min="14594" max="14594" width="22.125" style="159" customWidth="1"/>
    <col min="14595" max="14597" width="17.875" style="159" customWidth="1"/>
    <col min="14598" max="14848" width="9" style="159"/>
    <col min="14849" max="14849" width="17.875" style="159" customWidth="1"/>
    <col min="14850" max="14850" width="22.125" style="159" customWidth="1"/>
    <col min="14851" max="14853" width="17.875" style="159" customWidth="1"/>
    <col min="14854" max="15104" width="9" style="159"/>
    <col min="15105" max="15105" width="17.875" style="159" customWidth="1"/>
    <col min="15106" max="15106" width="22.125" style="159" customWidth="1"/>
    <col min="15107" max="15109" width="17.875" style="159" customWidth="1"/>
    <col min="15110" max="15360" width="9" style="159"/>
    <col min="15361" max="15361" width="17.875" style="159" customWidth="1"/>
    <col min="15362" max="15362" width="22.125" style="159" customWidth="1"/>
    <col min="15363" max="15365" width="17.875" style="159" customWidth="1"/>
    <col min="15366" max="15616" width="9" style="159"/>
    <col min="15617" max="15617" width="17.875" style="159" customWidth="1"/>
    <col min="15618" max="15618" width="22.125" style="159" customWidth="1"/>
    <col min="15619" max="15621" width="17.875" style="159" customWidth="1"/>
    <col min="15622" max="15872" width="9" style="159"/>
    <col min="15873" max="15873" width="17.875" style="159" customWidth="1"/>
    <col min="15874" max="15874" width="22.125" style="159" customWidth="1"/>
    <col min="15875" max="15877" width="17.875" style="159" customWidth="1"/>
    <col min="15878" max="16128" width="9" style="159"/>
    <col min="16129" max="16129" width="17.875" style="159" customWidth="1"/>
    <col min="16130" max="16130" width="22.125" style="159" customWidth="1"/>
    <col min="16131" max="16133" width="17.875" style="159" customWidth="1"/>
    <col min="16134" max="16384" width="9" style="159"/>
  </cols>
  <sheetData>
    <row r="1" spans="1:9" ht="33" customHeight="1">
      <c r="A1" s="361" t="s">
        <v>737</v>
      </c>
    </row>
    <row r="2" spans="1:9" s="160" customFormat="1" ht="31.5" customHeight="1">
      <c r="B2" s="161">
        <v>5</v>
      </c>
      <c r="C2" s="162" t="s">
        <v>83</v>
      </c>
      <c r="D2" s="162"/>
      <c r="E2" s="162"/>
      <c r="F2" s="162"/>
      <c r="G2" s="162"/>
    </row>
    <row r="3" spans="1:9" ht="21.75" customHeight="1">
      <c r="A3" s="163" t="s">
        <v>200</v>
      </c>
      <c r="B3" s="164">
        <v>5</v>
      </c>
      <c r="C3" s="165">
        <v>6</v>
      </c>
      <c r="E3" s="166"/>
    </row>
    <row r="4" spans="1:9" ht="23.25" customHeight="1">
      <c r="A4" s="167"/>
      <c r="B4" s="168" t="s">
        <v>84</v>
      </c>
      <c r="C4" s="1370" t="str">
        <f>+'様式６（事業計画変更申請書）'!J10</f>
        <v>●●法人　●●●●</v>
      </c>
      <c r="D4" s="1370"/>
      <c r="E4" s="1370"/>
    </row>
    <row r="5" spans="1:9" ht="17.25" customHeight="1" thickBot="1">
      <c r="A5" s="167"/>
      <c r="B5" s="167"/>
      <c r="C5" s="167"/>
      <c r="D5" s="167"/>
      <c r="E5" s="168" t="s">
        <v>85</v>
      </c>
      <c r="F5" s="1371"/>
      <c r="G5" s="1371"/>
      <c r="H5" s="1371"/>
    </row>
    <row r="6" spans="1:9" ht="21.75" customHeight="1">
      <c r="A6" s="169">
        <v>4</v>
      </c>
      <c r="B6" s="1372">
        <v>5</v>
      </c>
      <c r="C6" s="1373"/>
      <c r="D6" s="1374"/>
      <c r="E6" s="169">
        <v>5</v>
      </c>
      <c r="F6" s="170"/>
      <c r="G6" s="170"/>
    </row>
    <row r="7" spans="1:9" ht="21.75" customHeight="1">
      <c r="A7" s="365" t="s">
        <v>583</v>
      </c>
      <c r="B7" s="1375"/>
      <c r="C7" s="1376"/>
      <c r="D7" s="1377"/>
      <c r="E7" s="554" t="s">
        <v>622</v>
      </c>
      <c r="F7" s="170"/>
      <c r="G7" s="170"/>
    </row>
    <row r="8" spans="1:9" s="160" customFormat="1" ht="21.75" customHeight="1">
      <c r="A8" s="171" t="s">
        <v>86</v>
      </c>
      <c r="B8" s="171" t="s">
        <v>579</v>
      </c>
      <c r="C8" s="172" t="s">
        <v>87</v>
      </c>
      <c r="D8" s="173" t="s">
        <v>580</v>
      </c>
      <c r="E8" s="174" t="s">
        <v>86</v>
      </c>
    </row>
    <row r="9" spans="1:9" ht="67.5" customHeight="1" thickBot="1">
      <c r="A9" s="31">
        <v>1000000</v>
      </c>
      <c r="B9" s="551">
        <f>'様式９（決算書）'!R35</f>
        <v>200000</v>
      </c>
      <c r="C9" s="32">
        <v>10</v>
      </c>
      <c r="D9" s="552">
        <f>'様式９（決算書）'!R65</f>
        <v>50000</v>
      </c>
      <c r="E9" s="30">
        <f>A9-B9+C9+D9</f>
        <v>850010</v>
      </c>
      <c r="F9" s="175"/>
    </row>
    <row r="10" spans="1:9">
      <c r="F10" s="176"/>
    </row>
    <row r="11" spans="1:9" ht="14.25">
      <c r="A11" s="167" t="s">
        <v>88</v>
      </c>
      <c r="B11" s="167"/>
    </row>
    <row r="12" spans="1:9" ht="14.25" thickBot="1">
      <c r="I12" s="177" t="s">
        <v>89</v>
      </c>
    </row>
    <row r="13" spans="1:9">
      <c r="A13" s="1378" t="s">
        <v>90</v>
      </c>
      <c r="B13" s="1379"/>
      <c r="C13" s="1379"/>
      <c r="D13" s="1379"/>
      <c r="E13" s="1380"/>
    </row>
    <row r="14" spans="1:9">
      <c r="A14" s="1381"/>
      <c r="B14" s="1382"/>
      <c r="C14" s="1382"/>
      <c r="D14" s="1382"/>
      <c r="E14" s="1383"/>
    </row>
    <row r="15" spans="1:9">
      <c r="A15" s="1384" t="s">
        <v>759</v>
      </c>
      <c r="B15" s="1385"/>
      <c r="C15" s="1385"/>
      <c r="D15" s="1385"/>
      <c r="E15" s="1386"/>
    </row>
    <row r="16" spans="1:9">
      <c r="A16" s="1387"/>
      <c r="B16" s="1385"/>
      <c r="C16" s="1385"/>
      <c r="D16" s="1385"/>
      <c r="E16" s="1386"/>
    </row>
    <row r="17" spans="1:5">
      <c r="A17" s="1387"/>
      <c r="B17" s="1385"/>
      <c r="C17" s="1385"/>
      <c r="D17" s="1385"/>
      <c r="E17" s="1386"/>
    </row>
    <row r="18" spans="1:5">
      <c r="A18" s="1387"/>
      <c r="B18" s="1385"/>
      <c r="C18" s="1385"/>
      <c r="D18" s="1385"/>
      <c r="E18" s="1386"/>
    </row>
    <row r="19" spans="1:5">
      <c r="A19" s="1387"/>
      <c r="B19" s="1385"/>
      <c r="C19" s="1385"/>
      <c r="D19" s="1385"/>
      <c r="E19" s="1386"/>
    </row>
    <row r="20" spans="1:5" ht="14.25" thickBot="1">
      <c r="A20" s="1388"/>
      <c r="B20" s="1389"/>
      <c r="C20" s="1389"/>
      <c r="D20" s="1389"/>
      <c r="E20" s="1390"/>
    </row>
  </sheetData>
  <mergeCells count="5">
    <mergeCell ref="C4:E4"/>
    <mergeCell ref="F5:H5"/>
    <mergeCell ref="B6:D7"/>
    <mergeCell ref="A13:E14"/>
    <mergeCell ref="A15:E20"/>
  </mergeCells>
  <phoneticPr fontId="1"/>
  <printOptions horizontalCentered="1"/>
  <pageMargins left="0.51181102362204722" right="0.35433070866141736" top="1.3779527559055118"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29B3-F011-4ABD-8A36-4D2717ED10D1}">
  <sheetPr>
    <tabColor theme="0" tint="-0.499984740745262"/>
    <pageSetUpPr fitToPage="1"/>
  </sheetPr>
  <dimension ref="A1:H32"/>
  <sheetViews>
    <sheetView view="pageBreakPreview" zoomScaleNormal="100" zoomScaleSheetLayoutView="100" workbookViewId="0">
      <selection activeCell="B37" sqref="B37"/>
    </sheetView>
  </sheetViews>
  <sheetFormatPr defaultColWidth="9" defaultRowHeight="13.5"/>
  <cols>
    <col min="1" max="1" width="3.5" style="2" bestFit="1" customWidth="1"/>
    <col min="2" max="2" width="30.375" style="2" bestFit="1" customWidth="1"/>
    <col min="3" max="3" width="2.875" style="2" customWidth="1"/>
    <col min="4" max="6" width="10.875" style="2" customWidth="1"/>
    <col min="7" max="7" width="9.625" style="2" customWidth="1"/>
    <col min="8" max="8" width="78.875" style="2" customWidth="1"/>
    <col min="9" max="24" width="4.875" style="2" customWidth="1"/>
    <col min="25" max="16384" width="9" style="2"/>
  </cols>
  <sheetData>
    <row r="1" spans="1:8" ht="18.75">
      <c r="A1" s="1415" t="s">
        <v>635</v>
      </c>
      <c r="B1" s="1415"/>
      <c r="C1" s="1415"/>
      <c r="D1" s="1415"/>
      <c r="E1" s="1415"/>
      <c r="F1" s="1415"/>
      <c r="G1" s="1415"/>
      <c r="H1" s="1415"/>
    </row>
    <row r="4" spans="1:8" ht="24" customHeight="1">
      <c r="A4" s="1416" t="s">
        <v>28</v>
      </c>
      <c r="B4" s="1417"/>
      <c r="C4" s="1417" t="s">
        <v>101</v>
      </c>
      <c r="D4" s="1417"/>
      <c r="E4" s="1417"/>
      <c r="F4" s="1417"/>
      <c r="G4" s="1417"/>
      <c r="H4" s="3" t="s">
        <v>102</v>
      </c>
    </row>
    <row r="5" spans="1:8" ht="24" customHeight="1">
      <c r="A5" s="1408">
        <v>1</v>
      </c>
      <c r="B5" s="1418" t="s">
        <v>30</v>
      </c>
      <c r="C5" s="1419" t="s">
        <v>100</v>
      </c>
      <c r="D5" s="1420"/>
      <c r="E5" s="1420"/>
      <c r="F5" s="1420"/>
      <c r="G5" s="1420"/>
      <c r="H5" s="524"/>
    </row>
    <row r="6" spans="1:8" ht="24" customHeight="1">
      <c r="A6" s="1409"/>
      <c r="B6" s="1418"/>
      <c r="C6" s="525"/>
      <c r="D6" s="1421" t="s">
        <v>178</v>
      </c>
      <c r="E6" s="1422"/>
      <c r="F6" s="1422"/>
      <c r="G6" s="1422"/>
      <c r="H6" s="526" t="s">
        <v>623</v>
      </c>
    </row>
    <row r="7" spans="1:8" ht="24" customHeight="1">
      <c r="A7" s="1409"/>
      <c r="B7" s="1418"/>
      <c r="C7" s="525"/>
      <c r="D7" s="1423" t="s">
        <v>106</v>
      </c>
      <c r="E7" s="1424"/>
      <c r="F7" s="1424"/>
      <c r="G7" s="1424"/>
      <c r="H7" s="527" t="s">
        <v>624</v>
      </c>
    </row>
    <row r="8" spans="1:8" ht="24" customHeight="1">
      <c r="A8" s="1409"/>
      <c r="B8" s="1418"/>
      <c r="C8" s="525"/>
      <c r="D8" s="1423" t="s">
        <v>107</v>
      </c>
      <c r="E8" s="1424"/>
      <c r="F8" s="1424"/>
      <c r="G8" s="1424"/>
      <c r="H8" s="527" t="s">
        <v>625</v>
      </c>
    </row>
    <row r="9" spans="1:8" ht="24" customHeight="1">
      <c r="A9" s="1409"/>
      <c r="B9" s="1418"/>
      <c r="C9" s="528"/>
      <c r="D9" s="1425" t="s">
        <v>108</v>
      </c>
      <c r="E9" s="1426"/>
      <c r="F9" s="1426"/>
      <c r="G9" s="1426"/>
      <c r="H9" s="529" t="s">
        <v>626</v>
      </c>
    </row>
    <row r="10" spans="1:8" ht="24" customHeight="1">
      <c r="A10" s="1409"/>
      <c r="B10" s="1418"/>
      <c r="C10" s="1419" t="s">
        <v>109</v>
      </c>
      <c r="D10" s="1420"/>
      <c r="E10" s="1420"/>
      <c r="F10" s="1420"/>
      <c r="G10" s="1420"/>
      <c r="H10" s="524"/>
    </row>
    <row r="11" spans="1:8" ht="24" customHeight="1">
      <c r="A11" s="1409"/>
      <c r="B11" s="1418"/>
      <c r="C11" s="525"/>
      <c r="D11" s="1427" t="s">
        <v>110</v>
      </c>
      <c r="E11" s="1422"/>
      <c r="F11" s="1422"/>
      <c r="G11" s="1422"/>
      <c r="H11" s="530" t="s">
        <v>627</v>
      </c>
    </row>
    <row r="12" spans="1:8" ht="24" customHeight="1">
      <c r="A12" s="1410"/>
      <c r="B12" s="1418"/>
      <c r="C12" s="528"/>
      <c r="D12" s="1425" t="s">
        <v>190</v>
      </c>
      <c r="E12" s="1426"/>
      <c r="F12" s="1426"/>
      <c r="G12" s="1426"/>
      <c r="H12" s="529" t="s">
        <v>227</v>
      </c>
    </row>
    <row r="13" spans="1:8" ht="24" customHeight="1">
      <c r="A13" s="541">
        <v>2</v>
      </c>
      <c r="B13" s="531" t="s">
        <v>31</v>
      </c>
      <c r="C13" s="1391" t="s">
        <v>191</v>
      </c>
      <c r="D13" s="1391"/>
      <c r="E13" s="1391"/>
      <c r="F13" s="1391"/>
      <c r="G13" s="1391"/>
      <c r="H13" s="532" t="s">
        <v>628</v>
      </c>
    </row>
    <row r="14" spans="1:8" ht="24" customHeight="1">
      <c r="A14" s="541">
        <v>3</v>
      </c>
      <c r="B14" s="531" t="s">
        <v>27</v>
      </c>
      <c r="C14" s="1391" t="s">
        <v>103</v>
      </c>
      <c r="D14" s="1391"/>
      <c r="E14" s="1391"/>
      <c r="F14" s="1391"/>
      <c r="G14" s="1391"/>
      <c r="H14" s="532" t="s">
        <v>657</v>
      </c>
    </row>
    <row r="15" spans="1:8" ht="24" customHeight="1">
      <c r="A15" s="541">
        <v>4</v>
      </c>
      <c r="B15" s="531" t="s">
        <v>32</v>
      </c>
      <c r="C15" s="1395" t="s">
        <v>192</v>
      </c>
      <c r="D15" s="1391"/>
      <c r="E15" s="1391"/>
      <c r="F15" s="1391"/>
      <c r="G15" s="1391"/>
      <c r="H15" s="532" t="s">
        <v>629</v>
      </c>
    </row>
    <row r="16" spans="1:8" ht="24" customHeight="1">
      <c r="A16" s="541">
        <v>5</v>
      </c>
      <c r="B16" s="533" t="s">
        <v>193</v>
      </c>
      <c r="C16" s="1395" t="s">
        <v>194</v>
      </c>
      <c r="D16" s="1391"/>
      <c r="E16" s="1391"/>
      <c r="F16" s="1391"/>
      <c r="G16" s="1391"/>
      <c r="H16" s="534" t="s">
        <v>658</v>
      </c>
    </row>
    <row r="17" spans="1:8" ht="24" customHeight="1">
      <c r="A17" s="541">
        <v>6</v>
      </c>
      <c r="B17" s="531" t="s">
        <v>34</v>
      </c>
      <c r="C17" s="1395" t="s">
        <v>659</v>
      </c>
      <c r="D17" s="1391"/>
      <c r="E17" s="1391"/>
      <c r="F17" s="1391"/>
      <c r="G17" s="1391"/>
      <c r="H17" s="532" t="s">
        <v>630</v>
      </c>
    </row>
    <row r="18" spans="1:8" ht="51.75" customHeight="1">
      <c r="A18" s="541">
        <v>7</v>
      </c>
      <c r="B18" s="531" t="s">
        <v>35</v>
      </c>
      <c r="C18" s="1396" t="s">
        <v>664</v>
      </c>
      <c r="D18" s="1397"/>
      <c r="E18" s="1397"/>
      <c r="F18" s="1397"/>
      <c r="G18" s="1397"/>
      <c r="H18" s="532" t="s">
        <v>631</v>
      </c>
    </row>
    <row r="19" spans="1:8" ht="21" customHeight="1">
      <c r="A19" s="1408">
        <v>8</v>
      </c>
      <c r="B19" s="1411" t="s">
        <v>36</v>
      </c>
      <c r="C19" s="1414" t="s">
        <v>195</v>
      </c>
      <c r="D19" s="1414"/>
      <c r="E19" s="1414"/>
      <c r="F19" s="1414"/>
      <c r="G19" s="1414"/>
      <c r="H19" s="532" t="s">
        <v>632</v>
      </c>
    </row>
    <row r="20" spans="1:8" ht="24.75" customHeight="1">
      <c r="A20" s="1409"/>
      <c r="B20" s="1412"/>
      <c r="C20" s="1414" t="s">
        <v>653</v>
      </c>
      <c r="D20" s="1414"/>
      <c r="E20" s="1414"/>
      <c r="F20" s="1414"/>
      <c r="G20" s="1414"/>
      <c r="H20" s="532" t="s">
        <v>654</v>
      </c>
    </row>
    <row r="21" spans="1:8" ht="30.75" customHeight="1">
      <c r="A21" s="1410"/>
      <c r="B21" s="1413"/>
      <c r="C21" s="1414" t="s">
        <v>655</v>
      </c>
      <c r="D21" s="1414"/>
      <c r="E21" s="1414"/>
      <c r="F21" s="1414"/>
      <c r="G21" s="1414"/>
      <c r="H21" s="532" t="s">
        <v>656</v>
      </c>
    </row>
    <row r="22" spans="1:8" ht="47.25" customHeight="1">
      <c r="A22" s="541">
        <v>9</v>
      </c>
      <c r="B22" s="531" t="s">
        <v>131</v>
      </c>
      <c r="C22" s="1398" t="s">
        <v>196</v>
      </c>
      <c r="D22" s="1398"/>
      <c r="E22" s="1398"/>
      <c r="F22" s="1398"/>
      <c r="G22" s="1398"/>
      <c r="H22" s="532" t="s">
        <v>660</v>
      </c>
    </row>
    <row r="23" spans="1:8" ht="76.5" customHeight="1">
      <c r="A23" s="542">
        <v>10</v>
      </c>
      <c r="B23" s="535" t="s">
        <v>197</v>
      </c>
      <c r="C23" s="1399" t="s">
        <v>198</v>
      </c>
      <c r="D23" s="1400"/>
      <c r="E23" s="1400"/>
      <c r="F23" s="1400"/>
      <c r="G23" s="1401"/>
      <c r="H23" s="536" t="s">
        <v>661</v>
      </c>
    </row>
    <row r="24" spans="1:8" ht="57.75" customHeight="1">
      <c r="A24" s="543">
        <v>11</v>
      </c>
      <c r="B24" s="537" t="s">
        <v>633</v>
      </c>
      <c r="C24" s="1402" t="s">
        <v>563</v>
      </c>
      <c r="D24" s="1403"/>
      <c r="E24" s="1403"/>
      <c r="F24" s="1403"/>
      <c r="G24" s="1404"/>
      <c r="H24" s="534" t="s">
        <v>564</v>
      </c>
    </row>
    <row r="25" spans="1:8" ht="40.5" customHeight="1">
      <c r="A25" s="543">
        <v>12</v>
      </c>
      <c r="B25" s="537" t="s">
        <v>565</v>
      </c>
      <c r="C25" s="1402" t="s">
        <v>566</v>
      </c>
      <c r="D25" s="1403"/>
      <c r="E25" s="1403"/>
      <c r="F25" s="1403"/>
      <c r="G25" s="1404"/>
      <c r="H25" s="534" t="s">
        <v>662</v>
      </c>
    </row>
    <row r="26" spans="1:8" ht="40.5" customHeight="1">
      <c r="A26" s="543">
        <v>13</v>
      </c>
      <c r="B26" s="537" t="s">
        <v>419</v>
      </c>
      <c r="C26" s="1405" t="s">
        <v>567</v>
      </c>
      <c r="D26" s="1406"/>
      <c r="E26" s="1406"/>
      <c r="F26" s="1406"/>
      <c r="G26" s="1407"/>
      <c r="H26" s="534" t="s">
        <v>634</v>
      </c>
    </row>
    <row r="27" spans="1:8" ht="24" customHeight="1">
      <c r="A27" s="543">
        <v>14</v>
      </c>
      <c r="B27" s="533" t="s">
        <v>97</v>
      </c>
      <c r="C27" s="1392" t="s">
        <v>105</v>
      </c>
      <c r="D27" s="1393"/>
      <c r="E27" s="1393"/>
      <c r="F27" s="1393"/>
      <c r="G27" s="1394"/>
      <c r="H27" s="538" t="s">
        <v>571</v>
      </c>
    </row>
    <row r="28" spans="1:8" ht="33.75" customHeight="1">
      <c r="A28" s="543">
        <v>15</v>
      </c>
      <c r="B28" s="531" t="s">
        <v>132</v>
      </c>
      <c r="C28" s="1391" t="s">
        <v>199</v>
      </c>
      <c r="D28" s="1391"/>
      <c r="E28" s="1391"/>
      <c r="F28" s="1391"/>
      <c r="G28" s="1391"/>
      <c r="H28" s="538" t="s">
        <v>571</v>
      </c>
    </row>
    <row r="29" spans="1:8" ht="24" customHeight="1">
      <c r="A29" s="543">
        <v>16</v>
      </c>
      <c r="B29" s="531" t="s">
        <v>37</v>
      </c>
      <c r="C29" s="1391" t="s">
        <v>104</v>
      </c>
      <c r="D29" s="1391"/>
      <c r="E29" s="1391"/>
      <c r="F29" s="1391"/>
      <c r="G29" s="1391"/>
      <c r="H29" s="538" t="s">
        <v>663</v>
      </c>
    </row>
    <row r="30" spans="1:8" ht="24" customHeight="1">
      <c r="A30" s="543">
        <v>17</v>
      </c>
      <c r="B30" s="531" t="s">
        <v>96</v>
      </c>
      <c r="C30" s="1392" t="s">
        <v>96</v>
      </c>
      <c r="D30" s="1393"/>
      <c r="E30" s="1393"/>
      <c r="F30" s="1393"/>
      <c r="G30" s="1394"/>
      <c r="H30" s="532" t="s">
        <v>572</v>
      </c>
    </row>
    <row r="31" spans="1:8" ht="14.25">
      <c r="A31" s="4"/>
      <c r="B31" s="539"/>
      <c r="C31" s="539"/>
      <c r="D31" s="539"/>
      <c r="E31" s="539"/>
      <c r="F31" s="539"/>
      <c r="G31" s="539"/>
      <c r="H31" s="540"/>
    </row>
    <row r="32" spans="1:8" ht="14.25">
      <c r="A32" s="4"/>
      <c r="B32" s="539"/>
      <c r="C32" s="539"/>
      <c r="D32" s="539"/>
      <c r="E32" s="539"/>
      <c r="F32" s="539"/>
      <c r="G32" s="539"/>
      <c r="H32" s="540" t="s">
        <v>665</v>
      </c>
    </row>
  </sheetData>
  <mergeCells count="33">
    <mergeCell ref="C13:G13"/>
    <mergeCell ref="C14:G14"/>
    <mergeCell ref="A1:H1"/>
    <mergeCell ref="A4:B4"/>
    <mergeCell ref="C4:G4"/>
    <mergeCell ref="B5:B12"/>
    <mergeCell ref="C5:G5"/>
    <mergeCell ref="D6:G6"/>
    <mergeCell ref="D7:G7"/>
    <mergeCell ref="D8:G8"/>
    <mergeCell ref="D9:G9"/>
    <mergeCell ref="C10:G10"/>
    <mergeCell ref="A5:A12"/>
    <mergeCell ref="D11:G11"/>
    <mergeCell ref="D12:G12"/>
    <mergeCell ref="A19:A21"/>
    <mergeCell ref="B19:B21"/>
    <mergeCell ref="C19:G19"/>
    <mergeCell ref="C20:G20"/>
    <mergeCell ref="C21:G21"/>
    <mergeCell ref="C28:G28"/>
    <mergeCell ref="C29:G29"/>
    <mergeCell ref="C30:G30"/>
    <mergeCell ref="C15:G15"/>
    <mergeCell ref="C27:G27"/>
    <mergeCell ref="C17:G17"/>
    <mergeCell ref="C18:G18"/>
    <mergeCell ref="C22:G22"/>
    <mergeCell ref="C23:G23"/>
    <mergeCell ref="C24:G24"/>
    <mergeCell ref="C25:G25"/>
    <mergeCell ref="C26:G26"/>
    <mergeCell ref="C16:G16"/>
  </mergeCells>
  <phoneticPr fontId="1"/>
  <pageMargins left="0.31496062992125984" right="0.31496062992125984" top="0.55118110236220474"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8D940-8FD1-417E-A226-189234900CB4}">
  <dimension ref="A1:W14"/>
  <sheetViews>
    <sheetView view="pageBreakPreview" zoomScale="115" zoomScaleNormal="100" zoomScaleSheetLayoutView="115" workbookViewId="0">
      <selection activeCell="C13" sqref="C13"/>
    </sheetView>
  </sheetViews>
  <sheetFormatPr defaultRowHeight="13.5"/>
  <cols>
    <col min="1" max="1" width="6.5" bestFit="1" customWidth="1"/>
    <col min="2" max="2" width="27.25" bestFit="1" customWidth="1"/>
    <col min="3" max="3" width="45.5" customWidth="1"/>
    <col min="5" max="5" width="9" customWidth="1"/>
  </cols>
  <sheetData>
    <row r="1" spans="1:23" ht="20.100000000000001" customHeight="1" thickBot="1">
      <c r="A1" s="597"/>
      <c r="B1" s="597" t="s">
        <v>587</v>
      </c>
      <c r="C1" s="597" t="s">
        <v>417</v>
      </c>
      <c r="D1" t="s">
        <v>588</v>
      </c>
    </row>
    <row r="2" spans="1:23" ht="20.100000000000001" customHeight="1" thickTop="1">
      <c r="A2" s="646" t="s">
        <v>764</v>
      </c>
      <c r="B2" s="586" t="s">
        <v>765</v>
      </c>
      <c r="C2" s="587" t="str">
        <f>IF(D2=0, "該当していません", IF('様式１（放課後児童名簿・利用料割引者名簿）'!P4&gt;0, "OK", "ひとり親割引額を入力してください"))</f>
        <v>OK</v>
      </c>
      <c r="D2">
        <f>COUNTIF('様式１（放課後児童名簿・利用料割引者名簿）'!K8:K72, "○")</f>
        <v>3</v>
      </c>
    </row>
    <row r="3" spans="1:23" ht="20.100000000000001" customHeight="1" thickBot="1">
      <c r="A3" s="647"/>
      <c r="B3" s="588" t="s">
        <v>766</v>
      </c>
      <c r="C3" s="589" t="str">
        <f>IF(D3=0, "該当していません", IF('様式１（放課後児童名簿・利用料割引者名簿）'!P5&gt;0, "OK", "多子世帯割引額を入力してください"))</f>
        <v>OK</v>
      </c>
      <c r="D3">
        <f>COUNTIF('様式１（放課後児童名簿・利用料割引者名簿）'!L8:L72, "○")</f>
        <v>3</v>
      </c>
    </row>
    <row r="4" spans="1:23" ht="20.100000000000001" customHeight="1" thickBot="1">
      <c r="A4" s="590" t="s">
        <v>767</v>
      </c>
      <c r="B4" s="591" t="s">
        <v>768</v>
      </c>
      <c r="C4" s="592" t="str">
        <f>IF(COUNTIF('様式２（クラブ児童数等報告書）'!Q5:Q11,"&lt;&gt;OK")&gt;0, "クラブ児童数等報告書のチェック欄をご確認ください", "OK")</f>
        <v>OK</v>
      </c>
    </row>
    <row r="5" spans="1:23" ht="20.100000000000001" customHeight="1">
      <c r="A5" s="648" t="s">
        <v>769</v>
      </c>
      <c r="B5" s="593" t="s">
        <v>770</v>
      </c>
      <c r="C5" s="598" t="str">
        <f>IF(ISBLANK(様式３職員名簿および各種加算等一覧!Y2), "処遇改善の種類が選択されていません", "OK")</f>
        <v>OK</v>
      </c>
    </row>
    <row r="6" spans="1:23" ht="20.100000000000001" customHeight="1">
      <c r="A6" s="649"/>
      <c r="B6" s="594" t="s">
        <v>771</v>
      </c>
      <c r="C6" s="599" t="str">
        <f>IF(COUNTIF(D6:W6,"*NG*")&gt;0,"職種～従事年数に記入漏れがあります","OK")</f>
        <v>OK</v>
      </c>
      <c r="D6" t="str">
        <f>IF(AND(様式３職員名簿および各種加算等一覧!C7&lt;&gt;"", OR(様式３職員名簿および各種加算等一覧!I7="",  様式３職員名簿および各種加算等一覧!N7="", 様式３職員名簿および各種加算等一覧!P7="",様式３職員名簿および各種加算等一覧!Q7="")), "職員１NG", "職員１OK")</f>
        <v>職員１OK</v>
      </c>
      <c r="E6" s="460" t="str">
        <f>IF(AND(様式３職員名簿および各種加算等一覧!C8&lt;&gt;"", OR(様式３職員名簿および各種加算等一覧!I8="", 様式３職員名簿および各種加算等一覧!N8="", 様式３職員名簿および各種加算等一覧!P8="",様式３職員名簿および各種加算等一覧!Q8="")), "職員2NG", "職員2OK")</f>
        <v>職員2OK</v>
      </c>
      <c r="F6" t="str">
        <f>IF(AND(様式３職員名簿および各種加算等一覧!C9&lt;&gt;"", OR(様式３職員名簿および各種加算等一覧!I9="",, 様式３職員名簿および各種加算等一覧!N9="", 様式３職員名簿および各種加算等一覧!P9="",様式３職員名簿および各種加算等一覧!Q9="")), "職員３NG", "職員３OK")</f>
        <v>職員３OK</v>
      </c>
      <c r="G6" t="str">
        <f>IF(AND(様式３職員名簿および各種加算等一覧!C10&lt;&gt;"", OR(様式３職員名簿および各種加算等一覧!I10="",, 様式３職員名簿および各種加算等一覧!N10="", 様式３職員名簿および各種加算等一覧!P10="",様式３職員名簿および各種加算等一覧!Q10="")), "職員４NG", "職員４OK")</f>
        <v>職員４OK</v>
      </c>
      <c r="H6" t="str">
        <f>IF(AND(様式３職員名簿および各種加算等一覧!C11&lt;&gt;"", OR(様式３職員名簿および各種加算等一覧!I11="", 様式３職員名簿および各種加算等一覧!N11="", 様式３職員名簿および各種加算等一覧!P11="",様式３職員名簿および各種加算等一覧!Q11="")), "職員５NG", "職員５OK")</f>
        <v>職員５OK</v>
      </c>
      <c r="I6" t="str">
        <f>IF(AND(様式３職員名簿および各種加算等一覧!C12&lt;&gt;"", OR(様式３職員名簿および各種加算等一覧!I12="", 様式３職員名簿および各種加算等一覧!N12="", 様式３職員名簿および各種加算等一覧!P12="",様式３職員名簿および各種加算等一覧!Q12="")), "職員６NG", "職員６OK")</f>
        <v>職員６OK</v>
      </c>
      <c r="J6" t="str">
        <f>IF(AND(様式３職員名簿および各種加算等一覧!C13&lt;&gt;"", OR(様式３職員名簿および各種加算等一覧!I13="", 様式３職員名簿および各種加算等一覧!N13="", 様式３職員名簿および各種加算等一覧!P13="",様式３職員名簿および各種加算等一覧!Q13="")), "職員７NG", "職員７OK")</f>
        <v>職員７OK</v>
      </c>
      <c r="K6" t="str">
        <f>IF(AND(様式３職員名簿および各種加算等一覧!C14&lt;&gt;"", OR(様式３職員名簿および各種加算等一覧!I14="", 様式３職員名簿および各種加算等一覧!N14="", 様式３職員名簿および各種加算等一覧!P14="",様式３職員名簿および各種加算等一覧!Q14="")), "職員８NG", "職員８OK")</f>
        <v>職員８OK</v>
      </c>
      <c r="L6" t="str">
        <f>IF(AND(様式３職員名簿および各種加算等一覧!C15&lt;&gt;"", OR(様式３職員名簿および各種加算等一覧!I15="", 様式３職員名簿および各種加算等一覧!N15="", 様式３職員名簿および各種加算等一覧!P15="",様式３職員名簿および各種加算等一覧!Q15="")), "職員９NG", "職員９OK")</f>
        <v>職員９OK</v>
      </c>
      <c r="M6" t="str">
        <f>IF(AND(様式３職員名簿および各種加算等一覧!C16&lt;&gt;"", OR(様式３職員名簿および各種加算等一覧!I16="", 様式３職員名簿および各種加算等一覧!N16="", 様式３職員名簿および各種加算等一覧!P16="",様式３職員名簿および各種加算等一覧!Q16="")), "職員１０NG", "職員１０OK")</f>
        <v>職員１０OK</v>
      </c>
      <c r="N6" t="str">
        <f>IF(AND(様式３職員名簿および各種加算等一覧!C17&lt;&gt;"", OR(様式３職員名簿および各種加算等一覧!I17="", 様式３職員名簿および各種加算等一覧!N17="", 様式３職員名簿および各種加算等一覧!P17="",様式３職員名簿および各種加算等一覧!Q17="")), "職員１１NG", "職員１１OK")</f>
        <v>職員１１OK</v>
      </c>
      <c r="O6" t="str">
        <f>IF(AND(様式３職員名簿および各種加算等一覧!C18&lt;&gt;"", OR(様式３職員名簿および各種加算等一覧!I18="", 様式３職員名簿および各種加算等一覧!N18="", 様式３職員名簿および各種加算等一覧!P18="",様式３職員名簿および各種加算等一覧!Q18="")), "職員１２NG", "職員１２OK")</f>
        <v>職員１２OK</v>
      </c>
      <c r="P6" t="str">
        <f>IF(AND(様式３職員名簿および各種加算等一覧!C19&lt;&gt;"", OR(様式３職員名簿および各種加算等一覧!I19="", 様式３職員名簿および各種加算等一覧!N19="", 様式３職員名簿および各種加算等一覧!P19="",様式３職員名簿および各種加算等一覧!Q19="")), "職員１３NG", "職員１３OK")</f>
        <v>職員１３OK</v>
      </c>
      <c r="Q6" t="str">
        <f>IF(AND(様式３職員名簿および各種加算等一覧!C20&lt;&gt;"", OR(様式３職員名簿および各種加算等一覧!I20="", 様式３職員名簿および各種加算等一覧!N20="", 様式３職員名簿および各種加算等一覧!P20="",様式３職員名簿および各種加算等一覧!Q20="")), "職員１４NG", "職員１４OK")</f>
        <v>職員１４OK</v>
      </c>
      <c r="R6" t="str">
        <f>IF(AND(様式３職員名簿および各種加算等一覧!C21&lt;&gt;"", OR(様式３職員名簿および各種加算等一覧!I21="", 様式３職員名簿および各種加算等一覧!N21="", 様式３職員名簿および各種加算等一覧!P21="",様式３職員名簿および各種加算等一覧!Q21="")), "職員１５NG", "職員１５OK")</f>
        <v>職員１５OK</v>
      </c>
      <c r="S6" t="str">
        <f>IF(AND(様式３職員名簿および各種加算等一覧!C22&lt;&gt;"", OR(様式３職員名簿および各種加算等一覧!I22="", 様式３職員名簿および各種加算等一覧!N22="", 様式３職員名簿および各種加算等一覧!P22="",様式３職員名簿および各種加算等一覧!Q22="")), "職員１６NG", "職員１６OK")</f>
        <v>職員１６OK</v>
      </c>
      <c r="T6" t="str">
        <f>IF(AND(様式３職員名簿および各種加算等一覧!C23&lt;&gt;"", OR(様式３職員名簿および各種加算等一覧!I23="", 様式３職員名簿および各種加算等一覧!N23="", 様式３職員名簿および各種加算等一覧!P23="",様式３職員名簿および各種加算等一覧!Q23="")), "職員１７NG", "職員１７OK")</f>
        <v>職員１７OK</v>
      </c>
      <c r="U6" s="460" t="str">
        <f>IF(AND(様式３職員名簿および各種加算等一覧!C24&lt;&gt;"", OR(様式３職員名簿および各種加算等一覧!I24="", 様式３職員名簿および各種加算等一覧!N24="", 様式３職員名簿および各種加算等一覧!P24="",様式３職員名簿および各種加算等一覧!Q24="")), "職員18NG", "職員18OK")</f>
        <v>職員18OK</v>
      </c>
      <c r="V6" t="str">
        <f>IF(AND(様式３職員名簿および各種加算等一覧!C25&lt;&gt;"", OR(様式３職員名簿および各種加算等一覧!I25="", 様式３職員名簿および各種加算等一覧!N25="", 様式３職員名簿および各種加算等一覧!P25="",様式３職員名簿および各種加算等一覧!Q25="")), "職員１９NG", "職員１９OK")</f>
        <v>職員１９OK</v>
      </c>
      <c r="W6" s="460" t="str">
        <f>IF(AND(様式３職員名簿および各種加算等一覧!C26&lt;&gt;"", OR(様式３職員名簿および各種加算等一覧!I26="", 様式３職員名簿および各種加算等一覧!N26="", 様式３職員名簿および各種加算等一覧!P26="",様式３職員名簿および各種加算等一覧!Q26="")), "職員２０NG", "職員２０OK")</f>
        <v>職員２０OK</v>
      </c>
    </row>
    <row r="7" spans="1:23" ht="20.100000000000001" customHeight="1">
      <c r="A7" s="649"/>
      <c r="B7" s="595" t="s">
        <v>589</v>
      </c>
      <c r="C7" s="599" t="str">
        <f>IF(COUNTIF(D7:W7,"*NG*")&gt;0,"キャリア②・③で研修受講欄に○がない職員がいます","OK")</f>
        <v>OK</v>
      </c>
      <c r="D7" t="str">
        <f>IF(OR(様式３職員名簿および各種加算等一覧!R7="②", R7="③"), IF(様式３職員名簿および各種加算等一覧!T7&lt;&gt;"〇", "職員１NG", "職員１OK"), "職員１OK")</f>
        <v>職員１OK</v>
      </c>
      <c r="E7" t="str">
        <f>IF(OR(様式３職員名簿および各種加算等一覧!R8="②", 様式３職員名簿および各種加算等一覧!R8="③"), IF(様式３職員名簿および各種加算等一覧!T8&lt;&gt;"〇", "職員２NG", "職員２OK"), "職員２OK")</f>
        <v>職員２OK</v>
      </c>
      <c r="F7" t="str">
        <f>IF(OR(様式３職員名簿および各種加算等一覧!R9="②", 様式３職員名簿および各種加算等一覧!R9="③"), IF(様式３職員名簿および各種加算等一覧!T9&lt;&gt;"〇", "職員３NG", "職員３OK"), "職員３OK")</f>
        <v>職員３OK</v>
      </c>
      <c r="G7" t="str">
        <f>IF(OR(様式３職員名簿および各種加算等一覧!R10="②", 様式３職員名簿および各種加算等一覧!R10="③"), IF(様式３職員名簿および各種加算等一覧!T10&lt;&gt;"〇", "職員４NG", "職員４OK"), "職員４OK")</f>
        <v>職員４OK</v>
      </c>
      <c r="H7" t="str">
        <f>IF(OR(様式３職員名簿および各種加算等一覧!R11="②", 様式３職員名簿および各種加算等一覧!R11="③"), IF(様式３職員名簿および各種加算等一覧!T11&lt;&gt;"〇", "職員５NG", "職員５OK"), "職員５OK")</f>
        <v>職員５OK</v>
      </c>
      <c r="I7" t="str">
        <f>IF(OR(様式３職員名簿および各種加算等一覧!R12="②", 様式３職員名簿および各種加算等一覧!R12="③"), IF(様式３職員名簿および各種加算等一覧!T12&lt;&gt;"〇", "職員６NG", "職員６OK"), "職員６OK")</f>
        <v>職員６OK</v>
      </c>
      <c r="J7" t="str">
        <f>IF(OR(様式３職員名簿および各種加算等一覧!R13="②", 様式３職員名簿および各種加算等一覧!R13="③"), IF(様式３職員名簿および各種加算等一覧!T13&lt;&gt;"〇", "職員７NG", "職員７OK"), "職員７OK")</f>
        <v>職員７OK</v>
      </c>
      <c r="K7" t="str">
        <f>IF(OR(様式３職員名簿および各種加算等一覧!R14="②", 様式３職員名簿および各種加算等一覧!R14="③"), IF(様式３職員名簿および各種加算等一覧!T14&lt;&gt;"〇", "職員８NG", "職員８OK"), "職員８OK")</f>
        <v>職員８OK</v>
      </c>
      <c r="L7" t="str">
        <f>IF(OR(様式３職員名簿および各種加算等一覧!R15="②", 様式３職員名簿および各種加算等一覧!R15="③"), IF(様式３職員名簿および各種加算等一覧!T15&lt;&gt;"〇", "職員９NG", "職員９OK"), "職員９OK")</f>
        <v>職員９OK</v>
      </c>
      <c r="M7" t="str">
        <f>IF(OR(様式３職員名簿および各種加算等一覧!R16="②", 様式３職員名簿および各種加算等一覧!R16="③"), IF(様式３職員名簿および各種加算等一覧!T16&lt;&gt;"〇", "職員10NG", "職員10OK"), "職員10OK")</f>
        <v>職員10OK</v>
      </c>
      <c r="N7" t="str">
        <f>IF(OR(様式３職員名簿および各種加算等一覧!R17="②", 様式３職員名簿および各種加算等一覧!R17="③"), IF(様式３職員名簿および各種加算等一覧!T17&lt;&gt;"〇", "職員11NG", "職員11OK"), "職員11OK")</f>
        <v>職員11OK</v>
      </c>
      <c r="O7" t="str">
        <f>IF(OR(様式３職員名簿および各種加算等一覧!R18="②", 様式３職員名簿および各種加算等一覧!R18="③"), IF(様式３職員名簿および各種加算等一覧!T18&lt;&gt;"〇", "職員12NG", "職員12OK"), "職員12OK")</f>
        <v>職員12OK</v>
      </c>
      <c r="P7" t="str">
        <f>IF(OR(様式３職員名簿および各種加算等一覧!R19="②", 様式３職員名簿および各種加算等一覧!R19="③"), IF(様式３職員名簿および各種加算等一覧!T19&lt;&gt;"〇", "職員13NG", "職員13OK"), "職員13OK")</f>
        <v>職員13OK</v>
      </c>
      <c r="Q7" t="str">
        <f>IF(OR(様式３職員名簿および各種加算等一覧!R20="②", 様式３職員名簿および各種加算等一覧!R20="③"), IF(様式３職員名簿および各種加算等一覧!T20&lt;&gt;"〇", "職員14NG", "職員14OK"), "職員14OK")</f>
        <v>職員14OK</v>
      </c>
      <c r="R7" t="str">
        <f>IF(OR(様式３職員名簿および各種加算等一覧!R21="②", 様式３職員名簿および各種加算等一覧!R21="③"), IF(様式３職員名簿および各種加算等一覧!T21&lt;&gt;"〇", "職員15NG", "職員15OK"), "職員15OK")</f>
        <v>職員15OK</v>
      </c>
      <c r="S7" t="str">
        <f>IF(OR(様式３職員名簿および各種加算等一覧!R22="②", 様式３職員名簿および各種加算等一覧!R22="③"), IF(様式３職員名簿および各種加算等一覧!T22&lt;&gt;"〇", "職員16NG", "職員16OK"), "職員16OK")</f>
        <v>職員16OK</v>
      </c>
      <c r="T7" t="str">
        <f>IF(OR(様式３職員名簿および各種加算等一覧!R23="②", 様式３職員名簿および各種加算等一覧!R23="③"), IF(様式３職員名簿および各種加算等一覧!T23&lt;&gt;"〇", "職員17NG", "職員17OK"), "職員17OK")</f>
        <v>職員17OK</v>
      </c>
      <c r="U7" t="str">
        <f>IF(OR(様式３職員名簿および各種加算等一覧!R24="②", 様式３職員名簿および各種加算等一覧!R24="③"), IF(様式３職員名簿および各種加算等一覧!T24&lt;&gt;"〇", "職員18NG", "職員18OK"), "職員18OK")</f>
        <v>職員18OK</v>
      </c>
      <c r="V7" t="str">
        <f>IF(OR(様式３職員名簿および各種加算等一覧!R25="②", 様式３職員名簿および各種加算等一覧!R25="③"), IF(様式３職員名簿および各種加算等一覧!T25&lt;&gt;"〇", "職員19NG", "職員19OK"), "職員19OK")</f>
        <v>職員19OK</v>
      </c>
      <c r="W7" s="460" t="str">
        <f>IF(OR(様式３職員名簿および各種加算等一覧!R26="②", 様式３職員名簿および各種加算等一覧!R26="③"), IF(様式３職員名簿および各種加算等一覧!T26&lt;&gt;"〇", "職員20NG", "職員20OK"), "職員20OK")</f>
        <v>職員20OK</v>
      </c>
    </row>
    <row r="8" spans="1:23" ht="20.100000000000001" customHeight="1">
      <c r="A8" s="649"/>
      <c r="B8" s="594" t="s">
        <v>590</v>
      </c>
      <c r="C8" s="599" t="str">
        <f>IF(D8 &gt;= 2, "キャリアアップ区分③が複数名います", "OK")</f>
        <v>OK</v>
      </c>
      <c r="D8">
        <f>COUNTIF(様式３職員名簿および各種加算等一覧!R7:R26, "③")</f>
        <v>1</v>
      </c>
    </row>
    <row r="9" spans="1:23" ht="20.100000000000001" customHeight="1">
      <c r="A9" s="649"/>
      <c r="B9" s="594" t="s">
        <v>772</v>
      </c>
      <c r="C9" s="599" t="str">
        <f>IF(様式３職員名簿および各種加算等一覧!P27 = "要チェック", "実施した業務がすべて選択されていません", "OK")</f>
        <v>OK</v>
      </c>
    </row>
    <row r="10" spans="1:23" ht="20.100000000000001" customHeight="1">
      <c r="A10" s="649"/>
      <c r="B10" s="600" t="s">
        <v>773</v>
      </c>
      <c r="C10" s="601" t="str">
        <f>IF(D10 &gt;= 1, "支給した額のチェック欄をご確認ください", "OK")</f>
        <v>OK</v>
      </c>
      <c r="D10">
        <f>COUNTIF(様式３職員名簿および各種加算等一覧!W33:Z33, "&lt;&gt;OK")</f>
        <v>0</v>
      </c>
    </row>
    <row r="11" spans="1:23" ht="20.100000000000001" customHeight="1">
      <c r="A11" s="602"/>
      <c r="B11" s="603" t="s">
        <v>774</v>
      </c>
      <c r="C11" s="604" t="str">
        <f>IF(様式３職員名簿および各種加算等一覧!Q32="〇", "OK", "「誤りがないことを確認した」に〇がありません")</f>
        <v>OK</v>
      </c>
    </row>
    <row r="12" spans="1:23" ht="20.100000000000001" customHeight="1" thickBot="1">
      <c r="A12" s="602"/>
      <c r="B12" s="596" t="s">
        <v>775</v>
      </c>
      <c r="C12" s="605" t="str">
        <f>IF(COUNTBLANK(様式３職員名簿および各種加算等一覧!T41:T51) = 0, "OK", "事業の従事内容に空欄があります")</f>
        <v>事業の従事内容に空欄があります</v>
      </c>
    </row>
    <row r="13" spans="1:23" ht="20.100000000000001" customHeight="1" thickBot="1">
      <c r="A13" s="606" t="s">
        <v>776</v>
      </c>
      <c r="B13" s="607" t="s">
        <v>777</v>
      </c>
      <c r="C13" s="608" t="str">
        <f>IF(OR('様式５（請求書）'!D21="", '様式５（請求書）'!L21="", '様式５（請求書）'!D24="", '様式５（請求書）'!L24=""), "請求書の申請者に記入されていない欄があります", "OK")</f>
        <v>OK</v>
      </c>
    </row>
    <row r="14" spans="1:23" ht="20.100000000000001" customHeight="1" thickBot="1">
      <c r="A14" s="609" t="s">
        <v>778</v>
      </c>
      <c r="B14" s="607" t="s">
        <v>779</v>
      </c>
      <c r="C14" s="608" t="str">
        <f>IF(COUNTBLANK('様式６（事業計画変更申請書）'!U19:U35) + COUNTBLANK('様式６（事業計画変更申請書）'!U37) = 0, "OK", "交付済額が入力されていない欄があります")</f>
        <v>OK</v>
      </c>
    </row>
  </sheetData>
  <mergeCells count="2">
    <mergeCell ref="A2:A3"/>
    <mergeCell ref="A5:A10"/>
  </mergeCells>
  <phoneticPr fontId="1"/>
  <conditionalFormatting sqref="D6:W6">
    <cfRule type="containsText" dxfId="1368" priority="4" operator="containsText" text="NG">
      <formula>NOT(ISERROR(SEARCH("NG",D6)))</formula>
    </cfRule>
  </conditionalFormatting>
  <conditionalFormatting sqref="D7:W7">
    <cfRule type="containsText" dxfId="1367" priority="3" operator="containsText" text="NG">
      <formula>NOT(ISERROR(SEARCH("NG",D7)))</formula>
    </cfRule>
  </conditionalFormatting>
  <conditionalFormatting sqref="C2:C10">
    <cfRule type="notContainsText" dxfId="1366" priority="2" operator="notContains" text="OK">
      <formula>ISERROR(SEARCH("OK",C2))</formula>
    </cfRule>
  </conditionalFormatting>
  <conditionalFormatting sqref="C11:C14">
    <cfRule type="notContainsText" dxfId="1365" priority="1" operator="notContains" text="OK">
      <formula>ISERROR(SEARCH("OK",C11))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3FEF0-4BE8-4C4D-BE33-92CAA0E3B23C}">
  <sheetPr>
    <pageSetUpPr fitToPage="1"/>
  </sheetPr>
  <dimension ref="A1:BJ165"/>
  <sheetViews>
    <sheetView view="pageBreakPreview" zoomScale="85" zoomScaleNormal="100" zoomScaleSheetLayoutView="85" workbookViewId="0">
      <selection activeCell="P8" sqref="P8:R8"/>
    </sheetView>
  </sheetViews>
  <sheetFormatPr defaultColWidth="9" defaultRowHeight="14.25"/>
  <cols>
    <col min="1" max="1" width="3.875" style="247" customWidth="1"/>
    <col min="2" max="2" width="8.125" style="247" customWidth="1"/>
    <col min="3" max="4" width="5.875" style="247" customWidth="1"/>
    <col min="5" max="5" width="7" style="247" customWidth="1"/>
    <col min="6" max="6" width="5.875" style="247" bestFit="1" customWidth="1"/>
    <col min="7" max="10" width="7.125" style="247" customWidth="1"/>
    <col min="11" max="15" width="5.875" style="247" customWidth="1"/>
    <col min="16" max="18" width="4.875" style="248" customWidth="1"/>
    <col min="19" max="19" width="7" style="248" customWidth="1"/>
    <col min="20" max="21" width="12.375" style="249" customWidth="1"/>
    <col min="22" max="42" width="5.875" style="247" customWidth="1"/>
    <col min="43" max="43" width="4.875" style="247" bestFit="1" customWidth="1"/>
    <col min="44" max="57" width="5.875" style="247" customWidth="1"/>
    <col min="58" max="67" width="5.625" style="247" customWidth="1"/>
    <col min="68" max="16384" width="9" style="247"/>
  </cols>
  <sheetData>
    <row r="1" spans="1:62">
      <c r="A1" s="247" t="s">
        <v>642</v>
      </c>
    </row>
    <row r="2" spans="1:62" ht="18.75">
      <c r="A2" s="657" t="s">
        <v>604</v>
      </c>
      <c r="B2" s="657"/>
      <c r="C2" s="657"/>
      <c r="D2" s="657"/>
      <c r="E2" s="657"/>
      <c r="F2" s="657"/>
      <c r="G2" s="657"/>
      <c r="H2" s="657"/>
      <c r="I2" s="657"/>
      <c r="J2" s="657"/>
      <c r="K2" s="657"/>
      <c r="L2" s="657"/>
      <c r="M2" s="657"/>
      <c r="N2" s="657"/>
      <c r="O2" s="657"/>
      <c r="P2" s="657"/>
      <c r="Q2" s="657"/>
      <c r="R2" s="657"/>
      <c r="S2" s="657"/>
      <c r="T2" s="657"/>
      <c r="U2" s="657"/>
    </row>
    <row r="3" spans="1:62">
      <c r="A3" s="250"/>
      <c r="H3" s="251"/>
      <c r="I3" s="252"/>
      <c r="J3" s="252"/>
      <c r="K3" s="252"/>
      <c r="L3" s="252"/>
      <c r="M3" s="658" t="s">
        <v>134</v>
      </c>
      <c r="N3" s="658"/>
      <c r="O3" s="658"/>
      <c r="P3" s="659" t="str">
        <f>'様式６（事業計画変更申請書）'!J10</f>
        <v>●●法人　●●●●</v>
      </c>
      <c r="Q3" s="659"/>
      <c r="R3" s="659"/>
      <c r="S3" s="659"/>
      <c r="T3" s="659"/>
      <c r="U3" s="659"/>
    </row>
    <row r="4" spans="1:62" ht="18" customHeight="1">
      <c r="M4" s="658" t="s">
        <v>342</v>
      </c>
      <c r="N4" s="658"/>
      <c r="O4" s="658"/>
      <c r="P4" s="660">
        <v>5000</v>
      </c>
      <c r="Q4" s="660"/>
      <c r="R4" s="660"/>
      <c r="S4" s="660"/>
      <c r="T4" s="661" t="s">
        <v>343</v>
      </c>
      <c r="U4" s="661"/>
    </row>
    <row r="5" spans="1:62" ht="18" customHeight="1">
      <c r="M5" s="662" t="s">
        <v>344</v>
      </c>
      <c r="N5" s="662"/>
      <c r="O5" s="662"/>
      <c r="P5" s="660">
        <v>5000</v>
      </c>
      <c r="Q5" s="660"/>
      <c r="R5" s="660"/>
      <c r="S5" s="660"/>
      <c r="T5" s="661" t="s">
        <v>343</v>
      </c>
      <c r="U5" s="661"/>
    </row>
    <row r="6" spans="1:62" ht="18" customHeight="1">
      <c r="A6" s="247" t="s">
        <v>111</v>
      </c>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row>
    <row r="7" spans="1:62" s="265" customFormat="1" ht="35.25" customHeight="1">
      <c r="A7" s="254" t="s">
        <v>4</v>
      </c>
      <c r="B7" s="663" t="s">
        <v>5</v>
      </c>
      <c r="C7" s="664"/>
      <c r="D7" s="665"/>
      <c r="E7" s="255" t="s">
        <v>39</v>
      </c>
      <c r="F7" s="255" t="s">
        <v>6</v>
      </c>
      <c r="G7" s="663" t="s">
        <v>40</v>
      </c>
      <c r="H7" s="664"/>
      <c r="I7" s="664"/>
      <c r="J7" s="665"/>
      <c r="K7" s="256" t="s">
        <v>345</v>
      </c>
      <c r="L7" s="257" t="s">
        <v>346</v>
      </c>
      <c r="M7" s="254" t="s">
        <v>41</v>
      </c>
      <c r="N7" s="258" t="s">
        <v>347</v>
      </c>
      <c r="O7" s="259" t="s">
        <v>348</v>
      </c>
      <c r="P7" s="651" t="s">
        <v>42</v>
      </c>
      <c r="Q7" s="652"/>
      <c r="R7" s="653"/>
      <c r="S7" s="260" t="s">
        <v>349</v>
      </c>
      <c r="T7" s="261" t="s">
        <v>350</v>
      </c>
      <c r="U7" s="261" t="s">
        <v>351</v>
      </c>
      <c r="V7" s="262"/>
      <c r="W7" s="247"/>
      <c r="X7" s="247"/>
      <c r="Y7" s="247"/>
      <c r="Z7" s="247"/>
      <c r="AA7" s="247"/>
      <c r="AB7" s="247"/>
      <c r="AC7" s="247"/>
      <c r="AD7" s="247"/>
      <c r="AE7" s="247"/>
      <c r="AF7" s="247"/>
      <c r="AG7" s="247"/>
      <c r="AH7" s="247"/>
      <c r="AI7" s="247"/>
      <c r="AJ7" s="253"/>
      <c r="AK7" s="253"/>
      <c r="AL7" s="263"/>
      <c r="AM7" s="263"/>
      <c r="AN7" s="263"/>
      <c r="AO7" s="263"/>
      <c r="AP7" s="263"/>
      <c r="AQ7" s="263"/>
      <c r="AR7" s="263"/>
      <c r="AS7" s="263"/>
      <c r="AT7" s="263"/>
      <c r="AU7" s="263"/>
      <c r="AV7" s="263"/>
      <c r="AW7" s="263"/>
      <c r="AX7" s="263"/>
      <c r="AY7" s="263"/>
      <c r="AZ7" s="263"/>
      <c r="BA7" s="263"/>
      <c r="BB7" s="263"/>
      <c r="BC7" s="263"/>
      <c r="BD7" s="263"/>
      <c r="BE7" s="264"/>
      <c r="BF7" s="264"/>
      <c r="BG7" s="264"/>
      <c r="BH7" s="264"/>
      <c r="BI7" s="264"/>
      <c r="BJ7" s="264"/>
    </row>
    <row r="8" spans="1:62" ht="21" customHeight="1">
      <c r="A8" s="266">
        <v>1</v>
      </c>
      <c r="B8" s="654" t="s">
        <v>666</v>
      </c>
      <c r="C8" s="655"/>
      <c r="D8" s="656"/>
      <c r="E8" s="267" t="s">
        <v>667</v>
      </c>
      <c r="F8" s="268">
        <v>1</v>
      </c>
      <c r="G8" s="654" t="s">
        <v>669</v>
      </c>
      <c r="H8" s="655"/>
      <c r="I8" s="655"/>
      <c r="J8" s="656"/>
      <c r="K8" s="269"/>
      <c r="L8" s="269"/>
      <c r="M8" s="269" t="s">
        <v>670</v>
      </c>
      <c r="N8" s="548"/>
      <c r="O8" s="482" t="s">
        <v>174</v>
      </c>
      <c r="P8" s="654" t="s">
        <v>666</v>
      </c>
      <c r="Q8" s="655"/>
      <c r="R8" s="656"/>
      <c r="S8" s="297">
        <v>12</v>
      </c>
      <c r="T8" s="479">
        <f>IF(K8="○",S8*$P$4,0)</f>
        <v>0</v>
      </c>
      <c r="U8" s="480">
        <f>IF(L8="○",S8*$P$5,0)</f>
        <v>0</v>
      </c>
      <c r="V8" s="270"/>
      <c r="AJ8" s="253"/>
      <c r="AK8" s="253"/>
      <c r="AL8" s="271"/>
      <c r="AM8" s="271"/>
      <c r="AN8" s="271"/>
      <c r="AO8" s="271"/>
      <c r="AP8" s="271"/>
      <c r="AQ8" s="271"/>
      <c r="AR8" s="271"/>
      <c r="AS8" s="271"/>
      <c r="AT8" s="271"/>
      <c r="AU8" s="271"/>
      <c r="AV8" s="271"/>
      <c r="AW8" s="271"/>
      <c r="AX8" s="271"/>
      <c r="AY8" s="253"/>
      <c r="AZ8" s="253"/>
      <c r="BA8" s="253"/>
      <c r="BB8" s="253"/>
      <c r="BC8" s="253"/>
      <c r="BD8" s="253" t="str">
        <f>IF(U8=3,1,"")</f>
        <v/>
      </c>
      <c r="BE8" s="253"/>
      <c r="BF8" s="253"/>
      <c r="BG8" s="253"/>
      <c r="BH8" s="253"/>
      <c r="BI8" s="253"/>
      <c r="BJ8" s="253"/>
    </row>
    <row r="9" spans="1:62" ht="21" customHeight="1">
      <c r="A9" s="266">
        <v>2</v>
      </c>
      <c r="B9" s="654" t="s">
        <v>666</v>
      </c>
      <c r="C9" s="655"/>
      <c r="D9" s="656"/>
      <c r="E9" s="267" t="s">
        <v>667</v>
      </c>
      <c r="F9" s="268">
        <v>1</v>
      </c>
      <c r="G9" s="654" t="s">
        <v>669</v>
      </c>
      <c r="H9" s="655"/>
      <c r="I9" s="655"/>
      <c r="J9" s="656"/>
      <c r="K9" s="269" t="s">
        <v>670</v>
      </c>
      <c r="L9" s="269"/>
      <c r="M9" s="269"/>
      <c r="N9" s="548"/>
      <c r="O9" s="547" t="s">
        <v>174</v>
      </c>
      <c r="P9" s="654" t="s">
        <v>666</v>
      </c>
      <c r="Q9" s="655"/>
      <c r="R9" s="656"/>
      <c r="S9" s="297">
        <v>12</v>
      </c>
      <c r="T9" s="479">
        <f t="shared" ref="T9:T71" si="0">IF(K9="○",S9*$P$4,0)</f>
        <v>60000</v>
      </c>
      <c r="U9" s="480">
        <f t="shared" ref="U9:U71" si="1">IF(L9="○",S9*$P$5,0)</f>
        <v>0</v>
      </c>
      <c r="V9" s="270"/>
      <c r="AJ9" s="253"/>
      <c r="AK9" s="253"/>
      <c r="AL9" s="271" t="s">
        <v>43</v>
      </c>
      <c r="AM9" s="271" t="s">
        <v>173</v>
      </c>
      <c r="AN9" s="271" t="s">
        <v>50</v>
      </c>
      <c r="AO9" s="271"/>
      <c r="AP9" s="271" t="s">
        <v>10</v>
      </c>
      <c r="AQ9" s="271" t="s">
        <v>174</v>
      </c>
      <c r="AR9" s="271"/>
      <c r="AS9" s="271"/>
      <c r="AT9" s="271"/>
      <c r="AU9" s="271"/>
      <c r="AV9" s="271"/>
      <c r="AW9" s="271"/>
      <c r="AX9" s="271"/>
      <c r="AY9" s="253"/>
      <c r="AZ9" s="253"/>
      <c r="BA9" s="253"/>
      <c r="BB9" s="253"/>
      <c r="BC9" s="253"/>
      <c r="BD9" s="253"/>
      <c r="BE9" s="253"/>
      <c r="BF9" s="253"/>
      <c r="BG9" s="253"/>
      <c r="BH9" s="253"/>
      <c r="BI9" s="253"/>
      <c r="BJ9" s="253"/>
    </row>
    <row r="10" spans="1:62" ht="21" customHeight="1">
      <c r="A10" s="266">
        <v>3</v>
      </c>
      <c r="B10" s="654" t="s">
        <v>666</v>
      </c>
      <c r="C10" s="655"/>
      <c r="D10" s="656"/>
      <c r="E10" s="267" t="s">
        <v>667</v>
      </c>
      <c r="F10" s="268">
        <v>1</v>
      </c>
      <c r="G10" s="654" t="s">
        <v>669</v>
      </c>
      <c r="H10" s="655"/>
      <c r="I10" s="655"/>
      <c r="J10" s="656"/>
      <c r="K10" s="269"/>
      <c r="L10" s="269" t="s">
        <v>670</v>
      </c>
      <c r="M10" s="269"/>
      <c r="N10" s="548"/>
      <c r="O10" s="547" t="s">
        <v>174</v>
      </c>
      <c r="P10" s="654" t="s">
        <v>666</v>
      </c>
      <c r="Q10" s="655"/>
      <c r="R10" s="656"/>
      <c r="S10" s="297">
        <v>12</v>
      </c>
      <c r="T10" s="479">
        <f t="shared" si="0"/>
        <v>0</v>
      </c>
      <c r="U10" s="480">
        <f t="shared" si="1"/>
        <v>60000</v>
      </c>
      <c r="V10" s="270"/>
      <c r="AJ10" s="253"/>
      <c r="AK10" s="253"/>
      <c r="AL10" s="271" t="s">
        <v>44</v>
      </c>
      <c r="AM10" s="271"/>
      <c r="AN10" s="271" t="s">
        <v>49</v>
      </c>
      <c r="AO10" s="271"/>
      <c r="AP10" s="271" t="s">
        <v>11</v>
      </c>
      <c r="AQ10" s="271" t="s">
        <v>172</v>
      </c>
      <c r="AR10" s="271"/>
      <c r="AS10" s="271"/>
      <c r="AT10" s="271"/>
      <c r="AU10" s="271"/>
      <c r="AV10" s="271"/>
      <c r="AW10" s="271"/>
      <c r="AX10" s="271"/>
      <c r="AY10" s="253"/>
      <c r="AZ10" s="253"/>
      <c r="BA10" s="253"/>
      <c r="BB10" s="253"/>
      <c r="BC10" s="253"/>
      <c r="BD10" s="253"/>
      <c r="BE10" s="253"/>
      <c r="BF10" s="253"/>
      <c r="BG10" s="253"/>
      <c r="BH10" s="253"/>
      <c r="BI10" s="253"/>
      <c r="BJ10" s="253"/>
    </row>
    <row r="11" spans="1:62" ht="21" customHeight="1">
      <c r="A11" s="266">
        <v>4</v>
      </c>
      <c r="B11" s="654" t="s">
        <v>666</v>
      </c>
      <c r="C11" s="655"/>
      <c r="D11" s="656"/>
      <c r="E11" s="267" t="s">
        <v>667</v>
      </c>
      <c r="F11" s="268">
        <v>1</v>
      </c>
      <c r="G11" s="654" t="s">
        <v>669</v>
      </c>
      <c r="H11" s="655"/>
      <c r="I11" s="655"/>
      <c r="J11" s="656"/>
      <c r="K11" s="269" t="s">
        <v>670</v>
      </c>
      <c r="L11" s="269"/>
      <c r="M11" s="269"/>
      <c r="N11" s="548"/>
      <c r="O11" s="547" t="s">
        <v>174</v>
      </c>
      <c r="P11" s="654" t="s">
        <v>666</v>
      </c>
      <c r="Q11" s="655"/>
      <c r="R11" s="656"/>
      <c r="S11" s="297">
        <v>12</v>
      </c>
      <c r="T11" s="479">
        <f t="shared" si="0"/>
        <v>60000</v>
      </c>
      <c r="U11" s="480">
        <f t="shared" si="1"/>
        <v>0</v>
      </c>
      <c r="V11" s="270"/>
      <c r="AJ11" s="253"/>
      <c r="AK11" s="253"/>
      <c r="AL11" s="271" t="s">
        <v>45</v>
      </c>
      <c r="AM11" s="271"/>
      <c r="AN11" s="271" t="s">
        <v>51</v>
      </c>
      <c r="AO11" s="271"/>
      <c r="AP11" s="271" t="s">
        <v>12</v>
      </c>
      <c r="AQ11" s="271" t="s">
        <v>175</v>
      </c>
      <c r="AR11" s="271"/>
      <c r="AS11" s="271"/>
      <c r="AT11" s="271"/>
      <c r="AU11" s="271"/>
      <c r="AV11" s="271"/>
      <c r="AW11" s="271"/>
      <c r="AX11" s="271"/>
      <c r="AY11" s="253"/>
      <c r="AZ11" s="253"/>
      <c r="BA11" s="253"/>
      <c r="BB11" s="253"/>
      <c r="BC11" s="253"/>
      <c r="BD11" s="253"/>
      <c r="BE11" s="253"/>
      <c r="BF11" s="253"/>
      <c r="BG11" s="253"/>
      <c r="BH11" s="253"/>
      <c r="BI11" s="253"/>
      <c r="BJ11" s="253"/>
    </row>
    <row r="12" spans="1:62" ht="21" customHeight="1">
      <c r="A12" s="266">
        <v>5</v>
      </c>
      <c r="B12" s="654" t="s">
        <v>666</v>
      </c>
      <c r="C12" s="655"/>
      <c r="D12" s="656"/>
      <c r="E12" s="267" t="s">
        <v>667</v>
      </c>
      <c r="F12" s="268">
        <v>1</v>
      </c>
      <c r="G12" s="654" t="s">
        <v>669</v>
      </c>
      <c r="H12" s="655"/>
      <c r="I12" s="655"/>
      <c r="J12" s="656"/>
      <c r="K12" s="269"/>
      <c r="L12" s="269" t="s">
        <v>670</v>
      </c>
      <c r="M12" s="269"/>
      <c r="N12" s="548"/>
      <c r="O12" s="547" t="s">
        <v>174</v>
      </c>
      <c r="P12" s="654" t="s">
        <v>666</v>
      </c>
      <c r="Q12" s="655"/>
      <c r="R12" s="656"/>
      <c r="S12" s="297">
        <v>10</v>
      </c>
      <c r="T12" s="479">
        <f t="shared" si="0"/>
        <v>0</v>
      </c>
      <c r="U12" s="480">
        <f t="shared" si="1"/>
        <v>50000</v>
      </c>
      <c r="V12" s="270"/>
      <c r="AJ12" s="253"/>
      <c r="AK12" s="253"/>
      <c r="AL12" s="271" t="s">
        <v>46</v>
      </c>
      <c r="AM12" s="271"/>
      <c r="AN12" s="271" t="s">
        <v>52</v>
      </c>
      <c r="AO12" s="271"/>
      <c r="AP12" s="271" t="s">
        <v>13</v>
      </c>
      <c r="AQ12" s="271" t="s">
        <v>176</v>
      </c>
      <c r="AR12" s="271"/>
      <c r="AS12" s="271"/>
      <c r="AT12" s="271"/>
      <c r="AU12" s="271"/>
      <c r="AV12" s="271"/>
      <c r="AW12" s="271"/>
      <c r="AX12" s="271"/>
      <c r="AY12" s="253"/>
      <c r="AZ12" s="253"/>
      <c r="BA12" s="253"/>
      <c r="BB12" s="253"/>
      <c r="BC12" s="253"/>
      <c r="BD12" s="253"/>
      <c r="BE12" s="253"/>
      <c r="BF12" s="253"/>
      <c r="BG12" s="253"/>
      <c r="BH12" s="253"/>
      <c r="BI12" s="253"/>
      <c r="BJ12" s="253"/>
    </row>
    <row r="13" spans="1:62" ht="21" customHeight="1">
      <c r="A13" s="266">
        <v>6</v>
      </c>
      <c r="B13" s="654" t="s">
        <v>666</v>
      </c>
      <c r="C13" s="655"/>
      <c r="D13" s="656"/>
      <c r="E13" s="267" t="s">
        <v>667</v>
      </c>
      <c r="F13" s="268">
        <v>1</v>
      </c>
      <c r="G13" s="654" t="s">
        <v>669</v>
      </c>
      <c r="H13" s="655"/>
      <c r="I13" s="655"/>
      <c r="J13" s="656"/>
      <c r="K13" s="269"/>
      <c r="L13" s="269"/>
      <c r="M13" s="269"/>
      <c r="N13" s="548"/>
      <c r="O13" s="547" t="s">
        <v>174</v>
      </c>
      <c r="P13" s="654" t="s">
        <v>666</v>
      </c>
      <c r="Q13" s="655"/>
      <c r="R13" s="656"/>
      <c r="S13" s="297">
        <v>12</v>
      </c>
      <c r="T13" s="479">
        <f t="shared" si="0"/>
        <v>0</v>
      </c>
      <c r="U13" s="480">
        <f t="shared" si="1"/>
        <v>0</v>
      </c>
      <c r="V13" s="272"/>
      <c r="W13" s="272"/>
      <c r="X13" s="272"/>
      <c r="Y13" s="272"/>
      <c r="Z13" s="272"/>
      <c r="AA13" s="272"/>
      <c r="AB13" s="272"/>
      <c r="AC13" s="272"/>
      <c r="AD13" s="272"/>
      <c r="AE13" s="272"/>
      <c r="AF13" s="272"/>
      <c r="AJ13" s="253"/>
      <c r="AK13" s="253"/>
      <c r="AL13" s="271" t="s">
        <v>47</v>
      </c>
      <c r="AM13" s="271"/>
      <c r="AN13" s="271"/>
      <c r="AO13" s="271"/>
      <c r="AP13" s="271" t="s">
        <v>14</v>
      </c>
      <c r="AQ13" s="271" t="s">
        <v>177</v>
      </c>
      <c r="AR13" s="271"/>
      <c r="AS13" s="271"/>
      <c r="AT13" s="271"/>
      <c r="AU13" s="271"/>
      <c r="AV13" s="271"/>
      <c r="AW13" s="271"/>
      <c r="AX13" s="271"/>
      <c r="AY13" s="253"/>
      <c r="AZ13" s="253"/>
      <c r="BA13" s="253"/>
      <c r="BB13" s="253"/>
      <c r="BC13" s="253"/>
      <c r="BD13" s="253"/>
      <c r="BE13" s="253"/>
      <c r="BF13" s="253"/>
      <c r="BG13" s="253"/>
      <c r="BH13" s="253"/>
      <c r="BI13" s="253"/>
      <c r="BJ13" s="253"/>
    </row>
    <row r="14" spans="1:62" ht="21" customHeight="1">
      <c r="A14" s="266">
        <v>7</v>
      </c>
      <c r="B14" s="654" t="s">
        <v>666</v>
      </c>
      <c r="C14" s="655"/>
      <c r="D14" s="656"/>
      <c r="E14" s="267" t="s">
        <v>667</v>
      </c>
      <c r="F14" s="268">
        <v>1</v>
      </c>
      <c r="G14" s="654" t="s">
        <v>669</v>
      </c>
      <c r="H14" s="655"/>
      <c r="I14" s="655"/>
      <c r="J14" s="656"/>
      <c r="K14" s="269" t="s">
        <v>670</v>
      </c>
      <c r="L14" s="269" t="s">
        <v>670</v>
      </c>
      <c r="M14" s="269"/>
      <c r="N14" s="548"/>
      <c r="O14" s="547" t="s">
        <v>174</v>
      </c>
      <c r="P14" s="654" t="s">
        <v>666</v>
      </c>
      <c r="Q14" s="655"/>
      <c r="R14" s="656"/>
      <c r="S14" s="297">
        <v>12</v>
      </c>
      <c r="T14" s="479">
        <f t="shared" si="0"/>
        <v>60000</v>
      </c>
      <c r="U14" s="480">
        <f t="shared" si="1"/>
        <v>60000</v>
      </c>
      <c r="AJ14" s="253"/>
      <c r="AK14" s="253"/>
      <c r="AL14" s="253" t="s">
        <v>48</v>
      </c>
      <c r="AM14" s="253"/>
      <c r="AN14" s="253"/>
      <c r="AO14" s="253"/>
      <c r="AP14" s="253" t="s">
        <v>15</v>
      </c>
      <c r="AQ14" s="253"/>
      <c r="AR14" s="253"/>
      <c r="AS14" s="253"/>
      <c r="AT14" s="253"/>
      <c r="AU14" s="253"/>
      <c r="AV14" s="253"/>
      <c r="AW14" s="253"/>
      <c r="AX14" s="253"/>
      <c r="AY14" s="253"/>
      <c r="AZ14" s="253"/>
      <c r="BA14" s="253"/>
      <c r="BB14" s="253"/>
      <c r="BC14" s="253"/>
      <c r="BD14" s="253"/>
      <c r="BE14" s="253"/>
      <c r="BF14" s="253"/>
      <c r="BG14" s="253"/>
      <c r="BH14" s="253"/>
      <c r="BI14" s="253"/>
      <c r="BJ14" s="253"/>
    </row>
    <row r="15" spans="1:62" ht="21" customHeight="1">
      <c r="A15" s="266">
        <v>8</v>
      </c>
      <c r="B15" s="654" t="s">
        <v>666</v>
      </c>
      <c r="C15" s="655"/>
      <c r="D15" s="656"/>
      <c r="E15" s="267" t="s">
        <v>667</v>
      </c>
      <c r="F15" s="268">
        <v>1</v>
      </c>
      <c r="G15" s="654" t="s">
        <v>669</v>
      </c>
      <c r="H15" s="655"/>
      <c r="I15" s="655"/>
      <c r="J15" s="656"/>
      <c r="K15" s="269"/>
      <c r="L15" s="269"/>
      <c r="M15" s="269"/>
      <c r="N15" s="548"/>
      <c r="O15" s="547" t="s">
        <v>174</v>
      </c>
      <c r="P15" s="654" t="s">
        <v>666</v>
      </c>
      <c r="Q15" s="655"/>
      <c r="R15" s="656"/>
      <c r="S15" s="297">
        <v>12</v>
      </c>
      <c r="T15" s="479">
        <f t="shared" si="0"/>
        <v>0</v>
      </c>
      <c r="U15" s="480">
        <f t="shared" si="1"/>
        <v>0</v>
      </c>
      <c r="AJ15" s="253"/>
      <c r="AK15" s="253"/>
      <c r="AL15" s="253"/>
      <c r="AM15" s="253"/>
      <c r="AN15" s="253"/>
      <c r="AO15" s="253"/>
      <c r="AP15" s="253" t="s">
        <v>16</v>
      </c>
      <c r="AQ15" s="253"/>
      <c r="AR15" s="253"/>
      <c r="AS15" s="253"/>
      <c r="AT15" s="253"/>
      <c r="AU15" s="253"/>
      <c r="AV15" s="253"/>
      <c r="AW15" s="253"/>
      <c r="AX15" s="253"/>
      <c r="AY15" s="253"/>
      <c r="AZ15" s="253"/>
      <c r="BA15" s="253"/>
      <c r="BB15" s="253"/>
      <c r="BC15" s="253"/>
      <c r="BD15" s="253"/>
      <c r="BE15" s="253"/>
      <c r="BF15" s="253"/>
      <c r="BG15" s="253"/>
      <c r="BH15" s="253"/>
      <c r="BI15" s="253"/>
      <c r="BJ15" s="253"/>
    </row>
    <row r="16" spans="1:62" ht="21" customHeight="1">
      <c r="A16" s="266">
        <v>9</v>
      </c>
      <c r="B16" s="654" t="s">
        <v>666</v>
      </c>
      <c r="C16" s="655"/>
      <c r="D16" s="656"/>
      <c r="E16" s="267" t="s">
        <v>667</v>
      </c>
      <c r="F16" s="268">
        <v>1</v>
      </c>
      <c r="G16" s="654" t="s">
        <v>669</v>
      </c>
      <c r="H16" s="655"/>
      <c r="I16" s="655"/>
      <c r="J16" s="656"/>
      <c r="K16" s="269"/>
      <c r="L16" s="269"/>
      <c r="M16" s="269"/>
      <c r="N16" s="548"/>
      <c r="O16" s="547" t="s">
        <v>176</v>
      </c>
      <c r="P16" s="654" t="s">
        <v>666</v>
      </c>
      <c r="Q16" s="655"/>
      <c r="R16" s="656"/>
      <c r="S16" s="297">
        <v>12</v>
      </c>
      <c r="T16" s="479">
        <f t="shared" si="0"/>
        <v>0</v>
      </c>
      <c r="U16" s="480">
        <f t="shared" si="1"/>
        <v>0</v>
      </c>
      <c r="AJ16" s="253"/>
      <c r="AK16" s="253"/>
      <c r="AL16" s="253"/>
      <c r="AM16" s="253"/>
      <c r="AN16" s="253"/>
      <c r="AO16" s="253"/>
      <c r="AP16" s="253" t="s">
        <v>17</v>
      </c>
      <c r="AQ16" s="253"/>
      <c r="AR16" s="253"/>
      <c r="AS16" s="253"/>
      <c r="AT16" s="253"/>
      <c r="AU16" s="253"/>
      <c r="AV16" s="253"/>
      <c r="AW16" s="253"/>
      <c r="AX16" s="253"/>
      <c r="AY16" s="253"/>
      <c r="AZ16" s="253"/>
      <c r="BA16" s="253"/>
      <c r="BB16" s="253"/>
      <c r="BC16" s="253"/>
      <c r="BD16" s="253"/>
      <c r="BE16" s="253"/>
      <c r="BF16" s="253"/>
      <c r="BG16" s="253"/>
      <c r="BH16" s="253"/>
      <c r="BI16" s="253"/>
      <c r="BJ16" s="253"/>
    </row>
    <row r="17" spans="1:62" ht="21" customHeight="1">
      <c r="A17" s="266">
        <v>10</v>
      </c>
      <c r="B17" s="654" t="s">
        <v>666</v>
      </c>
      <c r="C17" s="655"/>
      <c r="D17" s="656"/>
      <c r="E17" s="267" t="s">
        <v>667</v>
      </c>
      <c r="F17" s="268">
        <v>1</v>
      </c>
      <c r="G17" s="654" t="s">
        <v>669</v>
      </c>
      <c r="H17" s="655"/>
      <c r="I17" s="655"/>
      <c r="J17" s="656"/>
      <c r="K17" s="269"/>
      <c r="L17" s="269"/>
      <c r="M17" s="269"/>
      <c r="N17" s="548"/>
      <c r="O17" s="547" t="s">
        <v>174</v>
      </c>
      <c r="P17" s="654" t="s">
        <v>666</v>
      </c>
      <c r="Q17" s="655"/>
      <c r="R17" s="656"/>
      <c r="S17" s="297">
        <v>12</v>
      </c>
      <c r="T17" s="479">
        <f t="shared" si="0"/>
        <v>0</v>
      </c>
      <c r="U17" s="480">
        <f t="shared" si="1"/>
        <v>0</v>
      </c>
      <c r="AJ17" s="253"/>
      <c r="AK17" s="253"/>
      <c r="AL17" s="253"/>
      <c r="AM17" s="253"/>
      <c r="AN17" s="253"/>
      <c r="AO17" s="253"/>
      <c r="AP17" s="253" t="s">
        <v>18</v>
      </c>
      <c r="AQ17" s="253"/>
      <c r="AR17" s="253"/>
      <c r="AS17" s="253"/>
      <c r="AT17" s="253"/>
      <c r="AU17" s="253"/>
      <c r="AV17" s="253"/>
      <c r="AW17" s="253"/>
      <c r="AX17" s="253"/>
      <c r="AY17" s="253"/>
      <c r="AZ17" s="253"/>
      <c r="BA17" s="253"/>
      <c r="BB17" s="253"/>
      <c r="BC17" s="253"/>
      <c r="BD17" s="253"/>
      <c r="BE17" s="253"/>
      <c r="BF17" s="253"/>
      <c r="BG17" s="253"/>
      <c r="BH17" s="253"/>
      <c r="BI17" s="253"/>
      <c r="BJ17" s="253"/>
    </row>
    <row r="18" spans="1:62" ht="21" customHeight="1">
      <c r="A18" s="266">
        <v>11</v>
      </c>
      <c r="B18" s="654" t="s">
        <v>666</v>
      </c>
      <c r="C18" s="655"/>
      <c r="D18" s="656"/>
      <c r="E18" s="267" t="s">
        <v>667</v>
      </c>
      <c r="F18" s="268">
        <v>2</v>
      </c>
      <c r="G18" s="654" t="s">
        <v>669</v>
      </c>
      <c r="H18" s="655"/>
      <c r="I18" s="655"/>
      <c r="J18" s="656"/>
      <c r="K18" s="269"/>
      <c r="L18" s="269"/>
      <c r="M18" s="269"/>
      <c r="N18" s="548"/>
      <c r="O18" s="547" t="s">
        <v>174</v>
      </c>
      <c r="P18" s="654" t="s">
        <v>666</v>
      </c>
      <c r="Q18" s="655"/>
      <c r="R18" s="656"/>
      <c r="S18" s="297">
        <v>10</v>
      </c>
      <c r="T18" s="479">
        <f t="shared" si="0"/>
        <v>0</v>
      </c>
      <c r="U18" s="480">
        <f t="shared" si="1"/>
        <v>0</v>
      </c>
      <c r="AJ18" s="253"/>
      <c r="AK18" s="253"/>
      <c r="AL18" s="253"/>
      <c r="AM18" s="253"/>
      <c r="AN18" s="253"/>
      <c r="AO18" s="253"/>
      <c r="AP18" s="253" t="s">
        <v>19</v>
      </c>
      <c r="AQ18" s="253"/>
      <c r="AR18" s="253"/>
      <c r="AS18" s="253"/>
      <c r="AT18" s="253"/>
      <c r="AU18" s="253"/>
      <c r="AV18" s="253"/>
      <c r="AW18" s="253"/>
      <c r="AX18" s="253"/>
      <c r="AY18" s="253"/>
      <c r="AZ18" s="253"/>
      <c r="BA18" s="253"/>
      <c r="BB18" s="253"/>
      <c r="BC18" s="253"/>
      <c r="BD18" s="253"/>
      <c r="BE18" s="253"/>
      <c r="BF18" s="253"/>
      <c r="BG18" s="253"/>
      <c r="BH18" s="253"/>
      <c r="BI18" s="253"/>
      <c r="BJ18" s="253"/>
    </row>
    <row r="19" spans="1:62" ht="21" customHeight="1">
      <c r="A19" s="266">
        <v>12</v>
      </c>
      <c r="B19" s="654" t="s">
        <v>666</v>
      </c>
      <c r="C19" s="655"/>
      <c r="D19" s="656"/>
      <c r="E19" s="267" t="s">
        <v>667</v>
      </c>
      <c r="F19" s="268">
        <v>2</v>
      </c>
      <c r="G19" s="654" t="s">
        <v>669</v>
      </c>
      <c r="H19" s="655"/>
      <c r="I19" s="655"/>
      <c r="J19" s="656"/>
      <c r="K19" s="269"/>
      <c r="L19" s="269"/>
      <c r="M19" s="269"/>
      <c r="N19" s="548"/>
      <c r="O19" s="547" t="s">
        <v>174</v>
      </c>
      <c r="P19" s="654" t="s">
        <v>666</v>
      </c>
      <c r="Q19" s="655"/>
      <c r="R19" s="656"/>
      <c r="S19" s="297">
        <v>10</v>
      </c>
      <c r="T19" s="479">
        <f t="shared" si="0"/>
        <v>0</v>
      </c>
      <c r="U19" s="480">
        <f t="shared" si="1"/>
        <v>0</v>
      </c>
      <c r="AJ19" s="253"/>
      <c r="AK19" s="253"/>
      <c r="AL19" s="253"/>
      <c r="AM19" s="253"/>
      <c r="AN19" s="253"/>
      <c r="AO19" s="253"/>
      <c r="AP19" s="253" t="s">
        <v>20</v>
      </c>
      <c r="AQ19" s="253"/>
      <c r="AR19" s="253"/>
      <c r="AS19" s="253"/>
      <c r="AT19" s="253"/>
      <c r="AU19" s="253"/>
      <c r="AV19" s="253"/>
      <c r="AW19" s="253"/>
      <c r="AX19" s="253"/>
      <c r="AY19" s="253"/>
      <c r="AZ19" s="253"/>
      <c r="BA19" s="253"/>
      <c r="BB19" s="253"/>
      <c r="BC19" s="253"/>
      <c r="BD19" s="253"/>
      <c r="BE19" s="253"/>
      <c r="BF19" s="253"/>
      <c r="BG19" s="253"/>
      <c r="BH19" s="253"/>
      <c r="BI19" s="253"/>
      <c r="BJ19" s="253"/>
    </row>
    <row r="20" spans="1:62" ht="21" customHeight="1">
      <c r="A20" s="266">
        <v>13</v>
      </c>
      <c r="B20" s="654" t="s">
        <v>666</v>
      </c>
      <c r="C20" s="655"/>
      <c r="D20" s="656"/>
      <c r="E20" s="267" t="s">
        <v>667</v>
      </c>
      <c r="F20" s="268">
        <v>2</v>
      </c>
      <c r="G20" s="654" t="s">
        <v>669</v>
      </c>
      <c r="H20" s="655"/>
      <c r="I20" s="655"/>
      <c r="J20" s="656"/>
      <c r="K20" s="269"/>
      <c r="L20" s="269"/>
      <c r="M20" s="269"/>
      <c r="N20" s="548"/>
      <c r="O20" s="547" t="s">
        <v>174</v>
      </c>
      <c r="P20" s="654" t="s">
        <v>666</v>
      </c>
      <c r="Q20" s="655"/>
      <c r="R20" s="656"/>
      <c r="S20" s="297">
        <v>12</v>
      </c>
      <c r="T20" s="479">
        <f t="shared" si="0"/>
        <v>0</v>
      </c>
      <c r="U20" s="480">
        <f t="shared" si="1"/>
        <v>0</v>
      </c>
      <c r="AJ20" s="253"/>
      <c r="AK20" s="253"/>
      <c r="AL20" s="253"/>
      <c r="AM20" s="253"/>
      <c r="AN20" s="253"/>
      <c r="AO20" s="253"/>
      <c r="AP20" s="253" t="s">
        <v>21</v>
      </c>
      <c r="AQ20" s="253"/>
      <c r="AR20" s="253"/>
      <c r="AS20" s="253"/>
      <c r="AT20" s="253"/>
      <c r="AU20" s="253"/>
      <c r="AV20" s="253"/>
      <c r="AW20" s="253"/>
      <c r="AX20" s="253"/>
      <c r="AY20" s="253"/>
      <c r="AZ20" s="253"/>
      <c r="BA20" s="253"/>
      <c r="BB20" s="253"/>
      <c r="BC20" s="253"/>
      <c r="BD20" s="253"/>
      <c r="BE20" s="253"/>
      <c r="BF20" s="253"/>
      <c r="BG20" s="253"/>
      <c r="BH20" s="253"/>
      <c r="BI20" s="253"/>
      <c r="BJ20" s="253"/>
    </row>
    <row r="21" spans="1:62" ht="21" customHeight="1">
      <c r="A21" s="266">
        <v>14</v>
      </c>
      <c r="B21" s="654" t="s">
        <v>666</v>
      </c>
      <c r="C21" s="655"/>
      <c r="D21" s="656"/>
      <c r="E21" s="267" t="s">
        <v>667</v>
      </c>
      <c r="F21" s="268">
        <v>2</v>
      </c>
      <c r="G21" s="654" t="s">
        <v>669</v>
      </c>
      <c r="H21" s="655"/>
      <c r="I21" s="655"/>
      <c r="J21" s="656"/>
      <c r="K21" s="269"/>
      <c r="L21" s="269"/>
      <c r="M21" s="269"/>
      <c r="N21" s="548"/>
      <c r="O21" s="547" t="s">
        <v>174</v>
      </c>
      <c r="P21" s="654" t="s">
        <v>666</v>
      </c>
      <c r="Q21" s="655"/>
      <c r="R21" s="656"/>
      <c r="S21" s="297">
        <v>12</v>
      </c>
      <c r="T21" s="479">
        <f t="shared" si="0"/>
        <v>0</v>
      </c>
      <c r="U21" s="480">
        <f t="shared" si="1"/>
        <v>0</v>
      </c>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row>
    <row r="22" spans="1:62" ht="21" customHeight="1">
      <c r="A22" s="266">
        <v>15</v>
      </c>
      <c r="B22" s="654" t="s">
        <v>666</v>
      </c>
      <c r="C22" s="655"/>
      <c r="D22" s="656"/>
      <c r="E22" s="267" t="s">
        <v>667</v>
      </c>
      <c r="F22" s="268">
        <v>3</v>
      </c>
      <c r="G22" s="654" t="s">
        <v>669</v>
      </c>
      <c r="H22" s="655"/>
      <c r="I22" s="655"/>
      <c r="J22" s="656"/>
      <c r="K22" s="269"/>
      <c r="L22" s="269"/>
      <c r="M22" s="269"/>
      <c r="N22" s="548"/>
      <c r="O22" s="547" t="s">
        <v>174</v>
      </c>
      <c r="P22" s="654" t="s">
        <v>666</v>
      </c>
      <c r="Q22" s="655"/>
      <c r="R22" s="656"/>
      <c r="S22" s="297">
        <v>12</v>
      </c>
      <c r="T22" s="479">
        <f t="shared" si="0"/>
        <v>0</v>
      </c>
      <c r="U22" s="480">
        <f t="shared" si="1"/>
        <v>0</v>
      </c>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row>
    <row r="23" spans="1:62" ht="21" customHeight="1">
      <c r="A23" s="266">
        <v>16</v>
      </c>
      <c r="B23" s="654" t="s">
        <v>666</v>
      </c>
      <c r="C23" s="655"/>
      <c r="D23" s="656"/>
      <c r="E23" s="267" t="s">
        <v>667</v>
      </c>
      <c r="F23" s="268">
        <v>3</v>
      </c>
      <c r="G23" s="654" t="s">
        <v>669</v>
      </c>
      <c r="H23" s="655"/>
      <c r="I23" s="655"/>
      <c r="J23" s="656"/>
      <c r="K23" s="269"/>
      <c r="L23" s="269"/>
      <c r="M23" s="269"/>
      <c r="N23" s="548"/>
      <c r="O23" s="547" t="s">
        <v>174</v>
      </c>
      <c r="P23" s="654" t="s">
        <v>666</v>
      </c>
      <c r="Q23" s="655"/>
      <c r="R23" s="656"/>
      <c r="S23" s="297">
        <v>12</v>
      </c>
      <c r="T23" s="479">
        <f t="shared" si="0"/>
        <v>0</v>
      </c>
      <c r="U23" s="480">
        <f t="shared" si="1"/>
        <v>0</v>
      </c>
    </row>
    <row r="24" spans="1:62" ht="21" customHeight="1">
      <c r="A24" s="266">
        <v>17</v>
      </c>
      <c r="B24" s="654" t="s">
        <v>666</v>
      </c>
      <c r="C24" s="655"/>
      <c r="D24" s="656"/>
      <c r="E24" s="267" t="s">
        <v>667</v>
      </c>
      <c r="F24" s="268">
        <v>3</v>
      </c>
      <c r="G24" s="654" t="s">
        <v>669</v>
      </c>
      <c r="H24" s="655"/>
      <c r="I24" s="655"/>
      <c r="J24" s="656"/>
      <c r="K24" s="269"/>
      <c r="L24" s="269"/>
      <c r="M24" s="269"/>
      <c r="N24" s="548"/>
      <c r="O24" s="547" t="s">
        <v>174</v>
      </c>
      <c r="P24" s="654" t="s">
        <v>666</v>
      </c>
      <c r="Q24" s="655"/>
      <c r="R24" s="656"/>
      <c r="S24" s="297">
        <v>12</v>
      </c>
      <c r="T24" s="479">
        <f t="shared" si="0"/>
        <v>0</v>
      </c>
      <c r="U24" s="480">
        <f t="shared" si="1"/>
        <v>0</v>
      </c>
    </row>
    <row r="25" spans="1:62" ht="21" customHeight="1">
      <c r="A25" s="266">
        <v>18</v>
      </c>
      <c r="B25" s="654" t="s">
        <v>666</v>
      </c>
      <c r="C25" s="655"/>
      <c r="D25" s="656"/>
      <c r="E25" s="267" t="s">
        <v>667</v>
      </c>
      <c r="F25" s="268">
        <v>4</v>
      </c>
      <c r="G25" s="654" t="s">
        <v>669</v>
      </c>
      <c r="H25" s="655"/>
      <c r="I25" s="655"/>
      <c r="J25" s="656"/>
      <c r="K25" s="269"/>
      <c r="L25" s="269"/>
      <c r="M25" s="269"/>
      <c r="N25" s="548"/>
      <c r="O25" s="547" t="s">
        <v>172</v>
      </c>
      <c r="P25" s="654" t="s">
        <v>666</v>
      </c>
      <c r="Q25" s="655"/>
      <c r="R25" s="656"/>
      <c r="S25" s="297">
        <v>10</v>
      </c>
      <c r="T25" s="479">
        <f t="shared" si="0"/>
        <v>0</v>
      </c>
      <c r="U25" s="480">
        <f t="shared" si="1"/>
        <v>0</v>
      </c>
    </row>
    <row r="26" spans="1:62" ht="21" customHeight="1">
      <c r="A26" s="266">
        <v>19</v>
      </c>
      <c r="B26" s="654" t="s">
        <v>666</v>
      </c>
      <c r="C26" s="655"/>
      <c r="D26" s="656"/>
      <c r="E26" s="267" t="s">
        <v>667</v>
      </c>
      <c r="F26" s="268">
        <v>4</v>
      </c>
      <c r="G26" s="654" t="s">
        <v>669</v>
      </c>
      <c r="H26" s="655"/>
      <c r="I26" s="655"/>
      <c r="J26" s="656"/>
      <c r="K26" s="269"/>
      <c r="L26" s="269"/>
      <c r="M26" s="269"/>
      <c r="N26" s="548"/>
      <c r="O26" s="547" t="s">
        <v>172</v>
      </c>
      <c r="P26" s="654" t="s">
        <v>666</v>
      </c>
      <c r="Q26" s="655"/>
      <c r="R26" s="656"/>
      <c r="S26" s="297">
        <v>10</v>
      </c>
      <c r="T26" s="479">
        <f t="shared" si="0"/>
        <v>0</v>
      </c>
      <c r="U26" s="480">
        <f t="shared" si="1"/>
        <v>0</v>
      </c>
    </row>
    <row r="27" spans="1:62" ht="21" customHeight="1">
      <c r="A27" s="266">
        <v>20</v>
      </c>
      <c r="B27" s="654" t="s">
        <v>666</v>
      </c>
      <c r="C27" s="655"/>
      <c r="D27" s="656"/>
      <c r="E27" s="267" t="s">
        <v>667</v>
      </c>
      <c r="F27" s="268">
        <v>5</v>
      </c>
      <c r="G27" s="654" t="s">
        <v>669</v>
      </c>
      <c r="H27" s="655"/>
      <c r="I27" s="655"/>
      <c r="J27" s="656"/>
      <c r="K27" s="269"/>
      <c r="L27" s="269"/>
      <c r="M27" s="269"/>
      <c r="N27" s="548"/>
      <c r="O27" s="547" t="s">
        <v>174</v>
      </c>
      <c r="P27" s="654" t="s">
        <v>666</v>
      </c>
      <c r="Q27" s="655"/>
      <c r="R27" s="656"/>
      <c r="S27" s="297">
        <v>12</v>
      </c>
      <c r="T27" s="479">
        <f t="shared" si="0"/>
        <v>0</v>
      </c>
      <c r="U27" s="480">
        <f t="shared" si="1"/>
        <v>0</v>
      </c>
    </row>
    <row r="28" spans="1:62" ht="21" customHeight="1">
      <c r="A28" s="266">
        <v>21</v>
      </c>
      <c r="B28" s="654" t="s">
        <v>666</v>
      </c>
      <c r="C28" s="655"/>
      <c r="D28" s="656"/>
      <c r="E28" s="267" t="s">
        <v>668</v>
      </c>
      <c r="F28" s="268">
        <v>1</v>
      </c>
      <c r="G28" s="654" t="s">
        <v>669</v>
      </c>
      <c r="H28" s="655"/>
      <c r="I28" s="655"/>
      <c r="J28" s="656"/>
      <c r="K28" s="269"/>
      <c r="L28" s="269"/>
      <c r="M28" s="269"/>
      <c r="N28" s="548"/>
      <c r="O28" s="547" t="s">
        <v>174</v>
      </c>
      <c r="P28" s="654" t="s">
        <v>666</v>
      </c>
      <c r="Q28" s="655"/>
      <c r="R28" s="656"/>
      <c r="S28" s="297">
        <v>12</v>
      </c>
      <c r="T28" s="479">
        <f t="shared" si="0"/>
        <v>0</v>
      </c>
      <c r="U28" s="480">
        <f t="shared" si="1"/>
        <v>0</v>
      </c>
    </row>
    <row r="29" spans="1:62" ht="21" customHeight="1">
      <c r="A29" s="266">
        <v>22</v>
      </c>
      <c r="B29" s="654" t="s">
        <v>666</v>
      </c>
      <c r="C29" s="655"/>
      <c r="D29" s="656"/>
      <c r="E29" s="267" t="s">
        <v>668</v>
      </c>
      <c r="F29" s="268">
        <v>1</v>
      </c>
      <c r="G29" s="654" t="s">
        <v>669</v>
      </c>
      <c r="H29" s="655"/>
      <c r="I29" s="655"/>
      <c r="J29" s="656"/>
      <c r="K29" s="269"/>
      <c r="L29" s="269"/>
      <c r="M29" s="269"/>
      <c r="N29" s="548"/>
      <c r="O29" s="547" t="s">
        <v>174</v>
      </c>
      <c r="P29" s="654" t="s">
        <v>666</v>
      </c>
      <c r="Q29" s="655"/>
      <c r="R29" s="656"/>
      <c r="S29" s="297">
        <v>12</v>
      </c>
      <c r="T29" s="479">
        <f t="shared" si="0"/>
        <v>0</v>
      </c>
      <c r="U29" s="480">
        <f t="shared" si="1"/>
        <v>0</v>
      </c>
    </row>
    <row r="30" spans="1:62" ht="21" customHeight="1">
      <c r="A30" s="266">
        <v>23</v>
      </c>
      <c r="B30" s="654" t="s">
        <v>666</v>
      </c>
      <c r="C30" s="655"/>
      <c r="D30" s="656"/>
      <c r="E30" s="267" t="s">
        <v>668</v>
      </c>
      <c r="F30" s="268">
        <v>1</v>
      </c>
      <c r="G30" s="654" t="s">
        <v>669</v>
      </c>
      <c r="H30" s="655"/>
      <c r="I30" s="655"/>
      <c r="J30" s="656"/>
      <c r="K30" s="269"/>
      <c r="L30" s="269"/>
      <c r="M30" s="269"/>
      <c r="N30" s="548"/>
      <c r="O30" s="547" t="s">
        <v>176</v>
      </c>
      <c r="P30" s="654" t="s">
        <v>666</v>
      </c>
      <c r="Q30" s="655"/>
      <c r="R30" s="656"/>
      <c r="S30" s="297">
        <v>12</v>
      </c>
      <c r="T30" s="479">
        <f t="shared" si="0"/>
        <v>0</v>
      </c>
      <c r="U30" s="480">
        <f t="shared" si="1"/>
        <v>0</v>
      </c>
    </row>
    <row r="31" spans="1:62" ht="21" customHeight="1">
      <c r="A31" s="266">
        <v>24</v>
      </c>
      <c r="B31" s="654" t="s">
        <v>666</v>
      </c>
      <c r="C31" s="655"/>
      <c r="D31" s="656"/>
      <c r="E31" s="267" t="s">
        <v>668</v>
      </c>
      <c r="F31" s="268">
        <v>1</v>
      </c>
      <c r="G31" s="654" t="s">
        <v>669</v>
      </c>
      <c r="H31" s="655"/>
      <c r="I31" s="655"/>
      <c r="J31" s="656"/>
      <c r="K31" s="269"/>
      <c r="L31" s="269"/>
      <c r="M31" s="269"/>
      <c r="N31" s="548"/>
      <c r="O31" s="547" t="s">
        <v>174</v>
      </c>
      <c r="P31" s="654" t="s">
        <v>666</v>
      </c>
      <c r="Q31" s="655"/>
      <c r="R31" s="656"/>
      <c r="S31" s="297">
        <v>12</v>
      </c>
      <c r="T31" s="479">
        <f t="shared" si="0"/>
        <v>0</v>
      </c>
      <c r="U31" s="480">
        <f t="shared" si="1"/>
        <v>0</v>
      </c>
    </row>
    <row r="32" spans="1:62" ht="21" customHeight="1">
      <c r="A32" s="266">
        <v>25</v>
      </c>
      <c r="B32" s="654" t="s">
        <v>666</v>
      </c>
      <c r="C32" s="655"/>
      <c r="D32" s="656"/>
      <c r="E32" s="267" t="s">
        <v>668</v>
      </c>
      <c r="F32" s="268">
        <v>2</v>
      </c>
      <c r="G32" s="654" t="s">
        <v>669</v>
      </c>
      <c r="H32" s="655"/>
      <c r="I32" s="655"/>
      <c r="J32" s="656"/>
      <c r="K32" s="269"/>
      <c r="L32" s="269"/>
      <c r="M32" s="269"/>
      <c r="N32" s="548"/>
      <c r="O32" s="547" t="s">
        <v>174</v>
      </c>
      <c r="P32" s="654" t="s">
        <v>666</v>
      </c>
      <c r="Q32" s="655"/>
      <c r="R32" s="656"/>
      <c r="S32" s="297">
        <v>12</v>
      </c>
      <c r="T32" s="479">
        <f t="shared" si="0"/>
        <v>0</v>
      </c>
      <c r="U32" s="480">
        <f t="shared" si="1"/>
        <v>0</v>
      </c>
    </row>
    <row r="33" spans="1:21" ht="21" customHeight="1">
      <c r="A33" s="266">
        <v>26</v>
      </c>
      <c r="B33" s="654" t="s">
        <v>666</v>
      </c>
      <c r="C33" s="655"/>
      <c r="D33" s="656"/>
      <c r="E33" s="267" t="s">
        <v>668</v>
      </c>
      <c r="F33" s="268">
        <v>2</v>
      </c>
      <c r="G33" s="654" t="s">
        <v>669</v>
      </c>
      <c r="H33" s="655"/>
      <c r="I33" s="655"/>
      <c r="J33" s="656"/>
      <c r="K33" s="269"/>
      <c r="L33" s="269"/>
      <c r="M33" s="269"/>
      <c r="N33" s="548"/>
      <c r="O33" s="547" t="s">
        <v>174</v>
      </c>
      <c r="P33" s="654" t="s">
        <v>666</v>
      </c>
      <c r="Q33" s="655"/>
      <c r="R33" s="656"/>
      <c r="S33" s="297">
        <v>12</v>
      </c>
      <c r="T33" s="479">
        <f t="shared" si="0"/>
        <v>0</v>
      </c>
      <c r="U33" s="480">
        <f t="shared" si="1"/>
        <v>0</v>
      </c>
    </row>
    <row r="34" spans="1:21" ht="21" customHeight="1">
      <c r="A34" s="266">
        <v>27</v>
      </c>
      <c r="B34" s="654" t="s">
        <v>666</v>
      </c>
      <c r="C34" s="655"/>
      <c r="D34" s="656"/>
      <c r="E34" s="267" t="s">
        <v>668</v>
      </c>
      <c r="F34" s="268">
        <v>3</v>
      </c>
      <c r="G34" s="654" t="s">
        <v>669</v>
      </c>
      <c r="H34" s="655"/>
      <c r="I34" s="655"/>
      <c r="J34" s="656"/>
      <c r="K34" s="269"/>
      <c r="L34" s="269"/>
      <c r="M34" s="269"/>
      <c r="N34" s="548"/>
      <c r="O34" s="547" t="s">
        <v>174</v>
      </c>
      <c r="P34" s="654" t="s">
        <v>666</v>
      </c>
      <c r="Q34" s="655"/>
      <c r="R34" s="656"/>
      <c r="S34" s="297">
        <v>12</v>
      </c>
      <c r="T34" s="479">
        <f t="shared" si="0"/>
        <v>0</v>
      </c>
      <c r="U34" s="480">
        <f t="shared" si="1"/>
        <v>0</v>
      </c>
    </row>
    <row r="35" spans="1:21" ht="21" customHeight="1">
      <c r="A35" s="266">
        <v>28</v>
      </c>
      <c r="B35" s="654" t="s">
        <v>666</v>
      </c>
      <c r="C35" s="655"/>
      <c r="D35" s="656"/>
      <c r="E35" s="267" t="s">
        <v>668</v>
      </c>
      <c r="F35" s="268">
        <v>3</v>
      </c>
      <c r="G35" s="654" t="s">
        <v>669</v>
      </c>
      <c r="H35" s="655"/>
      <c r="I35" s="655"/>
      <c r="J35" s="656"/>
      <c r="K35" s="269"/>
      <c r="L35" s="269"/>
      <c r="M35" s="269"/>
      <c r="N35" s="548"/>
      <c r="O35" s="547" t="s">
        <v>174</v>
      </c>
      <c r="P35" s="654" t="s">
        <v>666</v>
      </c>
      <c r="Q35" s="655"/>
      <c r="R35" s="656"/>
      <c r="S35" s="297">
        <v>12</v>
      </c>
      <c r="T35" s="479">
        <f t="shared" si="0"/>
        <v>0</v>
      </c>
      <c r="U35" s="480">
        <f t="shared" si="1"/>
        <v>0</v>
      </c>
    </row>
    <row r="36" spans="1:21" ht="21" customHeight="1">
      <c r="A36" s="266">
        <v>29</v>
      </c>
      <c r="B36" s="654" t="s">
        <v>666</v>
      </c>
      <c r="C36" s="655"/>
      <c r="D36" s="656"/>
      <c r="E36" s="267" t="s">
        <v>668</v>
      </c>
      <c r="F36" s="268">
        <v>6</v>
      </c>
      <c r="G36" s="654" t="s">
        <v>669</v>
      </c>
      <c r="H36" s="655"/>
      <c r="I36" s="655"/>
      <c r="J36" s="656"/>
      <c r="K36" s="269"/>
      <c r="L36" s="269"/>
      <c r="M36" s="269"/>
      <c r="N36" s="548"/>
      <c r="O36" s="547" t="s">
        <v>174</v>
      </c>
      <c r="P36" s="654" t="s">
        <v>666</v>
      </c>
      <c r="Q36" s="655"/>
      <c r="R36" s="656"/>
      <c r="S36" s="297">
        <v>12</v>
      </c>
      <c r="T36" s="479">
        <f t="shared" si="0"/>
        <v>0</v>
      </c>
      <c r="U36" s="480">
        <f t="shared" si="1"/>
        <v>0</v>
      </c>
    </row>
    <row r="37" spans="1:21" ht="21" customHeight="1">
      <c r="A37" s="266">
        <v>30</v>
      </c>
      <c r="B37" s="654" t="s">
        <v>666</v>
      </c>
      <c r="C37" s="655"/>
      <c r="D37" s="656"/>
      <c r="E37" s="267" t="s">
        <v>668</v>
      </c>
      <c r="F37" s="268">
        <v>6</v>
      </c>
      <c r="G37" s="654" t="s">
        <v>669</v>
      </c>
      <c r="H37" s="655"/>
      <c r="I37" s="655"/>
      <c r="J37" s="656"/>
      <c r="K37" s="269"/>
      <c r="L37" s="269"/>
      <c r="M37" s="269"/>
      <c r="N37" s="548"/>
      <c r="O37" s="547" t="s">
        <v>174</v>
      </c>
      <c r="P37" s="654" t="s">
        <v>666</v>
      </c>
      <c r="Q37" s="655"/>
      <c r="R37" s="656"/>
      <c r="S37" s="297">
        <v>12</v>
      </c>
      <c r="T37" s="479">
        <f t="shared" si="0"/>
        <v>0</v>
      </c>
      <c r="U37" s="480">
        <f t="shared" si="1"/>
        <v>0</v>
      </c>
    </row>
    <row r="38" spans="1:21" ht="21" customHeight="1">
      <c r="A38" s="266">
        <v>31</v>
      </c>
      <c r="B38" s="654"/>
      <c r="C38" s="655"/>
      <c r="D38" s="656"/>
      <c r="E38" s="267"/>
      <c r="F38" s="268"/>
      <c r="G38" s="654"/>
      <c r="H38" s="655"/>
      <c r="I38" s="655"/>
      <c r="J38" s="656"/>
      <c r="K38" s="269"/>
      <c r="L38" s="269"/>
      <c r="M38" s="269"/>
      <c r="N38" s="548"/>
      <c r="O38" s="368"/>
      <c r="P38" s="654"/>
      <c r="Q38" s="655"/>
      <c r="R38" s="656"/>
      <c r="S38" s="297"/>
      <c r="T38" s="479">
        <f t="shared" ref="T38:T47" si="2">IF(K38="○",S38*$P$4,0)</f>
        <v>0</v>
      </c>
      <c r="U38" s="480">
        <f t="shared" si="1"/>
        <v>0</v>
      </c>
    </row>
    <row r="39" spans="1:21" ht="21" customHeight="1">
      <c r="A39" s="266">
        <v>32</v>
      </c>
      <c r="B39" s="654"/>
      <c r="C39" s="655"/>
      <c r="D39" s="656"/>
      <c r="E39" s="267"/>
      <c r="F39" s="268"/>
      <c r="G39" s="654"/>
      <c r="H39" s="655"/>
      <c r="I39" s="655"/>
      <c r="J39" s="656"/>
      <c r="K39" s="269"/>
      <c r="L39" s="269"/>
      <c r="M39" s="269"/>
      <c r="N39" s="548"/>
      <c r="O39" s="368"/>
      <c r="P39" s="654"/>
      <c r="Q39" s="655"/>
      <c r="R39" s="656"/>
      <c r="S39" s="297"/>
      <c r="T39" s="479">
        <f t="shared" si="2"/>
        <v>0</v>
      </c>
      <c r="U39" s="480">
        <f t="shared" si="1"/>
        <v>0</v>
      </c>
    </row>
    <row r="40" spans="1:21" ht="21" customHeight="1">
      <c r="A40" s="266">
        <v>33</v>
      </c>
      <c r="B40" s="654"/>
      <c r="C40" s="655"/>
      <c r="D40" s="656"/>
      <c r="E40" s="267"/>
      <c r="F40" s="268"/>
      <c r="G40" s="654"/>
      <c r="H40" s="655"/>
      <c r="I40" s="655"/>
      <c r="J40" s="656"/>
      <c r="K40" s="269"/>
      <c r="L40" s="269"/>
      <c r="M40" s="269"/>
      <c r="N40" s="548"/>
      <c r="O40" s="368"/>
      <c r="P40" s="654"/>
      <c r="Q40" s="655"/>
      <c r="R40" s="656"/>
      <c r="S40" s="297"/>
      <c r="T40" s="479">
        <f t="shared" si="2"/>
        <v>0</v>
      </c>
      <c r="U40" s="480">
        <f t="shared" si="1"/>
        <v>0</v>
      </c>
    </row>
    <row r="41" spans="1:21" ht="21" customHeight="1">
      <c r="A41" s="266">
        <v>34</v>
      </c>
      <c r="B41" s="654"/>
      <c r="C41" s="655"/>
      <c r="D41" s="656"/>
      <c r="E41" s="267"/>
      <c r="F41" s="268"/>
      <c r="G41" s="654"/>
      <c r="H41" s="655"/>
      <c r="I41" s="655"/>
      <c r="J41" s="656"/>
      <c r="K41" s="269"/>
      <c r="L41" s="269"/>
      <c r="M41" s="269"/>
      <c r="N41" s="548"/>
      <c r="O41" s="368"/>
      <c r="P41" s="654"/>
      <c r="Q41" s="655"/>
      <c r="R41" s="656"/>
      <c r="S41" s="297"/>
      <c r="T41" s="479">
        <f t="shared" si="2"/>
        <v>0</v>
      </c>
      <c r="U41" s="480">
        <f t="shared" si="1"/>
        <v>0</v>
      </c>
    </row>
    <row r="42" spans="1:21" ht="21" customHeight="1">
      <c r="A42" s="266">
        <v>35</v>
      </c>
      <c r="B42" s="654"/>
      <c r="C42" s="655"/>
      <c r="D42" s="656"/>
      <c r="E42" s="267"/>
      <c r="F42" s="268"/>
      <c r="G42" s="654"/>
      <c r="H42" s="655"/>
      <c r="I42" s="655"/>
      <c r="J42" s="656"/>
      <c r="K42" s="269"/>
      <c r="L42" s="269"/>
      <c r="M42" s="269"/>
      <c r="N42" s="548"/>
      <c r="O42" s="368"/>
      <c r="P42" s="654"/>
      <c r="Q42" s="655"/>
      <c r="R42" s="656"/>
      <c r="S42" s="297"/>
      <c r="T42" s="479">
        <f t="shared" si="2"/>
        <v>0</v>
      </c>
      <c r="U42" s="480">
        <f t="shared" si="1"/>
        <v>0</v>
      </c>
    </row>
    <row r="43" spans="1:21" ht="21" customHeight="1">
      <c r="A43" s="266">
        <v>36</v>
      </c>
      <c r="B43" s="654"/>
      <c r="C43" s="655"/>
      <c r="D43" s="656"/>
      <c r="E43" s="267"/>
      <c r="F43" s="268"/>
      <c r="G43" s="654"/>
      <c r="H43" s="655"/>
      <c r="I43" s="655"/>
      <c r="J43" s="656"/>
      <c r="K43" s="269"/>
      <c r="L43" s="269"/>
      <c r="M43" s="269"/>
      <c r="N43" s="548"/>
      <c r="O43" s="368"/>
      <c r="P43" s="654"/>
      <c r="Q43" s="655"/>
      <c r="R43" s="656"/>
      <c r="S43" s="297"/>
      <c r="T43" s="479">
        <f t="shared" si="2"/>
        <v>0</v>
      </c>
      <c r="U43" s="480">
        <f t="shared" si="1"/>
        <v>0</v>
      </c>
    </row>
    <row r="44" spans="1:21" ht="21" customHeight="1">
      <c r="A44" s="266">
        <v>37</v>
      </c>
      <c r="B44" s="654"/>
      <c r="C44" s="655"/>
      <c r="D44" s="656"/>
      <c r="E44" s="267"/>
      <c r="F44" s="268"/>
      <c r="G44" s="654"/>
      <c r="H44" s="655"/>
      <c r="I44" s="655"/>
      <c r="J44" s="656"/>
      <c r="K44" s="269"/>
      <c r="L44" s="269"/>
      <c r="M44" s="269"/>
      <c r="N44" s="548"/>
      <c r="O44" s="368"/>
      <c r="P44" s="654"/>
      <c r="Q44" s="655"/>
      <c r="R44" s="656"/>
      <c r="S44" s="297"/>
      <c r="T44" s="479">
        <f t="shared" si="2"/>
        <v>0</v>
      </c>
      <c r="U44" s="480">
        <f t="shared" si="1"/>
        <v>0</v>
      </c>
    </row>
    <row r="45" spans="1:21" ht="21" customHeight="1">
      <c r="A45" s="266">
        <v>38</v>
      </c>
      <c r="B45" s="654"/>
      <c r="C45" s="655"/>
      <c r="D45" s="656"/>
      <c r="E45" s="267"/>
      <c r="F45" s="268"/>
      <c r="G45" s="654"/>
      <c r="H45" s="655"/>
      <c r="I45" s="655"/>
      <c r="J45" s="656"/>
      <c r="K45" s="269"/>
      <c r="L45" s="269"/>
      <c r="M45" s="269"/>
      <c r="N45" s="548"/>
      <c r="O45" s="368"/>
      <c r="P45" s="654"/>
      <c r="Q45" s="655"/>
      <c r="R45" s="656"/>
      <c r="S45" s="297"/>
      <c r="T45" s="479">
        <f t="shared" si="2"/>
        <v>0</v>
      </c>
      <c r="U45" s="480">
        <f t="shared" si="1"/>
        <v>0</v>
      </c>
    </row>
    <row r="46" spans="1:21" ht="21" customHeight="1">
      <c r="A46" s="266">
        <v>39</v>
      </c>
      <c r="B46" s="654"/>
      <c r="C46" s="655"/>
      <c r="D46" s="656"/>
      <c r="E46" s="267"/>
      <c r="F46" s="268"/>
      <c r="G46" s="654"/>
      <c r="H46" s="655"/>
      <c r="I46" s="655"/>
      <c r="J46" s="656"/>
      <c r="K46" s="269"/>
      <c r="L46" s="269"/>
      <c r="M46" s="269"/>
      <c r="N46" s="548"/>
      <c r="O46" s="368"/>
      <c r="P46" s="654"/>
      <c r="Q46" s="655"/>
      <c r="R46" s="656"/>
      <c r="S46" s="297"/>
      <c r="T46" s="479">
        <f t="shared" si="2"/>
        <v>0</v>
      </c>
      <c r="U46" s="480">
        <f t="shared" ref="U46:U53" si="3">IF(L46="○",S46*$P$5,0)</f>
        <v>0</v>
      </c>
    </row>
    <row r="47" spans="1:21" ht="21" customHeight="1">
      <c r="A47" s="266">
        <v>40</v>
      </c>
      <c r="B47" s="654"/>
      <c r="C47" s="655"/>
      <c r="D47" s="656"/>
      <c r="E47" s="267"/>
      <c r="F47" s="268"/>
      <c r="G47" s="654"/>
      <c r="H47" s="655"/>
      <c r="I47" s="655"/>
      <c r="J47" s="656"/>
      <c r="K47" s="269"/>
      <c r="L47" s="269"/>
      <c r="M47" s="269"/>
      <c r="N47" s="548"/>
      <c r="O47" s="368"/>
      <c r="P47" s="654"/>
      <c r="Q47" s="655"/>
      <c r="R47" s="656"/>
      <c r="S47" s="297"/>
      <c r="T47" s="479">
        <f t="shared" si="2"/>
        <v>0</v>
      </c>
      <c r="U47" s="480">
        <f t="shared" si="3"/>
        <v>0</v>
      </c>
    </row>
    <row r="48" spans="1:21" ht="21" customHeight="1">
      <c r="A48" s="266">
        <v>41</v>
      </c>
      <c r="B48" s="654"/>
      <c r="C48" s="655"/>
      <c r="D48" s="656"/>
      <c r="E48" s="267"/>
      <c r="F48" s="268"/>
      <c r="G48" s="654"/>
      <c r="H48" s="655"/>
      <c r="I48" s="655"/>
      <c r="J48" s="656"/>
      <c r="K48" s="269"/>
      <c r="L48" s="269"/>
      <c r="M48" s="269"/>
      <c r="N48" s="548"/>
      <c r="O48" s="368"/>
      <c r="P48" s="654"/>
      <c r="Q48" s="655"/>
      <c r="R48" s="656"/>
      <c r="S48" s="297"/>
      <c r="T48" s="479">
        <f t="shared" si="0"/>
        <v>0</v>
      </c>
      <c r="U48" s="480">
        <f t="shared" si="3"/>
        <v>0</v>
      </c>
    </row>
    <row r="49" spans="1:21" ht="21" customHeight="1">
      <c r="A49" s="266">
        <v>42</v>
      </c>
      <c r="B49" s="654"/>
      <c r="C49" s="655"/>
      <c r="D49" s="656"/>
      <c r="E49" s="267"/>
      <c r="F49" s="268"/>
      <c r="G49" s="654"/>
      <c r="H49" s="655"/>
      <c r="I49" s="655"/>
      <c r="J49" s="656"/>
      <c r="K49" s="269"/>
      <c r="L49" s="269"/>
      <c r="M49" s="269"/>
      <c r="N49" s="548"/>
      <c r="O49" s="368"/>
      <c r="P49" s="654"/>
      <c r="Q49" s="655"/>
      <c r="R49" s="656"/>
      <c r="S49" s="297"/>
      <c r="T49" s="479">
        <f t="shared" si="0"/>
        <v>0</v>
      </c>
      <c r="U49" s="480">
        <f t="shared" si="3"/>
        <v>0</v>
      </c>
    </row>
    <row r="50" spans="1:21" ht="21" customHeight="1">
      <c r="A50" s="266">
        <v>43</v>
      </c>
      <c r="B50" s="654"/>
      <c r="C50" s="655"/>
      <c r="D50" s="656"/>
      <c r="E50" s="267"/>
      <c r="F50" s="268"/>
      <c r="G50" s="654"/>
      <c r="H50" s="655"/>
      <c r="I50" s="655"/>
      <c r="J50" s="656"/>
      <c r="K50" s="269"/>
      <c r="L50" s="269"/>
      <c r="M50" s="269"/>
      <c r="N50" s="548"/>
      <c r="O50" s="368"/>
      <c r="P50" s="654"/>
      <c r="Q50" s="655"/>
      <c r="R50" s="656"/>
      <c r="S50" s="297"/>
      <c r="T50" s="479">
        <f t="shared" si="0"/>
        <v>0</v>
      </c>
      <c r="U50" s="480">
        <f t="shared" si="3"/>
        <v>0</v>
      </c>
    </row>
    <row r="51" spans="1:21" ht="21" customHeight="1">
      <c r="A51" s="266">
        <v>44</v>
      </c>
      <c r="B51" s="654"/>
      <c r="C51" s="655"/>
      <c r="D51" s="656"/>
      <c r="E51" s="267"/>
      <c r="F51" s="268"/>
      <c r="G51" s="654"/>
      <c r="H51" s="655"/>
      <c r="I51" s="655"/>
      <c r="J51" s="656"/>
      <c r="K51" s="269"/>
      <c r="L51" s="269"/>
      <c r="M51" s="269"/>
      <c r="N51" s="548"/>
      <c r="O51" s="368"/>
      <c r="P51" s="654"/>
      <c r="Q51" s="655"/>
      <c r="R51" s="656"/>
      <c r="S51" s="297"/>
      <c r="T51" s="479">
        <f t="shared" si="0"/>
        <v>0</v>
      </c>
      <c r="U51" s="480">
        <f t="shared" si="3"/>
        <v>0</v>
      </c>
    </row>
    <row r="52" spans="1:21" ht="21" customHeight="1">
      <c r="A52" s="266">
        <v>45</v>
      </c>
      <c r="B52" s="473"/>
      <c r="C52" s="474"/>
      <c r="D52" s="475"/>
      <c r="E52" s="267"/>
      <c r="F52" s="268"/>
      <c r="G52" s="473"/>
      <c r="H52" s="474"/>
      <c r="I52" s="474"/>
      <c r="J52" s="475"/>
      <c r="K52" s="269"/>
      <c r="L52" s="269"/>
      <c r="M52" s="269"/>
      <c r="N52" s="548"/>
      <c r="O52" s="473"/>
      <c r="P52" s="473"/>
      <c r="Q52" s="474"/>
      <c r="R52" s="475"/>
      <c r="S52" s="297"/>
      <c r="T52" s="479">
        <f t="shared" si="0"/>
        <v>0</v>
      </c>
      <c r="U52" s="480">
        <f t="shared" si="3"/>
        <v>0</v>
      </c>
    </row>
    <row r="53" spans="1:21" ht="21" customHeight="1">
      <c r="A53" s="266">
        <v>46</v>
      </c>
      <c r="B53" s="473"/>
      <c r="C53" s="474"/>
      <c r="D53" s="475"/>
      <c r="E53" s="267"/>
      <c r="F53" s="268"/>
      <c r="G53" s="473"/>
      <c r="H53" s="474"/>
      <c r="I53" s="474"/>
      <c r="J53" s="475"/>
      <c r="K53" s="269"/>
      <c r="L53" s="269"/>
      <c r="M53" s="269"/>
      <c r="N53" s="548"/>
      <c r="O53" s="473"/>
      <c r="P53" s="473"/>
      <c r="Q53" s="474"/>
      <c r="R53" s="475"/>
      <c r="S53" s="297"/>
      <c r="T53" s="479">
        <f t="shared" si="0"/>
        <v>0</v>
      </c>
      <c r="U53" s="480">
        <f t="shared" si="3"/>
        <v>0</v>
      </c>
    </row>
    <row r="54" spans="1:21" ht="21" customHeight="1">
      <c r="A54" s="266">
        <v>47</v>
      </c>
      <c r="B54" s="473"/>
      <c r="C54" s="474"/>
      <c r="D54" s="475"/>
      <c r="E54" s="267"/>
      <c r="F54" s="268"/>
      <c r="G54" s="473"/>
      <c r="H54" s="474"/>
      <c r="I54" s="474"/>
      <c r="J54" s="475"/>
      <c r="K54" s="269"/>
      <c r="L54" s="269"/>
      <c r="M54" s="269"/>
      <c r="N54" s="548"/>
      <c r="O54" s="473"/>
      <c r="P54" s="473"/>
      <c r="Q54" s="474"/>
      <c r="R54" s="475"/>
      <c r="S54" s="297"/>
      <c r="T54" s="479">
        <f t="shared" si="0"/>
        <v>0</v>
      </c>
      <c r="U54" s="480">
        <f t="shared" si="1"/>
        <v>0</v>
      </c>
    </row>
    <row r="55" spans="1:21" ht="21" customHeight="1">
      <c r="A55" s="266">
        <v>48</v>
      </c>
      <c r="B55" s="473"/>
      <c r="C55" s="474"/>
      <c r="D55" s="475"/>
      <c r="E55" s="267"/>
      <c r="F55" s="268"/>
      <c r="G55" s="473"/>
      <c r="H55" s="474"/>
      <c r="I55" s="474"/>
      <c r="J55" s="475"/>
      <c r="K55" s="269"/>
      <c r="L55" s="269"/>
      <c r="M55" s="269"/>
      <c r="N55" s="548"/>
      <c r="O55" s="473"/>
      <c r="P55" s="473"/>
      <c r="Q55" s="474"/>
      <c r="R55" s="475"/>
      <c r="S55" s="297"/>
      <c r="T55" s="479">
        <f t="shared" si="0"/>
        <v>0</v>
      </c>
      <c r="U55" s="480">
        <f t="shared" si="1"/>
        <v>0</v>
      </c>
    </row>
    <row r="56" spans="1:21" ht="21" customHeight="1">
      <c r="A56" s="266">
        <v>49</v>
      </c>
      <c r="B56" s="473"/>
      <c r="C56" s="474"/>
      <c r="D56" s="475"/>
      <c r="E56" s="267"/>
      <c r="F56" s="268"/>
      <c r="G56" s="473"/>
      <c r="H56" s="474"/>
      <c r="I56" s="474"/>
      <c r="J56" s="475"/>
      <c r="K56" s="269"/>
      <c r="L56" s="269"/>
      <c r="M56" s="269"/>
      <c r="N56" s="548"/>
      <c r="O56" s="473"/>
      <c r="P56" s="473"/>
      <c r="Q56" s="474"/>
      <c r="R56" s="475"/>
      <c r="S56" s="297"/>
      <c r="T56" s="479">
        <f t="shared" si="0"/>
        <v>0</v>
      </c>
      <c r="U56" s="480">
        <f t="shared" si="1"/>
        <v>0</v>
      </c>
    </row>
    <row r="57" spans="1:21" ht="21" customHeight="1">
      <c r="A57" s="266">
        <v>50</v>
      </c>
      <c r="B57" s="473"/>
      <c r="C57" s="474"/>
      <c r="D57" s="475"/>
      <c r="E57" s="267"/>
      <c r="F57" s="268"/>
      <c r="G57" s="473"/>
      <c r="H57" s="474"/>
      <c r="I57" s="474"/>
      <c r="J57" s="475"/>
      <c r="K57" s="269"/>
      <c r="L57" s="269"/>
      <c r="M57" s="269"/>
      <c r="N57" s="548"/>
      <c r="O57" s="473"/>
      <c r="P57" s="473"/>
      <c r="Q57" s="474"/>
      <c r="R57" s="475"/>
      <c r="S57" s="297"/>
      <c r="T57" s="479">
        <f t="shared" si="0"/>
        <v>0</v>
      </c>
      <c r="U57" s="480">
        <f t="shared" si="1"/>
        <v>0</v>
      </c>
    </row>
    <row r="58" spans="1:21" ht="21" customHeight="1">
      <c r="A58" s="266">
        <v>51</v>
      </c>
      <c r="B58" s="473"/>
      <c r="C58" s="474"/>
      <c r="D58" s="475"/>
      <c r="E58" s="267"/>
      <c r="F58" s="268"/>
      <c r="G58" s="473"/>
      <c r="H58" s="474"/>
      <c r="I58" s="474"/>
      <c r="J58" s="475"/>
      <c r="K58" s="269"/>
      <c r="L58" s="269"/>
      <c r="M58" s="269"/>
      <c r="N58" s="548"/>
      <c r="O58" s="473"/>
      <c r="P58" s="473"/>
      <c r="Q58" s="474"/>
      <c r="R58" s="475"/>
      <c r="S58" s="297"/>
      <c r="T58" s="479">
        <f t="shared" si="0"/>
        <v>0</v>
      </c>
      <c r="U58" s="480">
        <f t="shared" si="1"/>
        <v>0</v>
      </c>
    </row>
    <row r="59" spans="1:21" ht="21" customHeight="1">
      <c r="A59" s="266">
        <v>52</v>
      </c>
      <c r="B59" s="473"/>
      <c r="C59" s="474"/>
      <c r="D59" s="475"/>
      <c r="E59" s="267"/>
      <c r="F59" s="268"/>
      <c r="G59" s="473"/>
      <c r="H59" s="474"/>
      <c r="I59" s="474"/>
      <c r="J59" s="475"/>
      <c r="K59" s="269"/>
      <c r="L59" s="269"/>
      <c r="M59" s="269"/>
      <c r="N59" s="548"/>
      <c r="O59" s="473"/>
      <c r="P59" s="473"/>
      <c r="Q59" s="474"/>
      <c r="R59" s="475"/>
      <c r="S59" s="297"/>
      <c r="T59" s="479">
        <f t="shared" si="0"/>
        <v>0</v>
      </c>
      <c r="U59" s="480">
        <f t="shared" si="1"/>
        <v>0</v>
      </c>
    </row>
    <row r="60" spans="1:21" ht="21" customHeight="1">
      <c r="A60" s="266">
        <v>53</v>
      </c>
      <c r="B60" s="473"/>
      <c r="C60" s="474"/>
      <c r="D60" s="475"/>
      <c r="E60" s="267"/>
      <c r="F60" s="268"/>
      <c r="G60" s="473"/>
      <c r="H60" s="474"/>
      <c r="I60" s="474"/>
      <c r="J60" s="475"/>
      <c r="K60" s="269"/>
      <c r="L60" s="269"/>
      <c r="M60" s="269"/>
      <c r="N60" s="548"/>
      <c r="O60" s="473"/>
      <c r="P60" s="473"/>
      <c r="Q60" s="474"/>
      <c r="R60" s="475"/>
      <c r="S60" s="297"/>
      <c r="T60" s="479">
        <f t="shared" si="0"/>
        <v>0</v>
      </c>
      <c r="U60" s="480">
        <f t="shared" si="1"/>
        <v>0</v>
      </c>
    </row>
    <row r="61" spans="1:21" ht="21" customHeight="1">
      <c r="A61" s="266">
        <v>54</v>
      </c>
      <c r="B61" s="473"/>
      <c r="C61" s="474"/>
      <c r="D61" s="475"/>
      <c r="E61" s="267"/>
      <c r="F61" s="268"/>
      <c r="G61" s="473"/>
      <c r="H61" s="474"/>
      <c r="I61" s="474"/>
      <c r="J61" s="475"/>
      <c r="K61" s="269"/>
      <c r="L61" s="269"/>
      <c r="M61" s="269"/>
      <c r="N61" s="548"/>
      <c r="O61" s="473"/>
      <c r="P61" s="473"/>
      <c r="Q61" s="474"/>
      <c r="R61" s="475"/>
      <c r="S61" s="297"/>
      <c r="T61" s="479">
        <f t="shared" si="0"/>
        <v>0</v>
      </c>
      <c r="U61" s="480">
        <f t="shared" si="1"/>
        <v>0</v>
      </c>
    </row>
    <row r="62" spans="1:21" ht="21" customHeight="1">
      <c r="A62" s="266">
        <v>55</v>
      </c>
      <c r="B62" s="473"/>
      <c r="C62" s="474"/>
      <c r="D62" s="475"/>
      <c r="E62" s="267"/>
      <c r="F62" s="268"/>
      <c r="G62" s="473"/>
      <c r="H62" s="474"/>
      <c r="I62" s="474"/>
      <c r="J62" s="475"/>
      <c r="K62" s="269"/>
      <c r="L62" s="269"/>
      <c r="M62" s="269"/>
      <c r="N62" s="548"/>
      <c r="O62" s="473"/>
      <c r="P62" s="473"/>
      <c r="Q62" s="474"/>
      <c r="R62" s="475"/>
      <c r="S62" s="297"/>
      <c r="T62" s="479">
        <f t="shared" si="0"/>
        <v>0</v>
      </c>
      <c r="U62" s="480">
        <f t="shared" si="1"/>
        <v>0</v>
      </c>
    </row>
    <row r="63" spans="1:21" ht="21" customHeight="1">
      <c r="A63" s="266">
        <v>56</v>
      </c>
      <c r="B63" s="473"/>
      <c r="C63" s="474"/>
      <c r="D63" s="475"/>
      <c r="E63" s="267"/>
      <c r="F63" s="268"/>
      <c r="G63" s="473"/>
      <c r="H63" s="474"/>
      <c r="I63" s="474"/>
      <c r="J63" s="475"/>
      <c r="K63" s="269"/>
      <c r="L63" s="269"/>
      <c r="M63" s="269"/>
      <c r="N63" s="548"/>
      <c r="O63" s="473"/>
      <c r="P63" s="473"/>
      <c r="Q63" s="474"/>
      <c r="R63" s="475"/>
      <c r="S63" s="297"/>
      <c r="T63" s="479">
        <f t="shared" si="0"/>
        <v>0</v>
      </c>
      <c r="U63" s="480">
        <f t="shared" si="1"/>
        <v>0</v>
      </c>
    </row>
    <row r="64" spans="1:21" ht="21" customHeight="1">
      <c r="A64" s="266">
        <v>57</v>
      </c>
      <c r="B64" s="473"/>
      <c r="C64" s="474"/>
      <c r="D64" s="475"/>
      <c r="E64" s="267"/>
      <c r="F64" s="268"/>
      <c r="G64" s="473"/>
      <c r="H64" s="474"/>
      <c r="I64" s="474"/>
      <c r="J64" s="475"/>
      <c r="K64" s="269"/>
      <c r="L64" s="269"/>
      <c r="M64" s="269"/>
      <c r="N64" s="548"/>
      <c r="O64" s="473"/>
      <c r="P64" s="473"/>
      <c r="Q64" s="474"/>
      <c r="R64" s="475"/>
      <c r="S64" s="297"/>
      <c r="T64" s="479">
        <f t="shared" si="0"/>
        <v>0</v>
      </c>
      <c r="U64" s="480">
        <f t="shared" si="1"/>
        <v>0</v>
      </c>
    </row>
    <row r="65" spans="1:21" ht="21" customHeight="1">
      <c r="A65" s="266">
        <v>58</v>
      </c>
      <c r="B65" s="473"/>
      <c r="C65" s="474"/>
      <c r="D65" s="475"/>
      <c r="E65" s="267"/>
      <c r="F65" s="268"/>
      <c r="G65" s="473"/>
      <c r="H65" s="474"/>
      <c r="I65" s="474"/>
      <c r="J65" s="475"/>
      <c r="K65" s="269"/>
      <c r="L65" s="269"/>
      <c r="M65" s="269"/>
      <c r="N65" s="548"/>
      <c r="O65" s="473"/>
      <c r="P65" s="473"/>
      <c r="Q65" s="474"/>
      <c r="R65" s="475"/>
      <c r="S65" s="297"/>
      <c r="T65" s="479">
        <f t="shared" si="0"/>
        <v>0</v>
      </c>
      <c r="U65" s="480">
        <f t="shared" si="1"/>
        <v>0</v>
      </c>
    </row>
    <row r="66" spans="1:21" ht="21" customHeight="1">
      <c r="A66" s="266">
        <v>59</v>
      </c>
      <c r="B66" s="473"/>
      <c r="C66" s="474"/>
      <c r="D66" s="475"/>
      <c r="E66" s="267"/>
      <c r="F66" s="268"/>
      <c r="G66" s="473"/>
      <c r="H66" s="474"/>
      <c r="I66" s="474"/>
      <c r="J66" s="475"/>
      <c r="K66" s="269"/>
      <c r="L66" s="269"/>
      <c r="M66" s="269"/>
      <c r="N66" s="548"/>
      <c r="O66" s="473"/>
      <c r="P66" s="473"/>
      <c r="Q66" s="474"/>
      <c r="R66" s="475"/>
      <c r="S66" s="297"/>
      <c r="T66" s="479">
        <f t="shared" si="0"/>
        <v>0</v>
      </c>
      <c r="U66" s="480">
        <f t="shared" si="1"/>
        <v>0</v>
      </c>
    </row>
    <row r="67" spans="1:21" ht="21" customHeight="1">
      <c r="A67" s="266">
        <v>60</v>
      </c>
      <c r="B67" s="473"/>
      <c r="C67" s="474"/>
      <c r="D67" s="475"/>
      <c r="E67" s="267"/>
      <c r="F67" s="268"/>
      <c r="G67" s="473"/>
      <c r="H67" s="474"/>
      <c r="I67" s="474"/>
      <c r="J67" s="475"/>
      <c r="K67" s="269"/>
      <c r="L67" s="269"/>
      <c r="M67" s="269"/>
      <c r="N67" s="548"/>
      <c r="O67" s="473"/>
      <c r="P67" s="473"/>
      <c r="Q67" s="474"/>
      <c r="R67" s="475"/>
      <c r="S67" s="297"/>
      <c r="T67" s="479">
        <f t="shared" si="0"/>
        <v>0</v>
      </c>
      <c r="U67" s="480">
        <f t="shared" si="1"/>
        <v>0</v>
      </c>
    </row>
    <row r="68" spans="1:21" ht="21" customHeight="1">
      <c r="A68" s="266">
        <v>61</v>
      </c>
      <c r="B68" s="473"/>
      <c r="C68" s="474"/>
      <c r="D68" s="475"/>
      <c r="E68" s="267"/>
      <c r="F68" s="268"/>
      <c r="G68" s="473"/>
      <c r="H68" s="474"/>
      <c r="I68" s="474"/>
      <c r="J68" s="475"/>
      <c r="K68" s="269"/>
      <c r="L68" s="269"/>
      <c r="M68" s="269"/>
      <c r="N68" s="548"/>
      <c r="O68" s="473"/>
      <c r="P68" s="473"/>
      <c r="Q68" s="474"/>
      <c r="R68" s="475"/>
      <c r="S68" s="297"/>
      <c r="T68" s="479">
        <f t="shared" si="0"/>
        <v>0</v>
      </c>
      <c r="U68" s="480">
        <f t="shared" si="1"/>
        <v>0</v>
      </c>
    </row>
    <row r="69" spans="1:21" ht="21" customHeight="1">
      <c r="A69" s="266">
        <v>62</v>
      </c>
      <c r="B69" s="654"/>
      <c r="C69" s="655"/>
      <c r="D69" s="656"/>
      <c r="E69" s="267"/>
      <c r="F69" s="268"/>
      <c r="G69" s="654"/>
      <c r="H69" s="655"/>
      <c r="I69" s="655"/>
      <c r="J69" s="656"/>
      <c r="K69" s="269"/>
      <c r="L69" s="269"/>
      <c r="M69" s="269"/>
      <c r="N69" s="548"/>
      <c r="O69" s="368"/>
      <c r="P69" s="654"/>
      <c r="Q69" s="655"/>
      <c r="R69" s="656"/>
      <c r="S69" s="297"/>
      <c r="T69" s="479">
        <f t="shared" si="0"/>
        <v>0</v>
      </c>
      <c r="U69" s="480">
        <f t="shared" si="1"/>
        <v>0</v>
      </c>
    </row>
    <row r="70" spans="1:21" ht="21" customHeight="1">
      <c r="A70" s="266">
        <v>63</v>
      </c>
      <c r="B70" s="654"/>
      <c r="C70" s="655"/>
      <c r="D70" s="656"/>
      <c r="E70" s="267"/>
      <c r="F70" s="268"/>
      <c r="G70" s="654"/>
      <c r="H70" s="655"/>
      <c r="I70" s="655"/>
      <c r="J70" s="656"/>
      <c r="K70" s="269"/>
      <c r="L70" s="269"/>
      <c r="M70" s="269"/>
      <c r="N70" s="548"/>
      <c r="O70" s="368"/>
      <c r="P70" s="654"/>
      <c r="Q70" s="655"/>
      <c r="R70" s="656"/>
      <c r="S70" s="297"/>
      <c r="T70" s="479">
        <f t="shared" si="0"/>
        <v>0</v>
      </c>
      <c r="U70" s="480">
        <f t="shared" si="1"/>
        <v>0</v>
      </c>
    </row>
    <row r="71" spans="1:21" ht="21" customHeight="1">
      <c r="A71" s="266">
        <v>64</v>
      </c>
      <c r="B71" s="654"/>
      <c r="C71" s="655"/>
      <c r="D71" s="656"/>
      <c r="E71" s="267"/>
      <c r="F71" s="268"/>
      <c r="G71" s="654"/>
      <c r="H71" s="655"/>
      <c r="I71" s="655"/>
      <c r="J71" s="656"/>
      <c r="K71" s="269"/>
      <c r="L71" s="269"/>
      <c r="M71" s="269"/>
      <c r="N71" s="548"/>
      <c r="O71" s="368"/>
      <c r="P71" s="654"/>
      <c r="Q71" s="655"/>
      <c r="R71" s="656"/>
      <c r="S71" s="297"/>
      <c r="T71" s="479">
        <f t="shared" si="0"/>
        <v>0</v>
      </c>
      <c r="U71" s="480">
        <f t="shared" si="1"/>
        <v>0</v>
      </c>
    </row>
    <row r="72" spans="1:21" ht="21" customHeight="1" thickBot="1">
      <c r="A72" s="266">
        <v>65</v>
      </c>
      <c r="B72" s="654"/>
      <c r="C72" s="655"/>
      <c r="D72" s="656"/>
      <c r="E72" s="267"/>
      <c r="F72" s="268"/>
      <c r="G72" s="654"/>
      <c r="H72" s="655"/>
      <c r="I72" s="655"/>
      <c r="J72" s="656"/>
      <c r="K72" s="269"/>
      <c r="L72" s="269"/>
      <c r="M72" s="269"/>
      <c r="N72" s="548"/>
      <c r="O72" s="368"/>
      <c r="P72" s="654"/>
      <c r="Q72" s="655"/>
      <c r="R72" s="656"/>
      <c r="S72" s="297"/>
      <c r="T72" s="479">
        <f>IF(K72="○",S72*$P$4,0)</f>
        <v>0</v>
      </c>
      <c r="U72" s="480">
        <f>IF(L72="○",S72*$P$5,0)</f>
        <v>0</v>
      </c>
    </row>
    <row r="73" spans="1:21" ht="21" customHeight="1" thickBot="1">
      <c r="A73" s="650" t="s">
        <v>416</v>
      </c>
      <c r="B73" s="650"/>
      <c r="C73" s="650"/>
      <c r="D73" s="650"/>
      <c r="E73" s="266"/>
      <c r="F73" s="266"/>
      <c r="G73" s="651"/>
      <c r="H73" s="652"/>
      <c r="I73" s="652"/>
      <c r="J73" s="653"/>
      <c r="K73" s="266"/>
      <c r="L73" s="266"/>
      <c r="M73" s="266"/>
      <c r="N73" s="266"/>
      <c r="O73" s="266"/>
      <c r="P73" s="651"/>
      <c r="Q73" s="652"/>
      <c r="R73" s="652"/>
      <c r="S73" s="287">
        <f>SUM(S8:S72)</f>
        <v>350</v>
      </c>
      <c r="T73" s="273">
        <f>ROUNDDOWN(SUM(T8:T72),-3)</f>
        <v>180000</v>
      </c>
      <c r="U73" s="274">
        <f>ROUNDDOWN(SUM(U8:U72),-3)</f>
        <v>170000</v>
      </c>
    </row>
    <row r="74" spans="1:21" ht="21" customHeight="1">
      <c r="A74" s="250" t="s">
        <v>53</v>
      </c>
      <c r="B74" s="275"/>
      <c r="C74" s="275"/>
      <c r="D74" s="275"/>
      <c r="E74" s="275"/>
      <c r="F74" s="275"/>
      <c r="G74" s="275"/>
      <c r="H74" s="275"/>
      <c r="I74" s="275"/>
      <c r="J74" s="275"/>
      <c r="K74" s="275" t="s">
        <v>448</v>
      </c>
      <c r="L74" s="275" t="s">
        <v>450</v>
      </c>
      <c r="M74" s="275" t="s">
        <v>451</v>
      </c>
      <c r="N74" s="275" t="s">
        <v>452</v>
      </c>
      <c r="O74" s="275" t="s">
        <v>453</v>
      </c>
      <c r="P74" s="275" t="s">
        <v>455</v>
      </c>
      <c r="Q74" s="275"/>
      <c r="R74" s="275"/>
      <c r="S74" s="275"/>
    </row>
    <row r="75" spans="1:21" ht="21" customHeight="1">
      <c r="A75" s="275"/>
      <c r="B75" s="275"/>
      <c r="C75" s="275"/>
      <c r="D75" s="275"/>
      <c r="E75" s="275"/>
      <c r="F75" s="275"/>
      <c r="G75" s="275"/>
      <c r="H75" s="275"/>
      <c r="I75" s="275"/>
      <c r="J75" s="275" t="s">
        <v>449</v>
      </c>
      <c r="K75" s="275">
        <f>COUNTIF(O8:O72,"週５")</f>
        <v>26</v>
      </c>
      <c r="L75" s="275">
        <f>COUNTIF(O8:O72,"週４")</f>
        <v>2</v>
      </c>
      <c r="M75" s="275">
        <f>COUNTIF(O8:O72,"週３")</f>
        <v>0</v>
      </c>
      <c r="N75" s="275">
        <f>COUNTIF(O8:O72,"週２")</f>
        <v>2</v>
      </c>
      <c r="O75" s="275">
        <f>COUNTIF(O8:O72,"週１")</f>
        <v>0</v>
      </c>
      <c r="P75" s="275">
        <f>COUNTIF(M8:M72,"○")</f>
        <v>1</v>
      </c>
      <c r="Q75" s="275"/>
      <c r="R75" s="275"/>
      <c r="S75" s="275"/>
    </row>
    <row r="76" spans="1:21" ht="21" customHeight="1">
      <c r="A76" s="275"/>
      <c r="B76" s="275"/>
      <c r="C76" s="275"/>
      <c r="D76" s="275"/>
      <c r="E76" s="275"/>
      <c r="F76" s="275"/>
      <c r="G76" s="275"/>
      <c r="H76" s="275"/>
      <c r="I76" s="275"/>
      <c r="J76" s="275" t="s">
        <v>454</v>
      </c>
      <c r="K76" s="275">
        <f>SUMIF(O8:O72,"週５",S8:S72)</f>
        <v>306</v>
      </c>
      <c r="L76" s="275">
        <f>SUMIF(O8:O72,"週４",S8:S72)</f>
        <v>20</v>
      </c>
      <c r="M76" s="275">
        <f>SUMIF(O8:O72,"週３",S8:S72)</f>
        <v>0</v>
      </c>
      <c r="N76" s="275">
        <f>SUMIF(O8:O72,"週２",S8:S72)</f>
        <v>24</v>
      </c>
      <c r="O76" s="275">
        <f>SUMIF(O8:O72,"週１",S8:S72)</f>
        <v>0</v>
      </c>
      <c r="P76" s="275">
        <f>SUMIF(M8:M72,"○",S8:S72)</f>
        <v>12</v>
      </c>
      <c r="Q76" s="275"/>
      <c r="R76" s="275"/>
      <c r="S76" s="275"/>
    </row>
    <row r="77" spans="1:21" ht="21" customHeight="1">
      <c r="A77" s="275"/>
      <c r="B77" s="275"/>
      <c r="C77" s="275"/>
      <c r="D77" s="275"/>
      <c r="E77" s="275"/>
      <c r="F77" s="275"/>
      <c r="G77" s="275"/>
      <c r="H77" s="275"/>
      <c r="I77" s="275"/>
      <c r="J77" s="275"/>
      <c r="K77" s="275"/>
      <c r="L77" s="275"/>
      <c r="M77" s="275"/>
      <c r="N77" s="275"/>
      <c r="O77" s="275"/>
      <c r="P77" s="275"/>
      <c r="Q77" s="275"/>
      <c r="R77" s="275"/>
      <c r="S77" s="275"/>
    </row>
    <row r="78" spans="1:21" ht="21" customHeight="1">
      <c r="A78" s="275"/>
      <c r="B78" s="275"/>
      <c r="C78" s="275"/>
      <c r="D78" s="275"/>
      <c r="E78" s="275"/>
      <c r="F78" s="275"/>
      <c r="G78" s="275"/>
      <c r="H78" s="275"/>
      <c r="I78" s="275"/>
      <c r="J78" s="275"/>
      <c r="K78" s="275"/>
      <c r="L78" s="275"/>
      <c r="M78" s="275"/>
      <c r="N78" s="275"/>
      <c r="O78" s="275"/>
      <c r="P78" s="275"/>
      <c r="Q78" s="275"/>
      <c r="R78" s="275"/>
      <c r="S78" s="275"/>
    </row>
    <row r="79" spans="1:21" ht="21" customHeight="1">
      <c r="A79" s="275"/>
      <c r="B79" s="275"/>
      <c r="C79" s="275"/>
      <c r="D79" s="275"/>
      <c r="E79" s="275"/>
      <c r="F79" s="275"/>
      <c r="G79" s="275"/>
      <c r="H79" s="275"/>
      <c r="I79" s="275"/>
      <c r="J79" s="275"/>
      <c r="K79" s="275"/>
      <c r="L79" s="275"/>
      <c r="M79" s="275"/>
      <c r="N79" s="275"/>
      <c r="O79" s="275"/>
      <c r="P79" s="275"/>
      <c r="Q79" s="275"/>
      <c r="R79" s="275"/>
      <c r="S79" s="275"/>
    </row>
    <row r="80" spans="1:21" ht="21" customHeight="1">
      <c r="A80" s="275"/>
      <c r="B80" s="275"/>
      <c r="C80" s="275"/>
      <c r="D80" s="275"/>
      <c r="E80" s="275"/>
      <c r="F80" s="275"/>
      <c r="G80" s="275"/>
      <c r="H80" s="275"/>
      <c r="I80" s="275"/>
      <c r="J80" s="275"/>
      <c r="K80" s="275"/>
      <c r="L80" s="275"/>
      <c r="M80" s="275"/>
      <c r="N80" s="275"/>
      <c r="O80" s="275"/>
      <c r="P80" s="275"/>
      <c r="Q80" s="275"/>
      <c r="R80" s="275"/>
      <c r="S80" s="275"/>
    </row>
    <row r="81" spans="1:19" ht="21" customHeight="1">
      <c r="A81" s="275"/>
      <c r="B81" s="275"/>
      <c r="C81" s="275"/>
      <c r="D81" s="275"/>
      <c r="E81" s="275"/>
      <c r="F81" s="275"/>
      <c r="G81" s="275"/>
      <c r="H81" s="275"/>
      <c r="I81" s="275"/>
      <c r="J81" s="275"/>
      <c r="K81" s="275"/>
      <c r="L81" s="275"/>
      <c r="M81" s="275"/>
      <c r="N81" s="275"/>
      <c r="O81" s="275"/>
      <c r="P81" s="275"/>
      <c r="Q81" s="275"/>
      <c r="R81" s="275"/>
      <c r="S81" s="275"/>
    </row>
    <row r="82" spans="1:19" ht="21" customHeight="1">
      <c r="A82" s="275"/>
      <c r="B82" s="275"/>
      <c r="C82" s="275"/>
      <c r="D82" s="275"/>
      <c r="E82" s="275"/>
      <c r="F82" s="275"/>
      <c r="G82" s="275"/>
      <c r="H82" s="275"/>
      <c r="I82" s="275"/>
      <c r="J82" s="275"/>
      <c r="K82" s="275"/>
      <c r="L82" s="275"/>
      <c r="M82" s="275"/>
      <c r="N82" s="275"/>
      <c r="O82" s="275"/>
      <c r="P82" s="275"/>
      <c r="Q82" s="275"/>
      <c r="R82" s="275"/>
      <c r="S82" s="275"/>
    </row>
    <row r="83" spans="1:19" ht="21" customHeight="1">
      <c r="A83" s="275"/>
      <c r="B83" s="275"/>
      <c r="C83" s="275"/>
      <c r="D83" s="275"/>
      <c r="E83" s="275"/>
      <c r="F83" s="275"/>
      <c r="G83" s="275"/>
      <c r="H83" s="275"/>
      <c r="I83" s="275"/>
      <c r="J83" s="275"/>
      <c r="K83" s="275"/>
      <c r="L83" s="275"/>
      <c r="M83" s="275"/>
      <c r="N83" s="275"/>
      <c r="O83" s="275"/>
      <c r="P83" s="275"/>
      <c r="Q83" s="275"/>
      <c r="R83" s="275"/>
      <c r="S83" s="275"/>
    </row>
    <row r="84" spans="1:19" ht="21" customHeight="1">
      <c r="A84" s="275"/>
      <c r="B84" s="275"/>
      <c r="C84" s="275"/>
      <c r="D84" s="275"/>
      <c r="E84" s="275"/>
      <c r="F84" s="275"/>
      <c r="G84" s="275"/>
      <c r="H84" s="275"/>
      <c r="I84" s="275"/>
      <c r="J84" s="275"/>
      <c r="K84" s="275"/>
      <c r="L84" s="275"/>
      <c r="M84" s="275"/>
      <c r="N84" s="275"/>
      <c r="O84" s="275"/>
      <c r="P84" s="275"/>
      <c r="Q84" s="275"/>
      <c r="R84" s="275"/>
      <c r="S84" s="275"/>
    </row>
    <row r="85" spans="1:19" ht="21" customHeight="1">
      <c r="A85" s="275"/>
      <c r="B85" s="275"/>
      <c r="C85" s="275"/>
      <c r="D85" s="275"/>
      <c r="E85" s="275"/>
      <c r="F85" s="275"/>
      <c r="G85" s="275"/>
      <c r="H85" s="275"/>
      <c r="I85" s="275"/>
      <c r="J85" s="275"/>
      <c r="K85" s="275"/>
      <c r="L85" s="275"/>
      <c r="M85" s="275"/>
      <c r="N85" s="275"/>
      <c r="O85" s="275"/>
      <c r="P85" s="275"/>
      <c r="Q85" s="275"/>
      <c r="R85" s="275"/>
      <c r="S85" s="275"/>
    </row>
    <row r="86" spans="1:19" ht="21" customHeight="1">
      <c r="A86" s="275"/>
      <c r="B86" s="275"/>
      <c r="C86" s="275"/>
      <c r="D86" s="275"/>
      <c r="E86" s="275"/>
      <c r="F86" s="275"/>
      <c r="G86" s="275"/>
      <c r="H86" s="275"/>
      <c r="I86" s="275"/>
      <c r="J86" s="275"/>
      <c r="K86" s="275"/>
      <c r="L86" s="275"/>
      <c r="M86" s="275"/>
      <c r="N86" s="275"/>
      <c r="O86" s="275"/>
      <c r="P86" s="275"/>
      <c r="Q86" s="275"/>
      <c r="R86" s="275"/>
      <c r="S86" s="275"/>
    </row>
    <row r="87" spans="1:19" ht="21" customHeight="1">
      <c r="A87" s="275"/>
      <c r="B87" s="275"/>
      <c r="C87" s="275"/>
      <c r="D87" s="275"/>
      <c r="E87" s="275"/>
      <c r="F87" s="275"/>
      <c r="G87" s="275"/>
      <c r="H87" s="275"/>
      <c r="I87" s="275"/>
      <c r="J87" s="275"/>
      <c r="K87" s="275"/>
      <c r="L87" s="275"/>
      <c r="M87" s="275"/>
      <c r="N87" s="275"/>
      <c r="O87" s="275"/>
      <c r="P87" s="275"/>
      <c r="Q87" s="275"/>
      <c r="R87" s="275"/>
      <c r="S87" s="275"/>
    </row>
    <row r="88" spans="1:19" ht="21" customHeight="1">
      <c r="A88" s="275"/>
      <c r="B88" s="275"/>
      <c r="C88" s="275"/>
      <c r="D88" s="275"/>
      <c r="E88" s="275"/>
      <c r="F88" s="275"/>
      <c r="G88" s="275"/>
      <c r="H88" s="275"/>
      <c r="I88" s="275"/>
      <c r="J88" s="275"/>
      <c r="K88" s="275"/>
      <c r="L88" s="275"/>
      <c r="M88" s="275"/>
      <c r="N88" s="275"/>
      <c r="O88" s="275"/>
      <c r="P88" s="275"/>
      <c r="Q88" s="275"/>
      <c r="R88" s="275"/>
      <c r="S88" s="275"/>
    </row>
    <row r="89" spans="1:19" ht="21" customHeight="1">
      <c r="A89" s="275"/>
      <c r="B89" s="275"/>
      <c r="C89" s="275"/>
      <c r="D89" s="275"/>
      <c r="E89" s="275"/>
      <c r="F89" s="275"/>
      <c r="G89" s="275"/>
      <c r="H89" s="275"/>
      <c r="I89" s="275"/>
      <c r="J89" s="275"/>
      <c r="K89" s="275"/>
      <c r="L89" s="275"/>
      <c r="M89" s="275"/>
      <c r="N89" s="275"/>
      <c r="O89" s="275"/>
      <c r="P89" s="275"/>
      <c r="Q89" s="275"/>
      <c r="R89" s="275"/>
      <c r="S89" s="275"/>
    </row>
    <row r="90" spans="1:19" ht="21" customHeight="1">
      <c r="A90" s="275"/>
      <c r="B90" s="275"/>
      <c r="C90" s="275"/>
      <c r="D90" s="275"/>
      <c r="E90" s="275"/>
      <c r="F90" s="275"/>
      <c r="G90" s="275"/>
      <c r="H90" s="275"/>
      <c r="I90" s="275"/>
      <c r="J90" s="275"/>
      <c r="K90" s="275"/>
      <c r="L90" s="275"/>
      <c r="M90" s="275"/>
      <c r="N90" s="275"/>
      <c r="O90" s="275"/>
      <c r="P90" s="275"/>
      <c r="Q90" s="275"/>
      <c r="R90" s="275"/>
      <c r="S90" s="275"/>
    </row>
    <row r="91" spans="1:19" ht="21" customHeight="1">
      <c r="A91" s="275"/>
      <c r="B91" s="275"/>
      <c r="C91" s="275"/>
      <c r="D91" s="275"/>
      <c r="E91" s="275"/>
      <c r="F91" s="275"/>
      <c r="G91" s="275"/>
      <c r="H91" s="275"/>
      <c r="I91" s="275"/>
      <c r="J91" s="275"/>
      <c r="K91" s="275"/>
      <c r="L91" s="275"/>
      <c r="M91" s="275"/>
      <c r="N91" s="275"/>
      <c r="O91" s="275"/>
      <c r="P91" s="275"/>
      <c r="Q91" s="275"/>
      <c r="R91" s="275"/>
      <c r="S91" s="275"/>
    </row>
    <row r="92" spans="1:19" ht="21" customHeight="1">
      <c r="A92" s="275"/>
      <c r="B92" s="275"/>
      <c r="C92" s="275"/>
      <c r="D92" s="275"/>
      <c r="E92" s="275"/>
      <c r="F92" s="275"/>
      <c r="G92" s="275"/>
      <c r="H92" s="275"/>
      <c r="I92" s="275"/>
      <c r="J92" s="275"/>
      <c r="K92" s="275"/>
      <c r="L92" s="275"/>
      <c r="M92" s="275"/>
      <c r="N92" s="275"/>
      <c r="O92" s="275"/>
      <c r="P92" s="275"/>
      <c r="Q92" s="275"/>
      <c r="R92" s="275"/>
      <c r="S92" s="275"/>
    </row>
    <row r="93" spans="1:19" ht="21" customHeight="1">
      <c r="A93" s="275"/>
      <c r="B93" s="275"/>
      <c r="C93" s="275"/>
      <c r="D93" s="275"/>
      <c r="E93" s="275"/>
      <c r="F93" s="275"/>
      <c r="G93" s="275"/>
      <c r="H93" s="275"/>
      <c r="I93" s="275"/>
      <c r="J93" s="275"/>
      <c r="K93" s="275"/>
      <c r="L93" s="275"/>
      <c r="M93" s="275"/>
      <c r="N93" s="275"/>
      <c r="O93" s="275"/>
      <c r="P93" s="275"/>
      <c r="Q93" s="275"/>
      <c r="R93" s="275"/>
      <c r="S93" s="275"/>
    </row>
    <row r="94" spans="1:19" ht="21" customHeight="1">
      <c r="A94" s="275"/>
      <c r="B94" s="275"/>
      <c r="C94" s="275"/>
      <c r="D94" s="275"/>
      <c r="E94" s="275"/>
      <c r="F94" s="275"/>
      <c r="G94" s="275"/>
      <c r="H94" s="275"/>
      <c r="I94" s="275"/>
      <c r="J94" s="275"/>
      <c r="K94" s="275"/>
      <c r="L94" s="275"/>
      <c r="M94" s="275"/>
      <c r="N94" s="275"/>
      <c r="O94" s="275"/>
      <c r="P94" s="275"/>
      <c r="Q94" s="275"/>
      <c r="R94" s="275"/>
      <c r="S94" s="275"/>
    </row>
    <row r="95" spans="1:19" ht="21" customHeight="1">
      <c r="A95" s="275"/>
      <c r="B95" s="275"/>
      <c r="C95" s="275"/>
      <c r="D95" s="275"/>
      <c r="E95" s="275"/>
      <c r="F95" s="275"/>
      <c r="G95" s="275"/>
      <c r="H95" s="275"/>
      <c r="I95" s="275"/>
      <c r="J95" s="275"/>
      <c r="K95" s="275"/>
      <c r="L95" s="275"/>
      <c r="M95" s="275"/>
      <c r="N95" s="275"/>
      <c r="O95" s="275"/>
      <c r="P95" s="275"/>
      <c r="Q95" s="275"/>
      <c r="R95" s="275"/>
      <c r="S95" s="275"/>
    </row>
    <row r="96" spans="1:19" ht="21" customHeight="1">
      <c r="A96" s="275"/>
      <c r="B96" s="275"/>
      <c r="C96" s="275"/>
      <c r="D96" s="275"/>
      <c r="E96" s="275"/>
      <c r="F96" s="275"/>
      <c r="G96" s="275"/>
      <c r="H96" s="275"/>
      <c r="I96" s="275"/>
      <c r="J96" s="275"/>
      <c r="K96" s="275"/>
      <c r="L96" s="275"/>
      <c r="M96" s="275"/>
      <c r="N96" s="275"/>
      <c r="O96" s="275"/>
      <c r="P96" s="275"/>
      <c r="Q96" s="275"/>
      <c r="R96" s="275"/>
      <c r="S96" s="275"/>
    </row>
    <row r="97" spans="1:19" ht="21" customHeight="1">
      <c r="A97" s="275"/>
      <c r="B97" s="275"/>
      <c r="C97" s="275"/>
      <c r="D97" s="275"/>
      <c r="E97" s="275"/>
      <c r="F97" s="275"/>
      <c r="G97" s="275"/>
      <c r="H97" s="275"/>
      <c r="I97" s="275"/>
      <c r="J97" s="275"/>
      <c r="K97" s="275"/>
      <c r="L97" s="275"/>
      <c r="M97" s="275"/>
      <c r="N97" s="275"/>
      <c r="O97" s="275"/>
      <c r="P97" s="275"/>
      <c r="Q97" s="275"/>
      <c r="R97" s="275"/>
      <c r="S97" s="275"/>
    </row>
    <row r="98" spans="1:19" ht="21" customHeight="1">
      <c r="A98" s="275"/>
      <c r="B98" s="275"/>
      <c r="C98" s="275"/>
      <c r="D98" s="275"/>
      <c r="E98" s="275"/>
      <c r="F98" s="275"/>
      <c r="G98" s="275"/>
      <c r="H98" s="275"/>
      <c r="I98" s="275"/>
      <c r="J98" s="275"/>
      <c r="K98" s="275"/>
      <c r="L98" s="275"/>
      <c r="M98" s="275"/>
      <c r="N98" s="275"/>
      <c r="O98" s="275"/>
      <c r="P98" s="275"/>
      <c r="Q98" s="275"/>
      <c r="R98" s="275"/>
      <c r="S98" s="275"/>
    </row>
    <row r="99" spans="1:19" ht="21" customHeight="1">
      <c r="A99" s="275"/>
      <c r="B99" s="275"/>
      <c r="C99" s="275"/>
      <c r="D99" s="275"/>
      <c r="E99" s="275"/>
      <c r="F99" s="275"/>
      <c r="G99" s="275"/>
      <c r="H99" s="275"/>
      <c r="I99" s="275"/>
      <c r="J99" s="275"/>
      <c r="K99" s="275"/>
      <c r="L99" s="275"/>
      <c r="M99" s="275"/>
      <c r="N99" s="275"/>
      <c r="O99" s="275"/>
      <c r="P99" s="275"/>
      <c r="Q99" s="275"/>
      <c r="R99" s="275"/>
      <c r="S99" s="275"/>
    </row>
    <row r="100" spans="1:19" ht="21" customHeight="1">
      <c r="A100" s="275"/>
      <c r="B100" s="275"/>
      <c r="C100" s="275"/>
      <c r="D100" s="275"/>
      <c r="E100" s="275"/>
      <c r="F100" s="275"/>
      <c r="G100" s="275"/>
      <c r="H100" s="275"/>
      <c r="I100" s="275"/>
      <c r="J100" s="275"/>
      <c r="K100" s="275"/>
      <c r="L100" s="275"/>
      <c r="M100" s="275"/>
      <c r="N100" s="275"/>
      <c r="O100" s="275"/>
      <c r="P100" s="275"/>
      <c r="Q100" s="275"/>
      <c r="R100" s="275"/>
      <c r="S100" s="275"/>
    </row>
    <row r="101" spans="1:19" ht="21" customHeight="1">
      <c r="A101" s="275"/>
      <c r="B101" s="275"/>
      <c r="C101" s="275"/>
      <c r="D101" s="275"/>
      <c r="E101" s="275"/>
      <c r="F101" s="275"/>
      <c r="G101" s="275"/>
      <c r="H101" s="275"/>
      <c r="I101" s="275"/>
      <c r="J101" s="275"/>
      <c r="K101" s="275"/>
      <c r="L101" s="275"/>
      <c r="M101" s="275"/>
      <c r="N101" s="275"/>
      <c r="O101" s="275"/>
      <c r="P101" s="275"/>
      <c r="Q101" s="275"/>
      <c r="R101" s="275"/>
      <c r="S101" s="275"/>
    </row>
    <row r="102" spans="1:19" ht="21" customHeight="1">
      <c r="A102" s="275"/>
      <c r="B102" s="275"/>
      <c r="C102" s="275"/>
      <c r="D102" s="275"/>
      <c r="E102" s="275"/>
      <c r="F102" s="275"/>
      <c r="G102" s="275"/>
      <c r="H102" s="275"/>
      <c r="I102" s="275"/>
      <c r="J102" s="275"/>
      <c r="K102" s="275"/>
      <c r="L102" s="275"/>
      <c r="M102" s="275"/>
      <c r="N102" s="275"/>
      <c r="O102" s="275"/>
      <c r="P102" s="275"/>
      <c r="Q102" s="275"/>
      <c r="R102" s="275"/>
      <c r="S102" s="275"/>
    </row>
    <row r="103" spans="1:19" ht="21" customHeight="1">
      <c r="A103" s="275"/>
      <c r="B103" s="275"/>
      <c r="C103" s="275"/>
      <c r="D103" s="275"/>
      <c r="E103" s="275"/>
      <c r="F103" s="275"/>
      <c r="G103" s="275"/>
      <c r="H103" s="275"/>
      <c r="I103" s="275"/>
      <c r="J103" s="275"/>
      <c r="K103" s="275"/>
      <c r="L103" s="275"/>
      <c r="M103" s="275"/>
      <c r="N103" s="275"/>
      <c r="O103" s="275"/>
      <c r="P103" s="275"/>
      <c r="Q103" s="275"/>
      <c r="R103" s="275"/>
      <c r="S103" s="275"/>
    </row>
    <row r="104" spans="1:19" ht="21" customHeight="1">
      <c r="A104" s="275"/>
      <c r="B104" s="275"/>
      <c r="C104" s="275"/>
      <c r="D104" s="275"/>
      <c r="E104" s="275"/>
      <c r="F104" s="275"/>
      <c r="G104" s="275"/>
      <c r="H104" s="275"/>
      <c r="I104" s="275"/>
      <c r="J104" s="275"/>
      <c r="K104" s="275"/>
      <c r="L104" s="275"/>
      <c r="M104" s="275"/>
      <c r="N104" s="275"/>
      <c r="O104" s="275"/>
      <c r="P104" s="275"/>
      <c r="Q104" s="275"/>
      <c r="R104" s="275"/>
      <c r="S104" s="275"/>
    </row>
    <row r="105" spans="1:19" ht="21" customHeight="1">
      <c r="A105" s="275"/>
      <c r="B105" s="275"/>
      <c r="C105" s="275"/>
      <c r="D105" s="275"/>
      <c r="E105" s="275"/>
      <c r="F105" s="275"/>
      <c r="G105" s="275"/>
      <c r="H105" s="275"/>
      <c r="I105" s="275"/>
      <c r="J105" s="275"/>
      <c r="K105" s="275"/>
      <c r="L105" s="275"/>
      <c r="M105" s="275"/>
      <c r="N105" s="275"/>
      <c r="O105" s="275"/>
      <c r="P105" s="275"/>
      <c r="Q105" s="275"/>
      <c r="R105" s="275"/>
      <c r="S105" s="275"/>
    </row>
    <row r="106" spans="1:19" ht="21" customHeight="1">
      <c r="A106" s="275"/>
      <c r="B106" s="275"/>
      <c r="C106" s="275"/>
      <c r="D106" s="275"/>
      <c r="E106" s="275"/>
      <c r="F106" s="275"/>
      <c r="G106" s="275"/>
      <c r="H106" s="275"/>
      <c r="I106" s="275"/>
      <c r="J106" s="275"/>
      <c r="K106" s="275"/>
      <c r="L106" s="275"/>
      <c r="M106" s="275"/>
      <c r="N106" s="275"/>
      <c r="O106" s="275"/>
      <c r="P106" s="275"/>
      <c r="Q106" s="275"/>
      <c r="R106" s="275"/>
      <c r="S106" s="275"/>
    </row>
    <row r="107" spans="1:19" ht="21" customHeight="1">
      <c r="A107" s="275"/>
      <c r="B107" s="275"/>
      <c r="C107" s="275"/>
      <c r="D107" s="275"/>
      <c r="E107" s="275"/>
      <c r="F107" s="275"/>
      <c r="G107" s="275"/>
      <c r="H107" s="275"/>
      <c r="I107" s="275"/>
      <c r="J107" s="275"/>
      <c r="K107" s="275"/>
      <c r="L107" s="275"/>
      <c r="M107" s="275"/>
      <c r="N107" s="275"/>
      <c r="O107" s="275"/>
      <c r="P107" s="275"/>
      <c r="Q107" s="275"/>
      <c r="R107" s="275"/>
      <c r="S107" s="275"/>
    </row>
    <row r="108" spans="1:19" ht="21" customHeight="1">
      <c r="A108" s="275"/>
      <c r="B108" s="275"/>
      <c r="C108" s="275"/>
      <c r="D108" s="275"/>
      <c r="E108" s="275"/>
      <c r="F108" s="275"/>
      <c r="G108" s="275"/>
      <c r="H108" s="275"/>
      <c r="I108" s="275"/>
      <c r="J108" s="275"/>
      <c r="K108" s="275"/>
      <c r="L108" s="275"/>
      <c r="M108" s="275"/>
      <c r="N108" s="275"/>
      <c r="O108" s="275"/>
      <c r="P108" s="275"/>
      <c r="Q108" s="275"/>
      <c r="R108" s="275"/>
      <c r="S108" s="275"/>
    </row>
    <row r="109" spans="1:19" ht="21" customHeight="1">
      <c r="A109" s="275"/>
      <c r="B109" s="275"/>
      <c r="C109" s="275"/>
      <c r="D109" s="275"/>
      <c r="E109" s="275"/>
      <c r="F109" s="275"/>
      <c r="G109" s="275"/>
      <c r="H109" s="275"/>
      <c r="I109" s="275"/>
      <c r="J109" s="275"/>
      <c r="K109" s="275"/>
      <c r="L109" s="275"/>
      <c r="M109" s="275"/>
      <c r="N109" s="275"/>
      <c r="O109" s="275"/>
      <c r="P109" s="275"/>
      <c r="Q109" s="275"/>
      <c r="R109" s="275"/>
      <c r="S109" s="275"/>
    </row>
    <row r="110" spans="1:19" ht="21" customHeight="1">
      <c r="A110" s="275"/>
      <c r="B110" s="275"/>
      <c r="C110" s="275"/>
      <c r="D110" s="275"/>
      <c r="E110" s="275"/>
      <c r="F110" s="275"/>
      <c r="G110" s="275"/>
      <c r="H110" s="275"/>
      <c r="I110" s="275"/>
      <c r="J110" s="275"/>
      <c r="K110" s="275"/>
      <c r="L110" s="275"/>
      <c r="M110" s="275"/>
      <c r="N110" s="275"/>
      <c r="O110" s="275"/>
      <c r="P110" s="275"/>
      <c r="Q110" s="275"/>
      <c r="R110" s="275"/>
      <c r="S110" s="275"/>
    </row>
    <row r="111" spans="1:19" ht="21" customHeight="1">
      <c r="A111" s="275"/>
      <c r="B111" s="275"/>
      <c r="C111" s="275"/>
      <c r="D111" s="275"/>
      <c r="E111" s="275"/>
      <c r="F111" s="275"/>
      <c r="G111" s="275"/>
      <c r="H111" s="275"/>
      <c r="I111" s="275"/>
      <c r="J111" s="275"/>
      <c r="K111" s="275"/>
      <c r="L111" s="275"/>
      <c r="M111" s="275"/>
      <c r="N111" s="275"/>
      <c r="O111" s="275"/>
      <c r="P111" s="275"/>
      <c r="Q111" s="275"/>
      <c r="R111" s="275"/>
      <c r="S111" s="275"/>
    </row>
    <row r="112" spans="1:19" ht="21" customHeight="1">
      <c r="A112" s="275"/>
      <c r="B112" s="275"/>
      <c r="C112" s="275"/>
      <c r="D112" s="275"/>
      <c r="E112" s="275"/>
      <c r="F112" s="275"/>
      <c r="G112" s="275"/>
      <c r="H112" s="275"/>
      <c r="I112" s="275"/>
      <c r="J112" s="275"/>
      <c r="K112" s="275"/>
      <c r="L112" s="275"/>
      <c r="M112" s="275"/>
      <c r="N112" s="275"/>
      <c r="O112" s="275"/>
      <c r="P112" s="275"/>
      <c r="Q112" s="275"/>
      <c r="R112" s="275"/>
      <c r="S112" s="275"/>
    </row>
    <row r="113" spans="1:19" ht="21" customHeight="1">
      <c r="A113" s="275"/>
      <c r="B113" s="275"/>
      <c r="C113" s="275"/>
      <c r="D113" s="275"/>
      <c r="E113" s="275"/>
      <c r="F113" s="275"/>
      <c r="G113" s="275"/>
      <c r="H113" s="275"/>
      <c r="I113" s="275"/>
      <c r="J113" s="275"/>
      <c r="K113" s="275"/>
      <c r="L113" s="275"/>
      <c r="M113" s="275"/>
      <c r="N113" s="275"/>
      <c r="O113" s="275"/>
      <c r="P113" s="275"/>
      <c r="Q113" s="275"/>
      <c r="R113" s="275"/>
      <c r="S113" s="275"/>
    </row>
    <row r="114" spans="1:19" ht="21" customHeight="1">
      <c r="A114" s="275"/>
      <c r="B114" s="275"/>
      <c r="C114" s="275"/>
      <c r="D114" s="275"/>
      <c r="E114" s="275"/>
      <c r="F114" s="275"/>
      <c r="G114" s="275"/>
      <c r="H114" s="275"/>
      <c r="I114" s="275"/>
      <c r="J114" s="275"/>
      <c r="K114" s="275"/>
      <c r="L114" s="275"/>
      <c r="M114" s="275"/>
      <c r="N114" s="275"/>
      <c r="O114" s="275"/>
      <c r="P114" s="275"/>
      <c r="Q114" s="275"/>
      <c r="R114" s="275"/>
      <c r="S114" s="275"/>
    </row>
    <row r="115" spans="1:19" ht="21" customHeight="1">
      <c r="A115" s="275"/>
      <c r="B115" s="275"/>
      <c r="C115" s="275"/>
      <c r="D115" s="275"/>
      <c r="E115" s="275"/>
      <c r="F115" s="275"/>
      <c r="G115" s="275"/>
      <c r="H115" s="275"/>
      <c r="I115" s="275"/>
      <c r="J115" s="275"/>
      <c r="K115" s="275"/>
      <c r="L115" s="275"/>
      <c r="M115" s="275"/>
      <c r="N115" s="275"/>
      <c r="O115" s="275"/>
      <c r="P115" s="275"/>
      <c r="Q115" s="275"/>
      <c r="R115" s="275"/>
      <c r="S115" s="275"/>
    </row>
    <row r="116" spans="1:19" ht="21" customHeight="1">
      <c r="A116" s="275"/>
      <c r="B116" s="275"/>
      <c r="C116" s="275"/>
      <c r="D116" s="275"/>
      <c r="E116" s="275"/>
      <c r="F116" s="275"/>
      <c r="G116" s="275"/>
      <c r="H116" s="275"/>
      <c r="I116" s="275"/>
      <c r="J116" s="275"/>
      <c r="K116" s="275"/>
      <c r="L116" s="275"/>
      <c r="M116" s="275"/>
      <c r="N116" s="275"/>
      <c r="O116" s="275"/>
      <c r="P116" s="275"/>
      <c r="Q116" s="275"/>
      <c r="R116" s="275"/>
      <c r="S116" s="275"/>
    </row>
    <row r="117" spans="1:19" ht="21" customHeight="1">
      <c r="A117" s="275"/>
      <c r="B117" s="275"/>
      <c r="C117" s="275"/>
      <c r="D117" s="275"/>
      <c r="E117" s="275"/>
      <c r="F117" s="275"/>
      <c r="G117" s="275"/>
      <c r="H117" s="275"/>
      <c r="I117" s="275"/>
      <c r="J117" s="275"/>
      <c r="K117" s="275"/>
      <c r="L117" s="275"/>
      <c r="M117" s="275"/>
      <c r="N117" s="275"/>
      <c r="O117" s="275"/>
      <c r="P117" s="275"/>
      <c r="Q117" s="275"/>
      <c r="R117" s="275"/>
      <c r="S117" s="275"/>
    </row>
    <row r="118" spans="1:19" ht="21" customHeight="1">
      <c r="A118" s="275"/>
      <c r="B118" s="275"/>
      <c r="C118" s="275"/>
      <c r="D118" s="275"/>
      <c r="E118" s="275"/>
      <c r="F118" s="275"/>
      <c r="G118" s="275"/>
      <c r="H118" s="275"/>
      <c r="I118" s="275"/>
      <c r="J118" s="275"/>
      <c r="K118" s="275"/>
      <c r="L118" s="275"/>
      <c r="M118" s="275"/>
      <c r="N118" s="275"/>
      <c r="O118" s="275"/>
      <c r="P118" s="275"/>
      <c r="Q118" s="275"/>
      <c r="R118" s="275"/>
      <c r="S118" s="275"/>
    </row>
    <row r="119" spans="1:19" ht="21" customHeight="1">
      <c r="A119" s="275"/>
      <c r="B119" s="275"/>
      <c r="C119" s="275"/>
      <c r="D119" s="275"/>
      <c r="E119" s="275"/>
      <c r="F119" s="275"/>
      <c r="G119" s="275"/>
      <c r="H119" s="275"/>
      <c r="I119" s="275"/>
      <c r="J119" s="275"/>
      <c r="K119" s="275"/>
      <c r="L119" s="275"/>
      <c r="M119" s="275"/>
      <c r="N119" s="275"/>
      <c r="O119" s="275"/>
      <c r="P119" s="275"/>
      <c r="Q119" s="275"/>
      <c r="R119" s="275"/>
      <c r="S119" s="275"/>
    </row>
    <row r="120" spans="1:19" ht="21" customHeight="1">
      <c r="A120" s="275"/>
      <c r="B120" s="275"/>
      <c r="C120" s="275"/>
      <c r="D120" s="275"/>
      <c r="E120" s="275"/>
      <c r="F120" s="275"/>
      <c r="G120" s="275"/>
      <c r="H120" s="275"/>
      <c r="I120" s="275"/>
      <c r="J120" s="275"/>
      <c r="K120" s="275"/>
      <c r="L120" s="275"/>
      <c r="M120" s="275"/>
      <c r="N120" s="275"/>
      <c r="O120" s="275"/>
      <c r="P120" s="275"/>
      <c r="Q120" s="275"/>
      <c r="R120" s="275"/>
      <c r="S120" s="275"/>
    </row>
    <row r="121" spans="1:19" ht="21" customHeight="1">
      <c r="A121" s="275"/>
      <c r="B121" s="275"/>
      <c r="C121" s="275"/>
      <c r="D121" s="275"/>
      <c r="E121" s="275"/>
      <c r="F121" s="275"/>
      <c r="G121" s="275"/>
      <c r="H121" s="275"/>
      <c r="I121" s="275"/>
      <c r="J121" s="275"/>
      <c r="K121" s="275"/>
      <c r="L121" s="275"/>
      <c r="M121" s="275"/>
      <c r="N121" s="275"/>
      <c r="O121" s="275"/>
      <c r="P121" s="275"/>
      <c r="Q121" s="275"/>
      <c r="R121" s="275"/>
      <c r="S121" s="275"/>
    </row>
    <row r="122" spans="1:19">
      <c r="A122" s="275"/>
      <c r="B122" s="275"/>
      <c r="C122" s="275"/>
      <c r="D122" s="275"/>
      <c r="E122" s="275"/>
      <c r="F122" s="275"/>
      <c r="G122" s="275"/>
      <c r="H122" s="275"/>
      <c r="I122" s="275"/>
      <c r="J122" s="275"/>
      <c r="K122" s="275"/>
      <c r="L122" s="275"/>
      <c r="M122" s="275"/>
      <c r="N122" s="275"/>
      <c r="O122" s="275"/>
      <c r="P122" s="275"/>
      <c r="Q122" s="275"/>
      <c r="R122" s="275"/>
      <c r="S122" s="275"/>
    </row>
    <row r="123" spans="1:19">
      <c r="A123" s="275"/>
      <c r="B123" s="275"/>
      <c r="C123" s="275"/>
      <c r="D123" s="275"/>
      <c r="E123" s="275"/>
      <c r="F123" s="275"/>
      <c r="G123" s="275"/>
      <c r="H123" s="275"/>
      <c r="I123" s="275"/>
      <c r="J123" s="275"/>
      <c r="K123" s="275"/>
      <c r="L123" s="275"/>
      <c r="M123" s="275"/>
      <c r="N123" s="275"/>
      <c r="O123" s="275"/>
      <c r="P123" s="275"/>
      <c r="Q123" s="275"/>
      <c r="R123" s="275"/>
      <c r="S123" s="275"/>
    </row>
    <row r="124" spans="1:19">
      <c r="A124" s="275"/>
      <c r="B124" s="275"/>
      <c r="C124" s="275"/>
      <c r="D124" s="275"/>
      <c r="E124" s="275"/>
      <c r="F124" s="275"/>
      <c r="G124" s="275"/>
      <c r="H124" s="275"/>
      <c r="I124" s="275"/>
      <c r="J124" s="275"/>
      <c r="K124" s="275"/>
      <c r="L124" s="275"/>
      <c r="M124" s="275"/>
      <c r="N124" s="275"/>
      <c r="O124" s="275"/>
      <c r="P124" s="275"/>
      <c r="Q124" s="275"/>
      <c r="R124" s="275"/>
      <c r="S124" s="275"/>
    </row>
    <row r="125" spans="1:19">
      <c r="A125" s="275"/>
      <c r="B125" s="275"/>
      <c r="C125" s="275"/>
      <c r="D125" s="275"/>
      <c r="E125" s="275"/>
      <c r="F125" s="275"/>
      <c r="G125" s="275"/>
      <c r="H125" s="275"/>
      <c r="I125" s="275"/>
      <c r="J125" s="275"/>
      <c r="K125" s="275"/>
      <c r="L125" s="275"/>
      <c r="M125" s="275"/>
      <c r="N125" s="275"/>
      <c r="O125" s="275"/>
      <c r="P125" s="275"/>
      <c r="Q125" s="275"/>
      <c r="R125" s="275"/>
      <c r="S125" s="275"/>
    </row>
    <row r="126" spans="1:19">
      <c r="A126" s="275"/>
      <c r="B126" s="275"/>
      <c r="C126" s="275"/>
      <c r="D126" s="275"/>
      <c r="E126" s="275"/>
      <c r="F126" s="275"/>
      <c r="G126" s="275"/>
      <c r="H126" s="275"/>
      <c r="I126" s="275"/>
      <c r="J126" s="275"/>
      <c r="K126" s="275"/>
      <c r="L126" s="275"/>
      <c r="M126" s="275"/>
      <c r="N126" s="275"/>
      <c r="O126" s="275"/>
      <c r="P126" s="275"/>
      <c r="Q126" s="275"/>
      <c r="R126" s="275"/>
      <c r="S126" s="275"/>
    </row>
    <row r="127" spans="1:19">
      <c r="A127" s="275"/>
      <c r="B127" s="275"/>
      <c r="C127" s="275"/>
      <c r="D127" s="275"/>
      <c r="E127" s="275"/>
      <c r="F127" s="275"/>
      <c r="G127" s="275"/>
      <c r="H127" s="275"/>
      <c r="I127" s="275"/>
      <c r="J127" s="275"/>
      <c r="K127" s="275"/>
      <c r="L127" s="275"/>
      <c r="M127" s="275"/>
      <c r="N127" s="275"/>
      <c r="O127" s="275"/>
      <c r="P127" s="275"/>
      <c r="Q127" s="275"/>
      <c r="R127" s="275"/>
      <c r="S127" s="275"/>
    </row>
    <row r="128" spans="1:19">
      <c r="A128" s="275"/>
      <c r="B128" s="275"/>
      <c r="C128" s="275"/>
      <c r="D128" s="275"/>
      <c r="E128" s="275"/>
      <c r="F128" s="275"/>
      <c r="G128" s="275"/>
      <c r="H128" s="275"/>
      <c r="I128" s="275"/>
      <c r="J128" s="275"/>
      <c r="K128" s="275"/>
      <c r="L128" s="275"/>
      <c r="M128" s="275"/>
      <c r="N128" s="275"/>
      <c r="O128" s="275"/>
      <c r="P128" s="275"/>
      <c r="Q128" s="275"/>
      <c r="R128" s="275"/>
      <c r="S128" s="275"/>
    </row>
    <row r="129" spans="1:19">
      <c r="A129" s="275"/>
      <c r="B129" s="275"/>
      <c r="C129" s="275"/>
      <c r="D129" s="275"/>
      <c r="E129" s="275"/>
      <c r="F129" s="275"/>
      <c r="G129" s="275"/>
      <c r="H129" s="275"/>
      <c r="I129" s="275"/>
      <c r="J129" s="275"/>
      <c r="K129" s="275"/>
      <c r="L129" s="275"/>
      <c r="M129" s="275"/>
      <c r="N129" s="275"/>
      <c r="O129" s="275"/>
      <c r="P129" s="275"/>
      <c r="Q129" s="275"/>
      <c r="R129" s="275"/>
      <c r="S129" s="275"/>
    </row>
    <row r="130" spans="1:19">
      <c r="A130" s="275"/>
      <c r="B130" s="275"/>
      <c r="C130" s="275"/>
      <c r="D130" s="275"/>
      <c r="E130" s="275"/>
      <c r="F130" s="275"/>
      <c r="G130" s="275"/>
      <c r="H130" s="275"/>
      <c r="I130" s="275"/>
      <c r="J130" s="275"/>
      <c r="K130" s="275"/>
      <c r="L130" s="275"/>
      <c r="M130" s="275"/>
      <c r="N130" s="275"/>
      <c r="O130" s="275"/>
      <c r="P130" s="275"/>
      <c r="Q130" s="275"/>
      <c r="R130" s="275"/>
      <c r="S130" s="275"/>
    </row>
    <row r="131" spans="1:19">
      <c r="A131" s="275"/>
      <c r="B131" s="275"/>
      <c r="C131" s="275"/>
      <c r="D131" s="275"/>
      <c r="E131" s="275"/>
      <c r="F131" s="275"/>
      <c r="G131" s="275"/>
      <c r="H131" s="275"/>
      <c r="I131" s="275"/>
      <c r="J131" s="275"/>
      <c r="K131" s="275"/>
      <c r="L131" s="275"/>
      <c r="M131" s="275"/>
      <c r="N131" s="275"/>
      <c r="O131" s="275"/>
      <c r="P131" s="275"/>
      <c r="Q131" s="275"/>
      <c r="R131" s="275"/>
      <c r="S131" s="275"/>
    </row>
    <row r="132" spans="1:19">
      <c r="A132" s="275"/>
      <c r="B132" s="275"/>
      <c r="C132" s="275"/>
      <c r="D132" s="275"/>
      <c r="E132" s="275"/>
      <c r="F132" s="275"/>
      <c r="G132" s="275"/>
      <c r="H132" s="275"/>
      <c r="I132" s="275"/>
      <c r="J132" s="275"/>
      <c r="K132" s="275"/>
      <c r="L132" s="275"/>
      <c r="M132" s="275"/>
      <c r="N132" s="275"/>
      <c r="O132" s="275"/>
      <c r="P132" s="275"/>
      <c r="Q132" s="275"/>
      <c r="R132" s="275"/>
      <c r="S132" s="275"/>
    </row>
    <row r="133" spans="1:19">
      <c r="A133" s="275"/>
      <c r="B133" s="275"/>
      <c r="C133" s="275"/>
      <c r="D133" s="275"/>
      <c r="E133" s="275"/>
      <c r="F133" s="275"/>
      <c r="G133" s="275"/>
      <c r="H133" s="275"/>
      <c r="I133" s="275"/>
      <c r="J133" s="275"/>
      <c r="K133" s="275"/>
      <c r="L133" s="275"/>
      <c r="M133" s="275"/>
      <c r="N133" s="275"/>
      <c r="O133" s="275"/>
      <c r="P133" s="275"/>
      <c r="Q133" s="275"/>
      <c r="R133" s="275"/>
      <c r="S133" s="275"/>
    </row>
    <row r="134" spans="1:19">
      <c r="A134" s="275"/>
      <c r="B134" s="275"/>
      <c r="C134" s="275"/>
      <c r="D134" s="275"/>
      <c r="E134" s="275"/>
      <c r="F134" s="275"/>
      <c r="G134" s="275"/>
      <c r="H134" s="275"/>
      <c r="I134" s="275"/>
      <c r="J134" s="275"/>
      <c r="K134" s="275"/>
      <c r="L134" s="275"/>
      <c r="M134" s="275"/>
      <c r="N134" s="275"/>
      <c r="O134" s="275"/>
      <c r="P134" s="275"/>
      <c r="Q134" s="275"/>
      <c r="R134" s="275"/>
      <c r="S134" s="275"/>
    </row>
    <row r="135" spans="1:19">
      <c r="A135" s="275"/>
      <c r="B135" s="275"/>
      <c r="C135" s="275"/>
      <c r="D135" s="275"/>
      <c r="E135" s="275"/>
      <c r="F135" s="275"/>
      <c r="G135" s="275"/>
      <c r="H135" s="275"/>
      <c r="I135" s="275"/>
      <c r="J135" s="275"/>
      <c r="K135" s="275"/>
      <c r="L135" s="275"/>
      <c r="M135" s="275"/>
      <c r="N135" s="275"/>
      <c r="O135" s="275"/>
      <c r="P135" s="275"/>
      <c r="Q135" s="275"/>
      <c r="R135" s="275"/>
      <c r="S135" s="275"/>
    </row>
    <row r="136" spans="1:19">
      <c r="A136" s="275"/>
      <c r="B136" s="275"/>
      <c r="C136" s="275"/>
      <c r="D136" s="275"/>
      <c r="E136" s="275"/>
      <c r="F136" s="275"/>
      <c r="G136" s="275"/>
      <c r="H136" s="275"/>
      <c r="I136" s="275"/>
      <c r="J136" s="275"/>
      <c r="K136" s="275"/>
      <c r="L136" s="275"/>
      <c r="M136" s="275"/>
      <c r="N136" s="275"/>
      <c r="O136" s="275"/>
      <c r="P136" s="275"/>
      <c r="Q136" s="275"/>
      <c r="R136" s="275"/>
      <c r="S136" s="275"/>
    </row>
    <row r="137" spans="1:19">
      <c r="A137" s="275"/>
      <c r="B137" s="275"/>
      <c r="C137" s="275"/>
      <c r="D137" s="275"/>
      <c r="E137" s="275"/>
      <c r="F137" s="275"/>
      <c r="G137" s="275"/>
      <c r="H137" s="275"/>
      <c r="I137" s="275"/>
      <c r="J137" s="275"/>
      <c r="K137" s="275"/>
      <c r="L137" s="275"/>
      <c r="M137" s="275"/>
      <c r="N137" s="275"/>
      <c r="O137" s="275"/>
      <c r="P137" s="275"/>
      <c r="Q137" s="275"/>
      <c r="R137" s="275"/>
      <c r="S137" s="275"/>
    </row>
    <row r="138" spans="1:19">
      <c r="A138" s="275"/>
      <c r="B138" s="275"/>
      <c r="C138" s="275"/>
      <c r="D138" s="275"/>
      <c r="E138" s="275"/>
      <c r="F138" s="275"/>
      <c r="G138" s="275"/>
      <c r="H138" s="275"/>
      <c r="I138" s="275"/>
      <c r="J138" s="275"/>
      <c r="K138" s="275"/>
      <c r="L138" s="275"/>
      <c r="M138" s="275"/>
      <c r="N138" s="275"/>
      <c r="O138" s="275"/>
      <c r="P138" s="275"/>
      <c r="Q138" s="275"/>
      <c r="R138" s="275"/>
      <c r="S138" s="275"/>
    </row>
    <row r="139" spans="1:19">
      <c r="A139" s="275"/>
      <c r="B139" s="275"/>
      <c r="C139" s="275"/>
      <c r="D139" s="275"/>
      <c r="E139" s="275"/>
      <c r="F139" s="275"/>
      <c r="G139" s="275"/>
      <c r="H139" s="275"/>
      <c r="I139" s="275"/>
      <c r="J139" s="275"/>
      <c r="K139" s="275"/>
      <c r="L139" s="275"/>
      <c r="M139" s="275"/>
      <c r="N139" s="275"/>
      <c r="O139" s="275"/>
      <c r="P139" s="275"/>
      <c r="Q139" s="275"/>
      <c r="R139" s="275"/>
      <c r="S139" s="275"/>
    </row>
    <row r="140" spans="1:19">
      <c r="A140" s="275"/>
      <c r="B140" s="275"/>
      <c r="C140" s="275"/>
      <c r="D140" s="275"/>
      <c r="E140" s="275"/>
      <c r="F140" s="275"/>
      <c r="G140" s="275"/>
      <c r="H140" s="275"/>
      <c r="I140" s="275"/>
      <c r="J140" s="275"/>
      <c r="K140" s="275"/>
      <c r="L140" s="275"/>
      <c r="M140" s="275"/>
      <c r="N140" s="275"/>
      <c r="O140" s="275"/>
      <c r="P140" s="275"/>
      <c r="Q140" s="275"/>
      <c r="R140" s="275"/>
      <c r="S140" s="275"/>
    </row>
    <row r="141" spans="1:19">
      <c r="A141" s="275"/>
      <c r="B141" s="275"/>
      <c r="C141" s="275"/>
      <c r="D141" s="275"/>
      <c r="E141" s="275"/>
      <c r="F141" s="275"/>
      <c r="G141" s="275"/>
      <c r="H141" s="275"/>
      <c r="I141" s="275"/>
      <c r="J141" s="275"/>
      <c r="K141" s="275"/>
      <c r="L141" s="275"/>
      <c r="M141" s="275"/>
      <c r="N141" s="275"/>
      <c r="O141" s="275"/>
      <c r="P141" s="275"/>
      <c r="Q141" s="275"/>
      <c r="R141" s="275"/>
      <c r="S141" s="275"/>
    </row>
    <row r="142" spans="1:19">
      <c r="A142" s="275"/>
      <c r="B142" s="275"/>
      <c r="C142" s="275"/>
      <c r="D142" s="275"/>
      <c r="E142" s="275"/>
      <c r="F142" s="275"/>
      <c r="G142" s="275"/>
      <c r="H142" s="275"/>
      <c r="I142" s="275"/>
      <c r="J142" s="275"/>
      <c r="K142" s="275"/>
      <c r="L142" s="275"/>
      <c r="M142" s="275"/>
      <c r="N142" s="275"/>
      <c r="O142" s="275"/>
      <c r="P142" s="275"/>
      <c r="Q142" s="275"/>
      <c r="R142" s="275"/>
      <c r="S142" s="275"/>
    </row>
    <row r="143" spans="1:19">
      <c r="A143" s="275"/>
      <c r="B143" s="275"/>
      <c r="C143" s="275"/>
      <c r="D143" s="275"/>
      <c r="E143" s="275"/>
      <c r="F143" s="275"/>
      <c r="G143" s="275"/>
      <c r="H143" s="275"/>
      <c r="I143" s="275"/>
      <c r="J143" s="275"/>
      <c r="K143" s="275"/>
      <c r="L143" s="275"/>
      <c r="M143" s="275"/>
      <c r="N143" s="275"/>
      <c r="O143" s="275"/>
      <c r="P143" s="275"/>
      <c r="Q143" s="275"/>
      <c r="R143" s="275"/>
      <c r="S143" s="275"/>
    </row>
    <row r="144" spans="1:19">
      <c r="A144" s="275"/>
      <c r="B144" s="275"/>
      <c r="C144" s="275"/>
      <c r="D144" s="275"/>
      <c r="E144" s="275"/>
      <c r="F144" s="275"/>
      <c r="G144" s="275"/>
      <c r="H144" s="275"/>
      <c r="I144" s="275"/>
      <c r="J144" s="275"/>
      <c r="K144" s="275"/>
      <c r="L144" s="275"/>
      <c r="M144" s="275"/>
      <c r="N144" s="275"/>
      <c r="O144" s="275"/>
      <c r="P144" s="275"/>
      <c r="Q144" s="275"/>
      <c r="R144" s="275"/>
      <c r="S144" s="275"/>
    </row>
    <row r="145" spans="1:19">
      <c r="A145" s="275"/>
      <c r="B145" s="275"/>
      <c r="C145" s="275"/>
      <c r="D145" s="275"/>
      <c r="E145" s="275"/>
      <c r="F145" s="275"/>
      <c r="G145" s="275"/>
      <c r="H145" s="275"/>
      <c r="I145" s="275"/>
      <c r="J145" s="275"/>
      <c r="K145" s="275"/>
      <c r="L145" s="275"/>
      <c r="M145" s="275"/>
      <c r="N145" s="275"/>
      <c r="O145" s="275"/>
      <c r="P145" s="275"/>
      <c r="Q145" s="275"/>
      <c r="R145" s="275"/>
      <c r="S145" s="275"/>
    </row>
    <row r="146" spans="1:19">
      <c r="A146" s="275"/>
      <c r="B146" s="275"/>
      <c r="C146" s="275"/>
      <c r="D146" s="275"/>
      <c r="E146" s="275"/>
      <c r="F146" s="275"/>
      <c r="G146" s="275"/>
      <c r="H146" s="275"/>
      <c r="I146" s="275"/>
      <c r="J146" s="275"/>
      <c r="K146" s="275"/>
      <c r="L146" s="275"/>
      <c r="M146" s="275"/>
      <c r="N146" s="275"/>
      <c r="O146" s="275"/>
      <c r="P146" s="275"/>
      <c r="Q146" s="275"/>
      <c r="R146" s="275"/>
      <c r="S146" s="275"/>
    </row>
    <row r="147" spans="1:19">
      <c r="A147" s="275"/>
      <c r="B147" s="275"/>
      <c r="C147" s="275"/>
      <c r="D147" s="275"/>
      <c r="E147" s="275"/>
      <c r="F147" s="275"/>
      <c r="G147" s="275"/>
      <c r="H147" s="275"/>
      <c r="I147" s="275"/>
      <c r="J147" s="275"/>
      <c r="K147" s="275"/>
      <c r="L147" s="275"/>
      <c r="M147" s="275"/>
      <c r="N147" s="275"/>
      <c r="O147" s="275"/>
      <c r="P147" s="275"/>
      <c r="Q147" s="275"/>
      <c r="R147" s="275"/>
      <c r="S147" s="275"/>
    </row>
    <row r="148" spans="1:19">
      <c r="A148" s="275"/>
      <c r="B148" s="275"/>
      <c r="C148" s="275"/>
      <c r="D148" s="275"/>
      <c r="E148" s="275"/>
      <c r="F148" s="275"/>
      <c r="G148" s="275"/>
      <c r="H148" s="275"/>
      <c r="I148" s="275"/>
      <c r="J148" s="275"/>
      <c r="K148" s="275"/>
      <c r="L148" s="275"/>
      <c r="M148" s="275"/>
      <c r="N148" s="275"/>
      <c r="O148" s="275"/>
      <c r="P148" s="275"/>
      <c r="Q148" s="275"/>
      <c r="R148" s="275"/>
      <c r="S148" s="275"/>
    </row>
    <row r="149" spans="1:19">
      <c r="A149" s="275"/>
      <c r="B149" s="275"/>
      <c r="C149" s="275"/>
      <c r="D149" s="275"/>
      <c r="E149" s="275"/>
      <c r="F149" s="275"/>
      <c r="G149" s="275"/>
      <c r="H149" s="275"/>
      <c r="I149" s="275"/>
      <c r="J149" s="275"/>
      <c r="K149" s="275"/>
      <c r="L149" s="275"/>
      <c r="M149" s="275"/>
      <c r="N149" s="275"/>
      <c r="O149" s="275"/>
      <c r="P149" s="275"/>
      <c r="Q149" s="275"/>
      <c r="R149" s="275"/>
      <c r="S149" s="275"/>
    </row>
    <row r="150" spans="1:19">
      <c r="A150" s="275"/>
      <c r="B150" s="275"/>
      <c r="C150" s="275"/>
      <c r="D150" s="275"/>
      <c r="E150" s="275"/>
      <c r="F150" s="275"/>
      <c r="G150" s="275"/>
      <c r="H150" s="275"/>
      <c r="I150" s="275"/>
      <c r="J150" s="275"/>
      <c r="K150" s="275"/>
      <c r="L150" s="275"/>
      <c r="M150" s="275"/>
      <c r="N150" s="275"/>
      <c r="O150" s="275"/>
      <c r="P150" s="275"/>
      <c r="Q150" s="275"/>
      <c r="R150" s="275"/>
      <c r="S150" s="275"/>
    </row>
    <row r="151" spans="1:19">
      <c r="A151" s="275"/>
      <c r="B151" s="275"/>
      <c r="C151" s="275"/>
      <c r="D151" s="275"/>
      <c r="E151" s="275"/>
      <c r="F151" s="275"/>
      <c r="G151" s="275"/>
      <c r="H151" s="275"/>
      <c r="I151" s="275"/>
      <c r="J151" s="275"/>
      <c r="K151" s="275"/>
      <c r="L151" s="275"/>
      <c r="M151" s="275"/>
      <c r="N151" s="275"/>
      <c r="O151" s="275"/>
      <c r="P151" s="275"/>
      <c r="Q151" s="275"/>
      <c r="R151" s="275"/>
      <c r="S151" s="275"/>
    </row>
    <row r="152" spans="1:19">
      <c r="A152" s="275"/>
      <c r="B152" s="275"/>
      <c r="C152" s="275"/>
      <c r="D152" s="275"/>
      <c r="E152" s="275"/>
      <c r="F152" s="275"/>
      <c r="G152" s="275"/>
      <c r="H152" s="275"/>
      <c r="I152" s="275"/>
      <c r="J152" s="275"/>
      <c r="K152" s="275"/>
      <c r="L152" s="275"/>
      <c r="M152" s="275"/>
      <c r="N152" s="275"/>
      <c r="O152" s="275"/>
      <c r="P152" s="275"/>
      <c r="Q152" s="275"/>
      <c r="R152" s="275"/>
      <c r="S152" s="275"/>
    </row>
    <row r="153" spans="1:19">
      <c r="A153" s="275"/>
      <c r="B153" s="275"/>
      <c r="C153" s="275"/>
      <c r="D153" s="275"/>
      <c r="E153" s="275"/>
      <c r="F153" s="275"/>
      <c r="G153" s="275"/>
      <c r="H153" s="275"/>
      <c r="I153" s="275"/>
      <c r="J153" s="275"/>
      <c r="K153" s="275"/>
      <c r="L153" s="275"/>
      <c r="M153" s="275"/>
      <c r="N153" s="275"/>
      <c r="O153" s="275"/>
      <c r="P153" s="275"/>
      <c r="Q153" s="275"/>
      <c r="R153" s="275"/>
      <c r="S153" s="275"/>
    </row>
    <row r="154" spans="1:19">
      <c r="A154" s="275"/>
      <c r="B154" s="275"/>
      <c r="C154" s="275"/>
      <c r="D154" s="275"/>
      <c r="E154" s="275"/>
      <c r="F154" s="275"/>
      <c r="G154" s="275"/>
      <c r="H154" s="275"/>
      <c r="I154" s="275"/>
      <c r="J154" s="275"/>
      <c r="K154" s="275"/>
      <c r="L154" s="275"/>
      <c r="M154" s="275"/>
      <c r="N154" s="275"/>
      <c r="O154" s="275"/>
      <c r="P154" s="275"/>
      <c r="Q154" s="275"/>
      <c r="R154" s="275"/>
      <c r="S154" s="275"/>
    </row>
    <row r="155" spans="1:19">
      <c r="A155" s="275"/>
      <c r="B155" s="275"/>
      <c r="C155" s="275"/>
      <c r="D155" s="275"/>
      <c r="E155" s="275"/>
      <c r="F155" s="275"/>
      <c r="G155" s="275"/>
      <c r="H155" s="275"/>
      <c r="I155" s="275"/>
      <c r="J155" s="275"/>
      <c r="K155" s="275"/>
      <c r="L155" s="275"/>
      <c r="M155" s="275"/>
      <c r="N155" s="275"/>
      <c r="O155" s="275"/>
      <c r="P155" s="275"/>
      <c r="Q155" s="275"/>
      <c r="R155" s="275"/>
      <c r="S155" s="275"/>
    </row>
    <row r="156" spans="1:19">
      <c r="A156" s="275"/>
      <c r="B156" s="275"/>
      <c r="C156" s="275"/>
      <c r="D156" s="275"/>
      <c r="E156" s="275"/>
      <c r="F156" s="275"/>
      <c r="G156" s="275"/>
      <c r="H156" s="275"/>
      <c r="I156" s="275"/>
      <c r="J156" s="275"/>
      <c r="K156" s="275"/>
      <c r="L156" s="275"/>
      <c r="M156" s="275"/>
      <c r="N156" s="275"/>
      <c r="O156" s="275"/>
      <c r="P156" s="275"/>
      <c r="Q156" s="275"/>
      <c r="R156" s="275"/>
      <c r="S156" s="275"/>
    </row>
    <row r="157" spans="1:19">
      <c r="A157" s="275"/>
      <c r="B157" s="275"/>
      <c r="C157" s="275"/>
      <c r="D157" s="275"/>
      <c r="E157" s="275"/>
      <c r="F157" s="275"/>
      <c r="G157" s="275"/>
      <c r="H157" s="275"/>
      <c r="I157" s="275"/>
      <c r="J157" s="275"/>
      <c r="K157" s="275"/>
      <c r="L157" s="275"/>
      <c r="M157" s="275"/>
      <c r="N157" s="275"/>
      <c r="O157" s="275"/>
      <c r="P157" s="275"/>
      <c r="Q157" s="275"/>
      <c r="R157" s="275"/>
      <c r="S157" s="275"/>
    </row>
    <row r="158" spans="1:19">
      <c r="A158" s="275"/>
      <c r="B158" s="275"/>
      <c r="C158" s="275"/>
      <c r="D158" s="275"/>
      <c r="E158" s="275"/>
      <c r="F158" s="275"/>
      <c r="G158" s="275"/>
      <c r="H158" s="275"/>
      <c r="I158" s="275"/>
      <c r="J158" s="275"/>
      <c r="K158" s="275"/>
      <c r="L158" s="275"/>
      <c r="M158" s="275"/>
      <c r="N158" s="275"/>
      <c r="O158" s="275"/>
      <c r="P158" s="275"/>
      <c r="Q158" s="275"/>
      <c r="R158" s="275"/>
      <c r="S158" s="275"/>
    </row>
    <row r="159" spans="1:19">
      <c r="A159" s="275"/>
      <c r="B159" s="275"/>
      <c r="C159" s="275"/>
      <c r="D159" s="275"/>
      <c r="E159" s="275"/>
      <c r="F159" s="275"/>
      <c r="G159" s="275"/>
      <c r="H159" s="275"/>
      <c r="I159" s="275"/>
      <c r="J159" s="275"/>
      <c r="K159" s="275"/>
      <c r="L159" s="275"/>
      <c r="M159" s="275"/>
      <c r="N159" s="275"/>
      <c r="O159" s="275"/>
      <c r="P159" s="275"/>
      <c r="Q159" s="275"/>
      <c r="R159" s="275"/>
      <c r="S159" s="275"/>
    </row>
    <row r="160" spans="1:19">
      <c r="A160" s="275"/>
      <c r="B160" s="275"/>
      <c r="C160" s="275"/>
      <c r="D160" s="275"/>
      <c r="E160" s="275"/>
      <c r="F160" s="275"/>
      <c r="G160" s="275"/>
      <c r="H160" s="275"/>
      <c r="I160" s="275"/>
      <c r="J160" s="275"/>
      <c r="K160" s="275"/>
      <c r="L160" s="275"/>
      <c r="M160" s="275"/>
      <c r="N160" s="275"/>
      <c r="O160" s="275"/>
      <c r="P160" s="275"/>
      <c r="Q160" s="275"/>
      <c r="R160" s="275"/>
      <c r="S160" s="275"/>
    </row>
    <row r="161" spans="1:19">
      <c r="A161" s="275"/>
      <c r="B161" s="275"/>
      <c r="C161" s="275"/>
      <c r="D161" s="275"/>
      <c r="E161" s="275"/>
      <c r="F161" s="275"/>
      <c r="G161" s="275"/>
      <c r="H161" s="275"/>
      <c r="I161" s="275"/>
      <c r="J161" s="275"/>
      <c r="K161" s="275"/>
      <c r="L161" s="275"/>
      <c r="M161" s="275"/>
      <c r="N161" s="275"/>
      <c r="O161" s="275"/>
      <c r="P161" s="275"/>
      <c r="Q161" s="275"/>
      <c r="R161" s="275"/>
      <c r="S161" s="275"/>
    </row>
    <row r="162" spans="1:19">
      <c r="A162" s="275"/>
      <c r="B162" s="275"/>
      <c r="C162" s="275"/>
      <c r="D162" s="275"/>
      <c r="E162" s="275"/>
      <c r="F162" s="275"/>
      <c r="G162" s="275"/>
      <c r="H162" s="275"/>
      <c r="I162" s="275"/>
      <c r="J162" s="275"/>
      <c r="K162" s="275"/>
      <c r="L162" s="275"/>
      <c r="M162" s="275"/>
      <c r="N162" s="275"/>
      <c r="O162" s="275"/>
      <c r="P162" s="275"/>
      <c r="Q162" s="275"/>
      <c r="R162" s="275"/>
      <c r="S162" s="275"/>
    </row>
    <row r="163" spans="1:19">
      <c r="A163" s="275"/>
      <c r="B163" s="275"/>
      <c r="C163" s="275"/>
      <c r="D163" s="275"/>
      <c r="E163" s="275"/>
      <c r="F163" s="275"/>
      <c r="G163" s="275"/>
      <c r="H163" s="275"/>
      <c r="I163" s="275"/>
      <c r="J163" s="275"/>
      <c r="K163" s="275"/>
      <c r="L163" s="275"/>
      <c r="M163" s="275"/>
      <c r="N163" s="275"/>
      <c r="O163" s="275"/>
      <c r="P163" s="275"/>
      <c r="Q163" s="275"/>
      <c r="R163" s="275"/>
      <c r="S163" s="275"/>
    </row>
    <row r="164" spans="1:19">
      <c r="A164" s="275"/>
      <c r="B164" s="275"/>
      <c r="C164" s="275"/>
      <c r="D164" s="275"/>
      <c r="E164" s="275"/>
      <c r="F164" s="275"/>
      <c r="G164" s="275"/>
      <c r="H164" s="275"/>
      <c r="I164" s="275"/>
      <c r="J164" s="275"/>
      <c r="K164" s="275"/>
      <c r="L164" s="275"/>
      <c r="M164" s="275"/>
      <c r="N164" s="275"/>
      <c r="O164" s="275"/>
      <c r="P164" s="275"/>
      <c r="Q164" s="275"/>
      <c r="R164" s="275"/>
      <c r="S164" s="275"/>
    </row>
    <row r="165" spans="1:19">
      <c r="A165" s="275"/>
      <c r="B165" s="275"/>
      <c r="C165" s="275"/>
      <c r="D165" s="275"/>
      <c r="E165" s="275"/>
      <c r="F165" s="275"/>
      <c r="G165" s="275"/>
      <c r="H165" s="275"/>
      <c r="I165" s="275"/>
      <c r="J165" s="275"/>
      <c r="K165" s="275"/>
      <c r="L165" s="275"/>
      <c r="M165" s="275"/>
      <c r="N165" s="275"/>
      <c r="O165" s="275"/>
      <c r="P165" s="275"/>
      <c r="Q165" s="275"/>
      <c r="R165" s="275"/>
      <c r="S165" s="275"/>
    </row>
  </sheetData>
  <sheetProtection insertRows="0" deleteRows="0"/>
  <dataConsolidate/>
  <mergeCells count="159">
    <mergeCell ref="A2:U2"/>
    <mergeCell ref="M3:O3"/>
    <mergeCell ref="P3:U3"/>
    <mergeCell ref="M4:O4"/>
    <mergeCell ref="P4:S4"/>
    <mergeCell ref="T4:U4"/>
    <mergeCell ref="B10:D10"/>
    <mergeCell ref="G10:J10"/>
    <mergeCell ref="P10:R10"/>
    <mergeCell ref="B8:D8"/>
    <mergeCell ref="G8:J8"/>
    <mergeCell ref="P8:R8"/>
    <mergeCell ref="M5:O5"/>
    <mergeCell ref="P5:S5"/>
    <mergeCell ref="T5:U5"/>
    <mergeCell ref="B7:D7"/>
    <mergeCell ref="G7:J7"/>
    <mergeCell ref="P7:R7"/>
    <mergeCell ref="B11:D11"/>
    <mergeCell ref="G11:J11"/>
    <mergeCell ref="P11:R11"/>
    <mergeCell ref="B9:D9"/>
    <mergeCell ref="G9:J9"/>
    <mergeCell ref="P9:R9"/>
    <mergeCell ref="B14:D14"/>
    <mergeCell ref="G14:J14"/>
    <mergeCell ref="P14:R14"/>
    <mergeCell ref="B15:D15"/>
    <mergeCell ref="G15:J15"/>
    <mergeCell ref="P15:R15"/>
    <mergeCell ref="B12:D12"/>
    <mergeCell ref="G12:J12"/>
    <mergeCell ref="P12:R12"/>
    <mergeCell ref="B13:D13"/>
    <mergeCell ref="G13:J13"/>
    <mergeCell ref="P13:R13"/>
    <mergeCell ref="B18:D18"/>
    <mergeCell ref="G18:J18"/>
    <mergeCell ref="P18:R18"/>
    <mergeCell ref="B19:D19"/>
    <mergeCell ref="G19:J19"/>
    <mergeCell ref="P19:R19"/>
    <mergeCell ref="B16:D16"/>
    <mergeCell ref="G16:J16"/>
    <mergeCell ref="P16:R16"/>
    <mergeCell ref="B17:D17"/>
    <mergeCell ref="G17:J17"/>
    <mergeCell ref="P17:R17"/>
    <mergeCell ref="B22:D22"/>
    <mergeCell ref="G22:J22"/>
    <mergeCell ref="P22:R22"/>
    <mergeCell ref="B23:D23"/>
    <mergeCell ref="G23:J23"/>
    <mergeCell ref="P23:R23"/>
    <mergeCell ref="B20:D20"/>
    <mergeCell ref="G20:J20"/>
    <mergeCell ref="P20:R20"/>
    <mergeCell ref="B21:D21"/>
    <mergeCell ref="G21:J21"/>
    <mergeCell ref="P21:R21"/>
    <mergeCell ref="B26:D26"/>
    <mergeCell ref="G26:J26"/>
    <mergeCell ref="P26:R26"/>
    <mergeCell ref="B27:D27"/>
    <mergeCell ref="G27:J27"/>
    <mergeCell ref="P27:R27"/>
    <mergeCell ref="B24:D24"/>
    <mergeCell ref="G24:J24"/>
    <mergeCell ref="P24:R24"/>
    <mergeCell ref="B25:D25"/>
    <mergeCell ref="G25:J25"/>
    <mergeCell ref="P25:R25"/>
    <mergeCell ref="B30:D30"/>
    <mergeCell ref="G30:J30"/>
    <mergeCell ref="P30:R30"/>
    <mergeCell ref="B31:D31"/>
    <mergeCell ref="G31:J31"/>
    <mergeCell ref="P31:R31"/>
    <mergeCell ref="B28:D28"/>
    <mergeCell ref="G28:J28"/>
    <mergeCell ref="P28:R28"/>
    <mergeCell ref="B29:D29"/>
    <mergeCell ref="G29:J29"/>
    <mergeCell ref="P29:R29"/>
    <mergeCell ref="B34:D34"/>
    <mergeCell ref="G34:J34"/>
    <mergeCell ref="P34:R34"/>
    <mergeCell ref="B35:D35"/>
    <mergeCell ref="G35:J35"/>
    <mergeCell ref="P35:R35"/>
    <mergeCell ref="B32:D32"/>
    <mergeCell ref="G32:J32"/>
    <mergeCell ref="P32:R32"/>
    <mergeCell ref="B33:D33"/>
    <mergeCell ref="G33:J33"/>
    <mergeCell ref="P33:R33"/>
    <mergeCell ref="B38:D38"/>
    <mergeCell ref="G38:J38"/>
    <mergeCell ref="P38:R38"/>
    <mergeCell ref="B39:D39"/>
    <mergeCell ref="G39:J39"/>
    <mergeCell ref="P39:R39"/>
    <mergeCell ref="B36:D36"/>
    <mergeCell ref="G36:J36"/>
    <mergeCell ref="P36:R36"/>
    <mergeCell ref="B37:D37"/>
    <mergeCell ref="G37:J37"/>
    <mergeCell ref="P37:R37"/>
    <mergeCell ref="B42:D42"/>
    <mergeCell ref="G42:J42"/>
    <mergeCell ref="P42:R42"/>
    <mergeCell ref="B43:D43"/>
    <mergeCell ref="G43:J43"/>
    <mergeCell ref="P43:R43"/>
    <mergeCell ref="B40:D40"/>
    <mergeCell ref="G40:J40"/>
    <mergeCell ref="P40:R40"/>
    <mergeCell ref="B41:D41"/>
    <mergeCell ref="G41:J41"/>
    <mergeCell ref="P41:R41"/>
    <mergeCell ref="B46:D46"/>
    <mergeCell ref="G46:J46"/>
    <mergeCell ref="P46:R46"/>
    <mergeCell ref="B47:D47"/>
    <mergeCell ref="G47:J47"/>
    <mergeCell ref="P47:R47"/>
    <mergeCell ref="B44:D44"/>
    <mergeCell ref="G44:J44"/>
    <mergeCell ref="P44:R44"/>
    <mergeCell ref="B45:D45"/>
    <mergeCell ref="G45:J45"/>
    <mergeCell ref="P45:R45"/>
    <mergeCell ref="B50:D50"/>
    <mergeCell ref="G50:J50"/>
    <mergeCell ref="P50:R50"/>
    <mergeCell ref="B51:D51"/>
    <mergeCell ref="G51:J51"/>
    <mergeCell ref="P51:R51"/>
    <mergeCell ref="B48:D48"/>
    <mergeCell ref="G48:J48"/>
    <mergeCell ref="P48:R48"/>
    <mergeCell ref="B49:D49"/>
    <mergeCell ref="G49:J49"/>
    <mergeCell ref="P49:R49"/>
    <mergeCell ref="A73:D73"/>
    <mergeCell ref="G73:J73"/>
    <mergeCell ref="P73:R73"/>
    <mergeCell ref="B69:D69"/>
    <mergeCell ref="G69:J69"/>
    <mergeCell ref="P69:R69"/>
    <mergeCell ref="B70:D70"/>
    <mergeCell ref="G70:J70"/>
    <mergeCell ref="P70:R70"/>
    <mergeCell ref="B71:D71"/>
    <mergeCell ref="G71:J71"/>
    <mergeCell ref="P71:R71"/>
    <mergeCell ref="B72:D72"/>
    <mergeCell ref="G72:J72"/>
    <mergeCell ref="P72:R72"/>
  </mergeCells>
  <phoneticPr fontId="1"/>
  <dataValidations count="4">
    <dataValidation type="list" allowBlank="1" showInputMessage="1" showErrorMessage="1" sqref="O8:O72" xr:uid="{E700D04F-717F-4B07-A072-08227AA9CC78}">
      <formula1>$AQ$9:$AQ$13</formula1>
    </dataValidation>
    <dataValidation type="whole" allowBlank="1" showInputMessage="1" showErrorMessage="1" sqref="F8:F72" xr:uid="{CF591B2A-3421-455F-AEC3-9B7612BBFE3A}">
      <formula1>1</formula1>
      <formula2>6</formula2>
    </dataValidation>
    <dataValidation type="whole" allowBlank="1" showInputMessage="1" showErrorMessage="1" sqref="S8:S72" xr:uid="{A037B403-5371-46B3-BC16-E5162230FD80}">
      <formula1>1</formula1>
      <formula2>12</formula2>
    </dataValidation>
    <dataValidation type="list" allowBlank="1" showInputMessage="1" showErrorMessage="1" sqref="K8:N72" xr:uid="{53F391BB-D65C-411F-BF83-296F09121B24}">
      <formula1>$AM$9:$AM$10</formula1>
    </dataValidation>
  </dataValidations>
  <pageMargins left="0.51181102362204722" right="0.51181102362204722" top="0.35433070866141736" bottom="0.19685039370078741" header="0.31496062992125984" footer="0.31496062992125984"/>
  <pageSetup paperSize="9" scale="53" fitToWidth="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69159-2186-4699-93F5-62BFEC62D8F1}">
  <dimension ref="A1:X34"/>
  <sheetViews>
    <sheetView view="pageBreakPreview" zoomScaleNormal="100" zoomScaleSheetLayoutView="100" workbookViewId="0">
      <selection activeCell="Q26" sqref="Q26"/>
    </sheetView>
  </sheetViews>
  <sheetFormatPr defaultColWidth="9" defaultRowHeight="13.5"/>
  <cols>
    <col min="1" max="1" width="5" style="1" customWidth="1"/>
    <col min="2" max="2" width="7.125" style="1" bestFit="1" customWidth="1"/>
    <col min="3" max="3" width="9.375" style="1" customWidth="1"/>
    <col min="4" max="15" width="6.625" style="1" customWidth="1"/>
    <col min="16" max="16" width="7.625" style="1" customWidth="1"/>
    <col min="17" max="17" width="26.875" style="1" customWidth="1"/>
    <col min="18" max="18" width="9" style="1"/>
    <col min="19" max="19" width="9.125" style="1" bestFit="1" customWidth="1"/>
    <col min="20" max="16384" width="9" style="1"/>
  </cols>
  <sheetData>
    <row r="1" spans="1:17">
      <c r="A1" s="1" t="s">
        <v>637</v>
      </c>
    </row>
    <row r="2" spans="1:17" ht="16.5">
      <c r="D2" s="66" t="s">
        <v>234</v>
      </c>
      <c r="L2" s="680" t="s">
        <v>562</v>
      </c>
      <c r="M2" s="680"/>
      <c r="N2" s="681" t="str">
        <f>'様式６（事業計画変更申請書）'!J10</f>
        <v>●●法人　●●●●</v>
      </c>
      <c r="O2" s="681"/>
      <c r="P2" s="681"/>
      <c r="Q2" s="681"/>
    </row>
    <row r="3" spans="1:17">
      <c r="A3" s="33" t="s">
        <v>201</v>
      </c>
    </row>
    <row r="4" spans="1:17">
      <c r="C4" s="34"/>
      <c r="D4" s="35" t="s">
        <v>202</v>
      </c>
      <c r="E4" s="35" t="s">
        <v>203</v>
      </c>
      <c r="F4" s="35" t="s">
        <v>204</v>
      </c>
      <c r="G4" s="35" t="s">
        <v>205</v>
      </c>
      <c r="H4" s="35" t="s">
        <v>206</v>
      </c>
      <c r="I4" s="35" t="s">
        <v>207</v>
      </c>
      <c r="J4" s="35" t="s">
        <v>208</v>
      </c>
      <c r="K4" s="35" t="s">
        <v>209</v>
      </c>
      <c r="L4" s="35" t="s">
        <v>210</v>
      </c>
      <c r="M4" s="35" t="s">
        <v>211</v>
      </c>
      <c r="N4" s="35" t="s">
        <v>212</v>
      </c>
      <c r="O4" s="35" t="s">
        <v>213</v>
      </c>
      <c r="P4" s="36" t="s">
        <v>214</v>
      </c>
      <c r="Q4" s="1" t="s">
        <v>417</v>
      </c>
    </row>
    <row r="5" spans="1:17" ht="14.25" thickBot="1">
      <c r="B5" s="700" t="s">
        <v>215</v>
      </c>
      <c r="C5" s="701"/>
      <c r="D5" s="37">
        <f>SUM(D7:D11)</f>
        <v>25</v>
      </c>
      <c r="E5" s="37">
        <f t="shared" ref="E5:O5" si="0">SUM(E7:E11)</f>
        <v>27</v>
      </c>
      <c r="F5" s="37">
        <f t="shared" si="0"/>
        <v>27</v>
      </c>
      <c r="G5" s="37">
        <f t="shared" si="0"/>
        <v>27</v>
      </c>
      <c r="H5" s="37">
        <f t="shared" si="0"/>
        <v>27</v>
      </c>
      <c r="I5" s="37">
        <f t="shared" si="0"/>
        <v>27</v>
      </c>
      <c r="J5" s="37">
        <f t="shared" si="0"/>
        <v>27</v>
      </c>
      <c r="K5" s="37">
        <f t="shared" si="0"/>
        <v>31</v>
      </c>
      <c r="L5" s="37">
        <f t="shared" si="0"/>
        <v>34</v>
      </c>
      <c r="M5" s="37">
        <f t="shared" si="0"/>
        <v>34</v>
      </c>
      <c r="N5" s="37">
        <f t="shared" si="0"/>
        <v>32</v>
      </c>
      <c r="O5" s="37">
        <f t="shared" si="0"/>
        <v>32</v>
      </c>
      <c r="P5" s="61">
        <f>SUM(D5:O5)</f>
        <v>350</v>
      </c>
      <c r="Q5" s="299" t="str">
        <f>IF(P5='様式１（放課後児童名簿・利用料割引者名簿）'!S73,"OK","様式1名簿と合っていません")</f>
        <v>OK</v>
      </c>
    </row>
    <row r="6" spans="1:17" ht="14.25" thickBot="1">
      <c r="B6" s="685" t="s">
        <v>216</v>
      </c>
      <c r="C6" s="702"/>
      <c r="D6" s="129">
        <v>1</v>
      </c>
      <c r="E6" s="129">
        <v>1</v>
      </c>
      <c r="F6" s="129">
        <v>1</v>
      </c>
      <c r="G6" s="129">
        <v>1</v>
      </c>
      <c r="H6" s="129">
        <v>1</v>
      </c>
      <c r="I6" s="129">
        <v>1</v>
      </c>
      <c r="J6" s="129">
        <v>1</v>
      </c>
      <c r="K6" s="129">
        <v>1</v>
      </c>
      <c r="L6" s="129">
        <v>1</v>
      </c>
      <c r="M6" s="129">
        <v>1</v>
      </c>
      <c r="N6" s="129">
        <v>1</v>
      </c>
      <c r="O6" s="130">
        <v>1</v>
      </c>
      <c r="P6" s="60">
        <f>SUM(D6:O6)</f>
        <v>12</v>
      </c>
      <c r="Q6" s="1" t="str">
        <f>IF(P6='様式１（放課後児童名簿・利用料割引者名簿）'!P76,"OK","様式１名簿と合っていません")</f>
        <v>OK</v>
      </c>
    </row>
    <row r="7" spans="1:17">
      <c r="B7" s="703" t="s">
        <v>217</v>
      </c>
      <c r="C7" s="54" t="s">
        <v>218</v>
      </c>
      <c r="D7" s="131">
        <v>21</v>
      </c>
      <c r="E7" s="131">
        <v>23</v>
      </c>
      <c r="F7" s="131">
        <v>23</v>
      </c>
      <c r="G7" s="131">
        <v>23</v>
      </c>
      <c r="H7" s="131">
        <v>23</v>
      </c>
      <c r="I7" s="131">
        <v>23</v>
      </c>
      <c r="J7" s="132">
        <v>23</v>
      </c>
      <c r="K7" s="132">
        <v>27</v>
      </c>
      <c r="L7" s="132">
        <v>30</v>
      </c>
      <c r="M7" s="132">
        <v>30</v>
      </c>
      <c r="N7" s="132">
        <v>30</v>
      </c>
      <c r="O7" s="132">
        <v>30</v>
      </c>
      <c r="P7" s="60">
        <f t="shared" ref="P7:P11" si="1">SUM(D7:O7)</f>
        <v>306</v>
      </c>
      <c r="Q7" s="1" t="str">
        <f>IF(P7='様式１（放課後児童名簿・利用料割引者名簿）'!K76,"OK","様式１名簿と合っていません")</f>
        <v>OK</v>
      </c>
    </row>
    <row r="8" spans="1:17">
      <c r="B8" s="704"/>
      <c r="C8" s="55" t="s">
        <v>219</v>
      </c>
      <c r="D8" s="133">
        <v>2</v>
      </c>
      <c r="E8" s="133">
        <v>2</v>
      </c>
      <c r="F8" s="133">
        <v>2</v>
      </c>
      <c r="G8" s="133">
        <v>2</v>
      </c>
      <c r="H8" s="133">
        <v>2</v>
      </c>
      <c r="I8" s="133">
        <v>2</v>
      </c>
      <c r="J8" s="134">
        <v>2</v>
      </c>
      <c r="K8" s="134">
        <v>2</v>
      </c>
      <c r="L8" s="134">
        <v>2</v>
      </c>
      <c r="M8" s="134">
        <v>2</v>
      </c>
      <c r="N8" s="134">
        <v>0</v>
      </c>
      <c r="O8" s="134">
        <v>0</v>
      </c>
      <c r="P8" s="60">
        <f t="shared" si="1"/>
        <v>20</v>
      </c>
      <c r="Q8" s="1" t="str">
        <f>IF(P8='様式１（放課後児童名簿・利用料割引者名簿）'!L76,"OK","様式１名簿と合っていません")</f>
        <v>OK</v>
      </c>
    </row>
    <row r="9" spans="1:17">
      <c r="B9" s="704"/>
      <c r="C9" s="55" t="s">
        <v>220</v>
      </c>
      <c r="D9" s="133"/>
      <c r="E9" s="133"/>
      <c r="F9" s="133"/>
      <c r="G9" s="133"/>
      <c r="H9" s="133"/>
      <c r="I9" s="133"/>
      <c r="J9" s="134"/>
      <c r="K9" s="134"/>
      <c r="L9" s="134"/>
      <c r="M9" s="134"/>
      <c r="N9" s="134"/>
      <c r="O9" s="134"/>
      <c r="P9" s="60">
        <f t="shared" si="1"/>
        <v>0</v>
      </c>
      <c r="Q9" s="1" t="str">
        <f>IF(P9='様式１（放課後児童名簿・利用料割引者名簿）'!M76,"OK","様式１名簿と合っていません")</f>
        <v>OK</v>
      </c>
    </row>
    <row r="10" spans="1:17">
      <c r="B10" s="704"/>
      <c r="C10" s="55" t="s">
        <v>221</v>
      </c>
      <c r="D10" s="133">
        <v>2</v>
      </c>
      <c r="E10" s="133">
        <v>2</v>
      </c>
      <c r="F10" s="133">
        <v>2</v>
      </c>
      <c r="G10" s="133">
        <v>2</v>
      </c>
      <c r="H10" s="133">
        <v>2</v>
      </c>
      <c r="I10" s="133">
        <v>2</v>
      </c>
      <c r="J10" s="134">
        <v>2</v>
      </c>
      <c r="K10" s="134">
        <v>2</v>
      </c>
      <c r="L10" s="134">
        <v>2</v>
      </c>
      <c r="M10" s="134">
        <v>2</v>
      </c>
      <c r="N10" s="134">
        <v>2</v>
      </c>
      <c r="O10" s="134">
        <v>2</v>
      </c>
      <c r="P10" s="60">
        <f t="shared" si="1"/>
        <v>24</v>
      </c>
      <c r="Q10" s="1" t="str">
        <f>IF(P10='様式１（放課後児童名簿・利用料割引者名簿）'!N76,"OK","様式１名簿と合っていません")</f>
        <v>OK</v>
      </c>
    </row>
    <row r="11" spans="1:17" ht="14.25" thickBot="1">
      <c r="B11" s="704"/>
      <c r="C11" s="56" t="s">
        <v>222</v>
      </c>
      <c r="D11" s="135"/>
      <c r="E11" s="135"/>
      <c r="F11" s="135"/>
      <c r="G11" s="135"/>
      <c r="H11" s="135"/>
      <c r="I11" s="135"/>
      <c r="J11" s="136"/>
      <c r="K11" s="136"/>
      <c r="L11" s="136"/>
      <c r="M11" s="136"/>
      <c r="N11" s="136"/>
      <c r="O11" s="136"/>
      <c r="P11" s="60">
        <f t="shared" si="1"/>
        <v>0</v>
      </c>
      <c r="Q11" s="1" t="str">
        <f>IF(P11='様式１（放課後児童名簿・利用料割引者名簿）'!O76,"OK","様式１名簿と合っていません")</f>
        <v>OK</v>
      </c>
    </row>
    <row r="12" spans="1:17" ht="14.25" thickBot="1">
      <c r="B12" s="42" t="s">
        <v>306</v>
      </c>
      <c r="C12" s="46"/>
      <c r="D12" s="43">
        <f>D7+ROUNDUP(D8*0.8,0)+ROUNDUP(D9*0.6,0)+ROUNDUP(D10*0.4,0)+ROUNDUP(D11*0.2,0)</f>
        <v>24</v>
      </c>
      <c r="E12" s="59">
        <f t="shared" ref="E12:O12" si="2">E7+ROUNDUP(E8*0.8,0)+ROUNDUP(E9*0.6,0)+ROUNDUP(E10*0.4,0)+ROUNDUP(E11*0.2,0)</f>
        <v>26</v>
      </c>
      <c r="F12" s="59">
        <f t="shared" si="2"/>
        <v>26</v>
      </c>
      <c r="G12" s="59">
        <f t="shared" si="2"/>
        <v>26</v>
      </c>
      <c r="H12" s="59">
        <f t="shared" si="2"/>
        <v>26</v>
      </c>
      <c r="I12" s="59">
        <f t="shared" si="2"/>
        <v>26</v>
      </c>
      <c r="J12" s="59">
        <f t="shared" si="2"/>
        <v>26</v>
      </c>
      <c r="K12" s="59">
        <f t="shared" si="2"/>
        <v>30</v>
      </c>
      <c r="L12" s="59">
        <f t="shared" si="2"/>
        <v>33</v>
      </c>
      <c r="M12" s="59">
        <f t="shared" si="2"/>
        <v>33</v>
      </c>
      <c r="N12" s="59">
        <f t="shared" si="2"/>
        <v>31</v>
      </c>
      <c r="O12" s="59">
        <f t="shared" si="2"/>
        <v>31</v>
      </c>
      <c r="P12" s="39">
        <f>ROUNDUP(AVERAGE(D12:O12),0)</f>
        <v>29</v>
      </c>
    </row>
    <row r="13" spans="1:17" ht="14.25" thickBot="1">
      <c r="B13" s="706" t="s">
        <v>238</v>
      </c>
      <c r="C13" s="707"/>
      <c r="D13" s="57">
        <f>IF(D12="","",COUNTIF(様式４年間開所カレンダー!D5:D34,"平日")+COUNTIF(様式４年間開所カレンダー!D5:D34,"土・日・祝・長期休暇")+COUNTIF(様式４年間開所カレンダー!D5:D34,"平日：開所とみなす閉所")+COUNTIF(様式４年間開所カレンダー!D5:D34,"土日祝長期：開所とみなす閉所"))</f>
        <v>23</v>
      </c>
      <c r="E13" s="57">
        <f>IF(E12="","",COUNTIF(様式４年間開所カレンダー!D35:D65,"平日")+COUNTIF(様式４年間開所カレンダー!D35:D65,"土・日・祝・長期休暇")+COUNTIF(様式４年間開所カレンダー!D35:D65,"平日：開所とみなす閉所")+COUNTIF(様式４年間開所カレンダー!D35:D65,"土日祝長期：開所とみなす閉所"))</f>
        <v>27</v>
      </c>
      <c r="F13" s="57">
        <f>IF(F12="","",COUNTIF(様式４年間開所カレンダー!D66:D95,"平日")+COUNTIF(様式４年間開所カレンダー!D66:D95,"土・日・祝・長期休暇")+COUNTIF(様式４年間開所カレンダー!D66:D95,"平日：開所とみなす閉所")+COUNTIF(様式４年間開所カレンダー!D66:D95,"土日祝長期：開所とみなす閉所"))</f>
        <v>26</v>
      </c>
      <c r="G13" s="57">
        <f>IF(G12="","",COUNTIF(様式４年間開所カレンダー!D96:D126,"平日")+COUNTIF(様式４年間開所カレンダー!D96:D126,"土・日・祝・長期休暇")+COUNTIF(様式４年間開所カレンダー!D96:D126,"平日：開所とみなす閉所")+COUNTIF(様式４年間開所カレンダー!D96:D126,"土日祝長期：開所とみなす閉所"))</f>
        <v>26</v>
      </c>
      <c r="H13" s="57">
        <f>IF(H12="","",COUNTIF(様式４年間開所カレンダー!D127:D157,"平日")+COUNTIF(様式４年間開所カレンダー!D127:D157,"土・日・祝・長期休暇")+COUNTIF(様式４年間開所カレンダー!D127:D157,"平日：開所とみなす閉所")+COUNTIF(様式４年間開所カレンダー!D127:D157,"土日祝長期：開所とみなす閉所"))</f>
        <v>27</v>
      </c>
      <c r="I13" s="57">
        <f>IF(I12="","",COUNTIF(様式４年間開所カレンダー!D158:D187,"平日")+COUNTIF(様式４年間開所カレンダー!D158:D187,"土・日・祝・長期休暇")+COUNTIF(様式４年間開所カレンダー!D158:D187,"平日：開所とみなす閉所")+COUNTIF(様式４年間開所カレンダー!D158:D187,"土日祝長期：開所とみなす閉所"))</f>
        <v>26</v>
      </c>
      <c r="J13" s="57">
        <f>IF(J12="","",COUNTIF(様式４年間開所カレンダー!D188:D218,"平日")+COUNTIF(様式４年間開所カレンダー!D188:D218,"土・日・祝・長期休暇")+COUNTIF(様式４年間開所カレンダー!D188:D218,"平日：開所とみなす閉所")+COUNTIF(様式４年間開所カレンダー!D188:D218,"土日祝長期：開所とみなす閉所"))</f>
        <v>26</v>
      </c>
      <c r="K13" s="57">
        <f>IF(K12="","",COUNTIF(様式４年間開所カレンダー!D219:D248,"平日")+COUNTIF(様式４年間開所カレンダー!D219:D248,"土・日・祝・長期休暇")+COUNTIF(様式４年間開所カレンダー!D219:D248,"平日：開所とみなす閉所")+COUNTIF(様式４年間開所カレンダー!D219:D248,"土日祝長期：開所とみなす閉所"))</f>
        <v>26</v>
      </c>
      <c r="L13" s="57">
        <f>IF(L12="","",COUNTIF(様式４年間開所カレンダー!D249:D279,"平日")+COUNTIF(様式４年間開所カレンダー!D249:D279,"土・日・祝・長期休暇")+COUNTIF(様式４年間開所カレンダー!D249:D279,"平日：開所とみなす閉所")+COUNTIF(様式４年間開所カレンダー!D249:D279,"土日祝長期：開所とみなす閉所"))</f>
        <v>26</v>
      </c>
      <c r="M13" s="57">
        <f>IF(M12="","",COUNTIF(様式４年間開所カレンダー!D280:D310,"平日")+COUNTIF(様式４年間開所カレンダー!D280:D310,"土・日・祝・長期休暇")+COUNTIF(様式４年間開所カレンダー!D280:D310,"平日：開所とみなす閉所")+COUNTIF(様式４年間開所カレンダー!D280:D310,"土日祝長期：開所とみなす閉所"))</f>
        <v>24</v>
      </c>
      <c r="N13" s="57">
        <f>IF(N12="","",COUNTIF(様式４年間開所カレンダー!D311:D339,"平日")+COUNTIF(様式４年間開所カレンダー!D311:D339,"土・日・祝・長期休暇")+COUNTIF(様式４年間開所カレンダー!D311:D339,"平日：開所とみなす閉所")+COUNTIF(様式４年間開所カレンダー!D311:D339,"土日祝長期：開所とみなす閉所"))</f>
        <v>25</v>
      </c>
      <c r="O13" s="58">
        <f>IF(O12="","",COUNTIF(様式４年間開所カレンダー!D340:D370,"平日")+COUNTIF(様式４年間開所カレンダー!D340:D370,"土・日・祝・長期休暇")+COUNTIF(様式４年間開所カレンダー!D340:D370,"平日：開所とみなす閉所")+COUNTIF(様式４年間開所カレンダー!D340:D370,"土日祝長期：開所とみなす閉所"))</f>
        <v>26</v>
      </c>
      <c r="P13" s="39">
        <f>SUM(D13:O13)</f>
        <v>308</v>
      </c>
    </row>
    <row r="15" spans="1:17" ht="14.25" thickBot="1">
      <c r="A15" s="33" t="s">
        <v>223</v>
      </c>
      <c r="D15" s="40" t="s">
        <v>202</v>
      </c>
      <c r="E15" s="40" t="s">
        <v>203</v>
      </c>
      <c r="F15" s="40" t="s">
        <v>204</v>
      </c>
      <c r="G15" s="40" t="s">
        <v>205</v>
      </c>
      <c r="H15" s="40" t="s">
        <v>206</v>
      </c>
      <c r="I15" s="40" t="s">
        <v>207</v>
      </c>
      <c r="J15" s="40" t="s">
        <v>208</v>
      </c>
      <c r="K15" s="40" t="s">
        <v>209</v>
      </c>
      <c r="L15" s="40" t="s">
        <v>210</v>
      </c>
      <c r="M15" s="40" t="s">
        <v>211</v>
      </c>
      <c r="N15" s="40" t="s">
        <v>212</v>
      </c>
      <c r="O15" s="41" t="s">
        <v>213</v>
      </c>
      <c r="P15" s="36" t="s">
        <v>214</v>
      </c>
    </row>
    <row r="16" spans="1:17" ht="14.25" thickBot="1">
      <c r="B16" s="685" t="s">
        <v>215</v>
      </c>
      <c r="C16" s="705"/>
      <c r="D16" s="137"/>
      <c r="E16" s="129"/>
      <c r="F16" s="129"/>
      <c r="G16" s="129"/>
      <c r="H16" s="129"/>
      <c r="I16" s="129"/>
      <c r="J16" s="129"/>
      <c r="K16" s="129"/>
      <c r="L16" s="129"/>
      <c r="M16" s="129"/>
      <c r="N16" s="129"/>
      <c r="O16" s="130"/>
      <c r="P16" s="60">
        <f>SUM(D16:O16)</f>
        <v>0</v>
      </c>
    </row>
    <row r="17" spans="1:24" ht="14.25" thickBot="1">
      <c r="B17" s="685" t="s">
        <v>216</v>
      </c>
      <c r="C17" s="705"/>
      <c r="D17" s="138"/>
      <c r="E17" s="139"/>
      <c r="F17" s="139"/>
      <c r="G17" s="139"/>
      <c r="H17" s="139"/>
      <c r="I17" s="139"/>
      <c r="J17" s="139"/>
      <c r="K17" s="139"/>
      <c r="L17" s="139"/>
      <c r="M17" s="139"/>
      <c r="N17" s="139"/>
      <c r="O17" s="140"/>
      <c r="P17" s="60">
        <f t="shared" ref="P17" si="3">SUM(D17:O17)</f>
        <v>0</v>
      </c>
      <c r="Q17" s="1" t="str">
        <f>IF(P6='様式１（放課後児童名簿・利用料割引者名簿）'!P76,"OK","様式１名簿と合っていません")</f>
        <v>OK</v>
      </c>
    </row>
    <row r="18" spans="1:24" ht="14.25" thickBot="1">
      <c r="B18" s="42" t="s">
        <v>224</v>
      </c>
      <c r="C18" s="45"/>
      <c r="D18" s="141"/>
      <c r="E18" s="142"/>
      <c r="F18" s="143"/>
      <c r="G18" s="143"/>
      <c r="H18" s="143"/>
      <c r="I18" s="143"/>
      <c r="J18" s="143"/>
      <c r="K18" s="143"/>
      <c r="L18" s="143"/>
      <c r="M18" s="143"/>
      <c r="N18" s="143"/>
      <c r="O18" s="144"/>
      <c r="P18" s="296">
        <f>SUM(D18:O18)</f>
        <v>0</v>
      </c>
    </row>
    <row r="19" spans="1:24" ht="14.25" thickBot="1">
      <c r="B19" s="49" t="s">
        <v>9</v>
      </c>
      <c r="C19" s="38"/>
      <c r="D19" s="72" t="str">
        <f t="shared" ref="D19:O19" si="4">IFERROR(ROUNDUP(D18/D20,0),"")</f>
        <v/>
      </c>
      <c r="E19" s="70" t="str">
        <f t="shared" si="4"/>
        <v/>
      </c>
      <c r="F19" s="70" t="str">
        <f t="shared" si="4"/>
        <v/>
      </c>
      <c r="G19" s="70" t="str">
        <f t="shared" si="4"/>
        <v/>
      </c>
      <c r="H19" s="70" t="str">
        <f t="shared" si="4"/>
        <v/>
      </c>
      <c r="I19" s="70" t="str">
        <f t="shared" si="4"/>
        <v/>
      </c>
      <c r="J19" s="70" t="str">
        <f t="shared" si="4"/>
        <v/>
      </c>
      <c r="K19" s="70" t="str">
        <f t="shared" si="4"/>
        <v/>
      </c>
      <c r="L19" s="70" t="str">
        <f t="shared" si="4"/>
        <v/>
      </c>
      <c r="M19" s="70" t="str">
        <f t="shared" si="4"/>
        <v/>
      </c>
      <c r="N19" s="70" t="str">
        <f t="shared" si="4"/>
        <v/>
      </c>
      <c r="O19" s="71" t="str">
        <f t="shared" si="4"/>
        <v/>
      </c>
      <c r="P19" s="68" t="str">
        <f>IFERROR(ROUNDUP(AVERAGE(D19:O19),0),"")</f>
        <v/>
      </c>
    </row>
    <row r="20" spans="1:24">
      <c r="B20" s="670" t="s">
        <v>316</v>
      </c>
      <c r="C20" s="671"/>
      <c r="D20" s="77" t="str">
        <f>IF(D18="","",COUNTIF(様式４年間開所カレンダー!D5:D34,"平日")+COUNTIF(様式４年間開所カレンダー!D5:D34,"土・日・祝・長期休暇"))</f>
        <v/>
      </c>
      <c r="E20" s="78" t="str">
        <f>IF(E18="","",COUNTIF(様式４年間開所カレンダー!D35:D65,"平日")+COUNTIF(様式４年間開所カレンダー!D35:D65,"土・日・祝・長期休暇"))</f>
        <v/>
      </c>
      <c r="F20" s="78" t="str">
        <f>IF(F18="","",COUNTIF(様式４年間開所カレンダー!D66:D95,"平日")+COUNTIF(様式４年間開所カレンダー!D66:D95,"土・日・祝・長期休暇"))</f>
        <v/>
      </c>
      <c r="G20" s="78" t="str">
        <f>IF(G18="","",COUNTIF(様式４年間開所カレンダー!D96:D126,"平日")+COUNTIF(様式４年間開所カレンダー!D96:D126,"土・日・祝・長期休暇"))</f>
        <v/>
      </c>
      <c r="H20" s="78" t="str">
        <f>IF(H18="","",COUNTIF(様式４年間開所カレンダー!D127:D157,"平日")+COUNTIF(様式４年間開所カレンダー!D127:D157,"土・日・祝・長期休暇"))</f>
        <v/>
      </c>
      <c r="I20" s="78" t="str">
        <f>IF(I18="","",COUNTIF(様式４年間開所カレンダー!D158:D187,"平日")+COUNTIF(様式４年間開所カレンダー!D158:D187,"土・日・祝・長期休暇"))</f>
        <v/>
      </c>
      <c r="J20" s="78" t="str">
        <f>IF(J18="","",COUNTIF(様式４年間開所カレンダー!D188:D218,"平日")+COUNTIF(様式４年間開所カレンダー!D188:D218,"土・日・祝・長期休暇"))</f>
        <v/>
      </c>
      <c r="K20" s="78" t="str">
        <f>IF(K18="","",COUNTIF(様式４年間開所カレンダー!D219:D248,"平日")+COUNTIF(様式４年間開所カレンダー!D219:D248,"土・日・祝・長期休暇"))</f>
        <v/>
      </c>
      <c r="L20" s="78" t="str">
        <f>IF(L18="","",COUNTIF(様式４年間開所カレンダー!D249:D279,"平日")+COUNTIF(様式４年間開所カレンダー!D249:D279,"土・日・祝・長期休暇"))</f>
        <v/>
      </c>
      <c r="M20" s="78" t="str">
        <f>IF(M18="","",COUNTIF(様式４年間開所カレンダー!D280:D310,"平日")+COUNTIF(様式４年間開所カレンダー!D280:D310,"土・日・祝・長期休暇"))</f>
        <v/>
      </c>
      <c r="N20" s="78" t="str">
        <f>IF(N18="","",COUNTIF(様式４年間開所カレンダー!D311:D339,"平日")+COUNTIF(様式４年間開所カレンダー!D311:D339,"土・日・祝・長期休暇"))</f>
        <v/>
      </c>
      <c r="O20" s="79" t="str">
        <f>IF(O18="","",COUNTIF(様式４年間開所カレンダー!D340:D370,"平日")+COUNTIF(様式４年間開所カレンダー!D340:D370,"土・日・祝・長期休暇"))</f>
        <v/>
      </c>
      <c r="P20" s="74">
        <f>SUM(D20:O20)</f>
        <v>0</v>
      </c>
    </row>
    <row r="21" spans="1:24" ht="16.5" customHeight="1" thickBot="1">
      <c r="B21" s="672" t="s">
        <v>317</v>
      </c>
      <c r="C21" s="673"/>
      <c r="D21" s="76" t="str">
        <f>IF(D18="","",COUNTIF(様式４年間開所カレンダー!D5:D34,"平日")+COUNTIF(様式４年間開所カレンダー!D5:D34,"土・日・祝・長期休暇")+COUNTIF(様式４年間開所カレンダー!D5:D34,"平日：開所とみなす閉所")+COUNTIF(様式４年間開所カレンダー!D5:D34,"土日祝長期：開所とみなす閉所"))</f>
        <v/>
      </c>
      <c r="E21" s="69" t="str">
        <f>IF(E18="","",COUNTIF(様式４年間開所カレンダー!D35:D65,"平日")+COUNTIF(様式４年間開所カレンダー!D35:D65,"土・日・祝・長期休暇")+COUNTIF(様式４年間開所カレンダー!D35:D65,"平日：開所とみなす閉所")+COUNTIF(様式４年間開所カレンダー!D35:D65,"土日祝長期：開所とみなす閉所"))</f>
        <v/>
      </c>
      <c r="F21" s="69" t="str">
        <f>IF(F18="","",COUNTIF(様式４年間開所カレンダー!D66:D95,"平日")+COUNTIF(様式４年間開所カレンダー!D66:D95,"土・日・祝・長期休暇")+COUNTIF(様式４年間開所カレンダー!D66:D95,"平日：開所とみなす閉所")+COUNTIF(様式４年間開所カレンダー!D66:D95,"土日祝長期：開所とみなす閉所"))</f>
        <v/>
      </c>
      <c r="G21" s="69" t="str">
        <f>IF(G18="","",COUNTIF(様式４年間開所カレンダー!D96:D126,"平日")+COUNTIF(様式４年間開所カレンダー!D96:D126,"土・日・祝・長期休暇")+COUNTIF(様式４年間開所カレンダー!D96:D126,"平日：開所とみなす閉所")+COUNTIF(様式４年間開所カレンダー!D96:D126,"土日祝長期：開所とみなす閉所"))</f>
        <v/>
      </c>
      <c r="H21" s="69" t="str">
        <f>IF(H18="","",COUNTIF(様式４年間開所カレンダー!D127:D157,"平日")+COUNTIF(様式４年間開所カレンダー!D127:D157,"土・日・祝・長期休暇")+COUNTIF(様式４年間開所カレンダー!D127:D157,"平日：開所とみなす閉所")+COUNTIF(様式４年間開所カレンダー!D127:D157,"土日祝長期：開所とみなす閉所"))</f>
        <v/>
      </c>
      <c r="I21" s="69" t="str">
        <f>IF(I18="","",COUNTIF(様式４年間開所カレンダー!D158:D187,"平日")+COUNTIF(様式４年間開所カレンダー!D158:D187,"土・日・祝・長期休暇")+COUNTIF(様式４年間開所カレンダー!D158:D187,"平日：開所とみなす閉所")+COUNTIF(様式４年間開所カレンダー!D158:D187,"土日祝長期：開所とみなす閉所"))</f>
        <v/>
      </c>
      <c r="J21" s="69" t="str">
        <f>IF(J18="","",COUNTIF(様式４年間開所カレンダー!D188:D218,"平日")+COUNTIF(様式４年間開所カレンダー!D188:D218,"土・日・祝・長期休暇")+COUNTIF(様式４年間開所カレンダー!D188:D218,"平日：開所とみなす閉所")+COUNTIF(様式４年間開所カレンダー!D188:D218,"土日祝長期：開所とみなす閉所"))</f>
        <v/>
      </c>
      <c r="K21" s="69" t="str">
        <f>IF(K18="","",COUNTIF(様式４年間開所カレンダー!D219:D248,"平日")+COUNTIF(様式４年間開所カレンダー!D219:D248,"土・日・祝・長期休暇")+COUNTIF(様式４年間開所カレンダー!D219:D248,"平日：開所とみなす閉所")+COUNTIF(様式４年間開所カレンダー!D219:D248,"土日祝長期：開所とみなす閉所"))</f>
        <v/>
      </c>
      <c r="L21" s="69" t="str">
        <f>IF(L18="","",COUNTIF(様式４年間開所カレンダー!D249:D279,"平日")+COUNTIF(様式４年間開所カレンダー!D249:D279,"土・日・祝・長期休暇")+COUNTIF(様式４年間開所カレンダー!D249:D279,"平日：開所とみなす閉所")+COUNTIF(様式４年間開所カレンダー!D249:D279,"土日祝長期：開所とみなす閉所"))</f>
        <v/>
      </c>
      <c r="M21" s="69" t="str">
        <f>IF(M18="","",COUNTIF(様式４年間開所カレンダー!D280:D310,"平日")+COUNTIF(様式４年間開所カレンダー!D280:D310,"土・日・祝・長期休暇")+COUNTIF(様式４年間開所カレンダー!D280:D310,"平日：開所とみなす閉所")+COUNTIF(様式４年間開所カレンダー!D280:D310,"土日祝長期：開所とみなす閉所"))</f>
        <v/>
      </c>
      <c r="N21" s="69" t="str">
        <f>IF(N18="","",COUNTIF(様式４年間開所カレンダー!D311:D339,"平日")+COUNTIF(様式４年間開所カレンダー!D311:D339,"土・日・祝・長期休暇")+COUNTIF(様式４年間開所カレンダー!D311:D339,"平日：開所とみなす閉所")+COUNTIF(様式４年間開所カレンダー!D311:D339,"土日祝長期：開所とみなす閉所"))</f>
        <v/>
      </c>
      <c r="O21" s="73" t="str">
        <f>IF(O18="","",COUNTIF(様式４年間開所カレンダー!D340:D370,"平日")+COUNTIF(様式４年間開所カレンダー!D340:D370,"土・日・祝・長期休暇")+COUNTIF(様式４年間開所カレンダー!D340:D370,"平日：開所とみなす閉所")+COUNTIF(様式４年間開所カレンダー!D340:D370,"土日祝長期：開所とみなす閉所"))</f>
        <v/>
      </c>
      <c r="P21" s="75">
        <f>SUM(D21:O21)</f>
        <v>0</v>
      </c>
    </row>
    <row r="23" spans="1:24" ht="14.25" thickBot="1">
      <c r="A23" s="1" t="s">
        <v>225</v>
      </c>
    </row>
    <row r="24" spans="1:24" ht="26.25" customHeight="1" thickBot="1">
      <c r="H24" s="42" t="s">
        <v>226</v>
      </c>
      <c r="I24" s="46"/>
      <c r="J24" s="42" t="s">
        <v>307</v>
      </c>
      <c r="K24" s="45"/>
      <c r="L24" s="364" t="s">
        <v>575</v>
      </c>
      <c r="M24" s="363" t="s">
        <v>308</v>
      </c>
      <c r="N24" s="47"/>
      <c r="O24" s="668" t="s">
        <v>309</v>
      </c>
      <c r="P24" s="669"/>
    </row>
    <row r="25" spans="1:24" ht="27" customHeight="1" thickBot="1">
      <c r="B25" s="49" t="s">
        <v>235</v>
      </c>
      <c r="C25" s="48"/>
      <c r="D25" s="48"/>
      <c r="E25" s="48"/>
      <c r="F25" s="48"/>
      <c r="G25" s="38"/>
      <c r="H25" s="685">
        <f>IF(0&lt;COUNTIF($D$6:$O$6,"&gt;0"),COUNTIF($D$6:$O$6, "&gt;0"),COUNTIF($D$17:$O$17,"&gt;0"))</f>
        <v>12</v>
      </c>
      <c r="I25" s="686"/>
      <c r="J25" s="666">
        <f>IF(L25=1,ROUNDDOWN(2009000*H25/12,-3),0)</f>
        <v>2009000</v>
      </c>
      <c r="K25" s="687"/>
      <c r="L25" s="381">
        <v>1</v>
      </c>
      <c r="M25" s="688">
        <v>2009000</v>
      </c>
      <c r="N25" s="688"/>
      <c r="O25" s="666">
        <f>ROUNDDOWN(MIN(J25,M25),-3)</f>
        <v>2009000</v>
      </c>
      <c r="P25" s="667"/>
      <c r="X25" s="1" t="s">
        <v>671</v>
      </c>
    </row>
    <row r="26" spans="1:24" ht="29.25" customHeight="1" thickBot="1">
      <c r="B26" s="674" t="s">
        <v>236</v>
      </c>
      <c r="C26" s="675"/>
      <c r="D26" s="675"/>
      <c r="E26" s="675"/>
      <c r="F26" s="675"/>
      <c r="G26" s="676"/>
      <c r="H26" s="685">
        <f>IF(0&lt;COUNTIF($D$6:$O$6,"&gt;0"),COUNTIF($D$6:$O$6, "&gt;0"),COUNTIF($D$17:$O$17,"&gt;0"))</f>
        <v>12</v>
      </c>
      <c r="I26" s="686"/>
      <c r="J26" s="666">
        <f>IF(L26&gt;=1,ROUNDDOWN(401000*H26/12,-3),0)</f>
        <v>401000</v>
      </c>
      <c r="K26" s="687"/>
      <c r="L26" s="381">
        <v>1</v>
      </c>
      <c r="M26" s="688">
        <v>401000</v>
      </c>
      <c r="N26" s="688"/>
      <c r="O26" s="666">
        <f>ROUNDDOWN(MIN(J26,M26),-3)</f>
        <v>401000</v>
      </c>
      <c r="P26" s="667"/>
      <c r="Q26" s="485"/>
      <c r="S26" s="1">
        <v>0</v>
      </c>
    </row>
    <row r="27" spans="1:24" ht="27" customHeight="1" thickBot="1">
      <c r="B27" s="677" t="s">
        <v>237</v>
      </c>
      <c r="C27" s="678"/>
      <c r="D27" s="678"/>
      <c r="E27" s="678"/>
      <c r="F27" s="678"/>
      <c r="G27" s="679"/>
      <c r="H27" s="685">
        <f>IF(0&lt;COUNTIF($D$6:$O$6,"&gt;0"),COUNTIF($D$6:$O$6,"&gt;2"),COUNTIF($D$17:$O$17,"&gt;2"))</f>
        <v>0</v>
      </c>
      <c r="I27" s="686"/>
      <c r="J27" s="666">
        <f>IF(L27=2,ROUNDDOWN(2000000*H27/12,-3),0)</f>
        <v>0</v>
      </c>
      <c r="K27" s="687"/>
      <c r="L27" s="382"/>
      <c r="M27" s="689"/>
      <c r="N27" s="690"/>
      <c r="O27" s="666">
        <f>ROUNDDOWN(MIN(J27,M27),-3)</f>
        <v>0</v>
      </c>
      <c r="P27" s="667"/>
      <c r="Q27" s="485"/>
      <c r="S27" s="1">
        <v>1</v>
      </c>
    </row>
    <row r="28" spans="1:24" ht="12" customHeight="1" thickBot="1">
      <c r="S28" s="1">
        <v>2</v>
      </c>
    </row>
    <row r="29" spans="1:24" ht="21.75" thickBot="1">
      <c r="G29" s="50"/>
      <c r="H29" s="691" t="s">
        <v>233</v>
      </c>
      <c r="I29" s="692"/>
      <c r="J29" s="693"/>
      <c r="K29" s="694" t="s">
        <v>229</v>
      </c>
      <c r="L29" s="695"/>
      <c r="M29" s="696"/>
      <c r="N29" s="52"/>
      <c r="O29" s="44"/>
      <c r="P29" s="44"/>
    </row>
    <row r="30" spans="1:24" ht="18.75" customHeight="1" thickBot="1">
      <c r="B30" s="62" t="s">
        <v>228</v>
      </c>
      <c r="C30" s="63"/>
      <c r="D30" s="63"/>
      <c r="E30" s="63"/>
      <c r="F30" s="63"/>
      <c r="G30" s="63"/>
      <c r="H30" s="711">
        <f>IF(AND(P13&gt;=250,1&lt;=P12,P12&lt;=19),2558000-(19-P12)*29000,IF(AND(P13&gt;=250,20&lt;=P12,P12&lt;=35),4734000-(36-P12)*26000,IF(AND(P13&gt;=250,36&lt;=P12,P12&lt;=45),4734000,IF(AND(P13&gt;=250,46&lt;=P12,P12&lt;=70),4734000-(P12-45)*69000,IF(AND(200&lt;=P13,P13&lt;=249,P12&gt;=20),3099000,IF(AND(200&lt;=P13,P13&lt;=249,1&lt;=P12,P12&lt;=20),1726000,""))))))</f>
        <v>4552000</v>
      </c>
      <c r="I30" s="712"/>
      <c r="J30" s="713"/>
      <c r="K30" s="711" t="str">
        <f>IF(AND(P20&gt;=250,1&lt;=P19,P19&lt;=19),2554000-(19-P19)*29000,IF(AND(P20&gt;=250,20&lt;=P19,P19&lt;=35),4676000-(36-P19)*26000,IF(AND(P20&gt;=250,36&lt;=P19,P19&lt;=45),4676000,IF(AND(P20&gt;=250,46&lt;=P19,P19&lt;=70),4676000-(P19-45)*67000,IF(AND(200&lt;=P20,P20&lt;=249,P19&gt;=20),3071000,IF(AND(200&lt;=P20,P20&lt;=249,1&lt;=P19,P19&lt;=20),1726000,""))))))</f>
        <v/>
      </c>
      <c r="L30" s="712"/>
      <c r="M30" s="713"/>
      <c r="N30" s="44"/>
      <c r="O30" s="44"/>
      <c r="P30" s="44"/>
    </row>
    <row r="31" spans="1:24" s="44" customFormat="1" ht="18.75" customHeight="1" thickBot="1">
      <c r="B31" s="53" t="s">
        <v>310</v>
      </c>
      <c r="C31" s="64"/>
      <c r="D31" s="64"/>
      <c r="E31" s="64"/>
      <c r="F31" s="64"/>
      <c r="G31" s="64"/>
      <c r="H31" s="682" t="str">
        <f>IF(AND(1&lt;=P12,P12&lt;20),625000,"")</f>
        <v/>
      </c>
      <c r="I31" s="683"/>
      <c r="J31" s="684"/>
      <c r="K31" s="682" t="str">
        <f>IF(AND(1&lt;=P19,P19&lt;20),608000,"")</f>
        <v/>
      </c>
      <c r="L31" s="683"/>
      <c r="M31" s="684"/>
      <c r="N31" s="51"/>
      <c r="O31" s="81"/>
    </row>
    <row r="32" spans="1:24" s="44" customFormat="1" ht="18.75" customHeight="1" thickBot="1">
      <c r="B32" s="62" t="s">
        <v>230</v>
      </c>
      <c r="C32" s="63"/>
      <c r="D32" s="63"/>
      <c r="E32" s="63"/>
      <c r="F32" s="63"/>
      <c r="G32" s="63"/>
      <c r="H32" s="682">
        <f>IF(H30="","",O25)</f>
        <v>2009000</v>
      </c>
      <c r="I32" s="683"/>
      <c r="J32" s="684"/>
      <c r="K32" s="682" t="str">
        <f>IF(K30="","",O25)</f>
        <v/>
      </c>
      <c r="L32" s="683"/>
      <c r="M32" s="684"/>
      <c r="N32" s="51"/>
      <c r="O32" s="81"/>
    </row>
    <row r="33" spans="2:15" s="44" customFormat="1" ht="18.75" customHeight="1" thickBot="1">
      <c r="B33" s="697" t="s">
        <v>231</v>
      </c>
      <c r="C33" s="698"/>
      <c r="D33" s="698"/>
      <c r="E33" s="698"/>
      <c r="F33" s="698"/>
      <c r="G33" s="699"/>
      <c r="H33" s="682">
        <f>IF(H30="","",O26)</f>
        <v>401000</v>
      </c>
      <c r="I33" s="683"/>
      <c r="J33" s="684"/>
      <c r="K33" s="682" t="str">
        <f>IF(K30="","",O26)</f>
        <v/>
      </c>
      <c r="L33" s="683"/>
      <c r="M33" s="684"/>
      <c r="N33" s="81"/>
      <c r="O33" s="81"/>
    </row>
    <row r="34" spans="2:15" s="44" customFormat="1" ht="18.75" customHeight="1" thickBot="1">
      <c r="B34" s="62" t="s">
        <v>232</v>
      </c>
      <c r="C34" s="63"/>
      <c r="D34" s="63"/>
      <c r="E34" s="63"/>
      <c r="F34" s="63"/>
      <c r="G34" s="63"/>
      <c r="H34" s="708">
        <f>IF(H30="","",O27)</f>
        <v>0</v>
      </c>
      <c r="I34" s="709"/>
      <c r="J34" s="710"/>
      <c r="K34" s="708" t="str">
        <f>IF(K30="","",O27)</f>
        <v/>
      </c>
      <c r="L34" s="709"/>
      <c r="M34" s="710"/>
      <c r="N34" s="81"/>
      <c r="O34" s="81"/>
    </row>
  </sheetData>
  <mergeCells count="38">
    <mergeCell ref="H34:J34"/>
    <mergeCell ref="K34:M34"/>
    <mergeCell ref="K33:M33"/>
    <mergeCell ref="K31:M31"/>
    <mergeCell ref="H30:J30"/>
    <mergeCell ref="K30:M30"/>
    <mergeCell ref="K29:M29"/>
    <mergeCell ref="B33:G33"/>
    <mergeCell ref="H33:J33"/>
    <mergeCell ref="B5:C5"/>
    <mergeCell ref="B6:C6"/>
    <mergeCell ref="B7:B11"/>
    <mergeCell ref="B16:C16"/>
    <mergeCell ref="B17:C17"/>
    <mergeCell ref="B13:C13"/>
    <mergeCell ref="L2:M2"/>
    <mergeCell ref="N2:Q2"/>
    <mergeCell ref="O25:P25"/>
    <mergeCell ref="H32:J32"/>
    <mergeCell ref="K32:M32"/>
    <mergeCell ref="H25:I25"/>
    <mergeCell ref="H26:I26"/>
    <mergeCell ref="H27:I27"/>
    <mergeCell ref="J25:K25"/>
    <mergeCell ref="J26:K26"/>
    <mergeCell ref="J27:K27"/>
    <mergeCell ref="M25:N25"/>
    <mergeCell ref="M26:N26"/>
    <mergeCell ref="M27:N27"/>
    <mergeCell ref="H29:J29"/>
    <mergeCell ref="H31:J31"/>
    <mergeCell ref="O26:P26"/>
    <mergeCell ref="O27:P27"/>
    <mergeCell ref="O24:P24"/>
    <mergeCell ref="B20:C20"/>
    <mergeCell ref="B21:C21"/>
    <mergeCell ref="B26:G26"/>
    <mergeCell ref="B27:G27"/>
  </mergeCells>
  <phoneticPr fontId="1"/>
  <conditionalFormatting sqref="Q5:Q20">
    <cfRule type="containsText" dxfId="1364" priority="7" operator="containsText" text="合っていません">
      <formula>NOT(ISERROR(SEARCH("合っていません",Q5)))</formula>
    </cfRule>
    <cfRule type="expression" priority="8">
      <formula>"*合っていません*"</formula>
    </cfRule>
  </conditionalFormatting>
  <conditionalFormatting sqref="B16:P21">
    <cfRule type="expression" dxfId="1363" priority="5">
      <formula>MAX($D$12:$O$12)&gt;=1</formula>
    </cfRule>
  </conditionalFormatting>
  <conditionalFormatting sqref="B5:P5 B12:P13 B6:C11 P6:P11">
    <cfRule type="expression" dxfId="1362" priority="4">
      <formula>MAX($D$16:$O$16)&gt;=1</formula>
    </cfRule>
  </conditionalFormatting>
  <conditionalFormatting sqref="H30:J34">
    <cfRule type="expression" dxfId="1361" priority="3">
      <formula>MAX($D$12:$O$12)&gt;=1</formula>
    </cfRule>
  </conditionalFormatting>
  <conditionalFormatting sqref="K30:M34">
    <cfRule type="expression" dxfId="1360" priority="2">
      <formula>MAX($D$16:$O$16)&gt;=1</formula>
    </cfRule>
  </conditionalFormatting>
  <conditionalFormatting sqref="D6:O11">
    <cfRule type="expression" dxfId="1359" priority="1">
      <formula>MAX($D$16:$O$16)&gt;=1</formula>
    </cfRule>
  </conditionalFormatting>
  <dataValidations count="2">
    <dataValidation type="list" allowBlank="1" showInputMessage="1" showErrorMessage="1" sqref="L25" xr:uid="{086A9656-A62C-43C0-A2C2-315DCF0DEDA4}">
      <formula1>$S$26:$S$27</formula1>
    </dataValidation>
    <dataValidation type="list" allowBlank="1" showInputMessage="1" showErrorMessage="1" sqref="L26:L27" xr:uid="{5FBCF325-8A91-4A6D-8593-DE0C16D3593F}">
      <formula1>$S$26:$S$28</formula1>
    </dataValidation>
  </dataValidations>
  <pageMargins left="0.7" right="0.7" top="0.75" bottom="0.75" header="0.3" footer="0.3"/>
  <pageSetup paperSize="9"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F6465-E48B-4A50-9F44-33266375F7A8}">
  <sheetPr>
    <pageSetUpPr fitToPage="1"/>
  </sheetPr>
  <dimension ref="B1:AO176"/>
  <sheetViews>
    <sheetView view="pageBreakPreview" topLeftCell="A34" zoomScale="70" zoomScaleNormal="100" zoomScaleSheetLayoutView="70" workbookViewId="0">
      <selection activeCell="T43" sqref="T43:AA43"/>
    </sheetView>
  </sheetViews>
  <sheetFormatPr defaultColWidth="9" defaultRowHeight="17.25"/>
  <cols>
    <col min="1" max="1" width="3.875" style="14" customWidth="1"/>
    <col min="2" max="2" width="4.125" style="14" customWidth="1"/>
    <col min="3" max="8" width="4.625" style="14" customWidth="1"/>
    <col min="9" max="11" width="5.625" style="14" customWidth="1"/>
    <col min="12" max="12" width="13.75" style="14" customWidth="1"/>
    <col min="13" max="13" width="13.75" style="14" hidden="1" customWidth="1"/>
    <col min="14" max="15" width="9.625" style="14" customWidth="1"/>
    <col min="16" max="16" width="20.625" style="14" customWidth="1"/>
    <col min="17" max="17" width="12.625" style="14" customWidth="1"/>
    <col min="18" max="18" width="15.625" style="291" customWidth="1"/>
    <col min="19" max="19" width="9.625" style="14" customWidth="1"/>
    <col min="20" max="20" width="11.375" style="14" bestFit="1" customWidth="1"/>
    <col min="21" max="26" width="15.625" style="14" customWidth="1"/>
    <col min="27" max="27" width="12.625" style="14" customWidth="1"/>
    <col min="28" max="40" width="3.875" style="14" customWidth="1"/>
    <col min="41" max="41" width="3.875" style="14" hidden="1" customWidth="1"/>
    <col min="42" max="67" width="3.875" style="14" customWidth="1"/>
    <col min="68" max="16384" width="9" style="14"/>
  </cols>
  <sheetData>
    <row r="1" spans="2:40" ht="18.75" customHeight="1">
      <c r="B1" s="799" t="s">
        <v>638</v>
      </c>
      <c r="C1" s="800"/>
      <c r="D1" s="800"/>
      <c r="E1" s="800"/>
      <c r="F1" s="800"/>
      <c r="G1" s="800"/>
      <c r="H1" s="800"/>
      <c r="I1" s="800"/>
      <c r="J1" s="800"/>
      <c r="K1" s="800"/>
      <c r="L1" s="800"/>
      <c r="M1" s="800"/>
      <c r="N1" s="800"/>
      <c r="O1" s="276"/>
      <c r="P1" s="276"/>
      <c r="Q1" s="276"/>
      <c r="R1" s="290"/>
      <c r="S1" s="65"/>
      <c r="T1" s="65"/>
      <c r="U1" s="65"/>
      <c r="V1" s="747"/>
      <c r="W1" s="370"/>
      <c r="X1" s="370"/>
      <c r="Y1" s="370"/>
      <c r="Z1" s="370"/>
      <c r="AA1" s="370"/>
    </row>
    <row r="2" spans="2:40" ht="18.75" customHeight="1">
      <c r="B2" s="800"/>
      <c r="C2" s="800"/>
      <c r="D2" s="800"/>
      <c r="E2" s="800"/>
      <c r="F2" s="800"/>
      <c r="G2" s="800"/>
      <c r="H2" s="800"/>
      <c r="I2" s="800"/>
      <c r="J2" s="800"/>
      <c r="K2" s="800"/>
      <c r="L2" s="800"/>
      <c r="M2" s="800"/>
      <c r="N2" s="800"/>
      <c r="O2" s="748" t="s">
        <v>323</v>
      </c>
      <c r="P2" s="367"/>
      <c r="Q2" s="750" t="str">
        <f>'様式６（事業計画変更申請書）'!J10</f>
        <v>●●法人　●●●●</v>
      </c>
      <c r="R2" s="750"/>
      <c r="S2" s="750"/>
      <c r="T2" s="750"/>
      <c r="U2" s="750"/>
      <c r="V2" s="747"/>
      <c r="W2" s="288" t="s">
        <v>440</v>
      </c>
      <c r="X2" s="289"/>
      <c r="Y2" s="811" t="s">
        <v>581</v>
      </c>
      <c r="Z2" s="811"/>
      <c r="AA2" s="812"/>
    </row>
    <row r="3" spans="2:40" ht="18.75" customHeight="1" thickBot="1">
      <c r="B3" s="801"/>
      <c r="C3" s="801"/>
      <c r="D3" s="801"/>
      <c r="E3" s="801"/>
      <c r="F3" s="801"/>
      <c r="G3" s="801"/>
      <c r="H3" s="801"/>
      <c r="I3" s="801"/>
      <c r="J3" s="801"/>
      <c r="K3" s="801"/>
      <c r="L3" s="801"/>
      <c r="M3" s="801"/>
      <c r="N3" s="801"/>
      <c r="O3" s="749"/>
      <c r="P3" s="371"/>
      <c r="Q3" s="751"/>
      <c r="R3" s="751"/>
      <c r="S3" s="751"/>
      <c r="T3" s="751"/>
      <c r="U3" s="751"/>
      <c r="V3" s="16"/>
      <c r="W3" s="16"/>
      <c r="X3" s="16"/>
      <c r="Y3" s="16"/>
      <c r="Z3" s="16"/>
      <c r="AA3" s="16"/>
      <c r="AE3" s="14" t="s">
        <v>581</v>
      </c>
    </row>
    <row r="4" spans="2:40" s="17" customFormat="1" ht="18.75" customHeight="1">
      <c r="B4" s="752" t="s">
        <v>130</v>
      </c>
      <c r="C4" s="753"/>
      <c r="D4" s="753"/>
      <c r="E4" s="753"/>
      <c r="F4" s="753"/>
      <c r="G4" s="753"/>
      <c r="H4" s="753"/>
      <c r="I4" s="757" t="s">
        <v>332</v>
      </c>
      <c r="J4" s="757"/>
      <c r="K4" s="758"/>
      <c r="L4" s="781" t="s">
        <v>648</v>
      </c>
      <c r="M4" s="516"/>
      <c r="N4" s="763" t="s">
        <v>352</v>
      </c>
      <c r="O4" s="763" t="s">
        <v>353</v>
      </c>
      <c r="P4" s="763" t="s">
        <v>426</v>
      </c>
      <c r="Q4" s="766" t="s">
        <v>605</v>
      </c>
      <c r="R4" s="769" t="s">
        <v>645</v>
      </c>
      <c r="S4" s="772" t="s">
        <v>181</v>
      </c>
      <c r="T4" s="824" t="s">
        <v>444</v>
      </c>
      <c r="U4" s="775" t="s">
        <v>354</v>
      </c>
      <c r="V4" s="778" t="s">
        <v>420</v>
      </c>
      <c r="W4" s="788" t="s">
        <v>576</v>
      </c>
      <c r="X4" s="772"/>
      <c r="Y4" s="772"/>
      <c r="Z4" s="772"/>
      <c r="AA4" s="789"/>
      <c r="AE4" s="17" t="s">
        <v>582</v>
      </c>
    </row>
    <row r="5" spans="2:40" s="17" customFormat="1" ht="21" customHeight="1">
      <c r="B5" s="754"/>
      <c r="C5" s="610"/>
      <c r="D5" s="610"/>
      <c r="E5" s="610"/>
      <c r="F5" s="610"/>
      <c r="G5" s="610"/>
      <c r="H5" s="610"/>
      <c r="I5" s="759"/>
      <c r="J5" s="759"/>
      <c r="K5" s="760"/>
      <c r="L5" s="782"/>
      <c r="M5" s="517"/>
      <c r="N5" s="764"/>
      <c r="O5" s="764"/>
      <c r="P5" s="764"/>
      <c r="Q5" s="767"/>
      <c r="R5" s="770"/>
      <c r="S5" s="773"/>
      <c r="T5" s="825"/>
      <c r="U5" s="776"/>
      <c r="V5" s="779"/>
      <c r="W5" s="827" t="s">
        <v>421</v>
      </c>
      <c r="X5" s="784" t="s">
        <v>422</v>
      </c>
      <c r="Y5" s="784" t="s">
        <v>423</v>
      </c>
      <c r="Z5" s="784" t="s">
        <v>424</v>
      </c>
      <c r="AA5" s="786" t="s">
        <v>425</v>
      </c>
    </row>
    <row r="6" spans="2:40" s="17" customFormat="1" ht="21" customHeight="1" thickBot="1">
      <c r="B6" s="755"/>
      <c r="C6" s="756"/>
      <c r="D6" s="756"/>
      <c r="E6" s="756"/>
      <c r="F6" s="756"/>
      <c r="G6" s="756"/>
      <c r="H6" s="756"/>
      <c r="I6" s="761"/>
      <c r="J6" s="761"/>
      <c r="K6" s="762"/>
      <c r="L6" s="783"/>
      <c r="M6" s="518"/>
      <c r="N6" s="765"/>
      <c r="O6" s="765"/>
      <c r="P6" s="765"/>
      <c r="Q6" s="768"/>
      <c r="R6" s="771"/>
      <c r="S6" s="774"/>
      <c r="T6" s="826"/>
      <c r="U6" s="777"/>
      <c r="V6" s="780"/>
      <c r="W6" s="828"/>
      <c r="X6" s="785"/>
      <c r="Y6" s="785"/>
      <c r="Z6" s="785"/>
      <c r="AA6" s="787"/>
    </row>
    <row r="7" spans="2:40" ht="35.25" customHeight="1">
      <c r="B7" s="498">
        <v>1</v>
      </c>
      <c r="C7" s="805" t="s">
        <v>673</v>
      </c>
      <c r="D7" s="806"/>
      <c r="E7" s="806"/>
      <c r="F7" s="806"/>
      <c r="G7" s="806"/>
      <c r="H7" s="807"/>
      <c r="I7" s="808" t="s">
        <v>355</v>
      </c>
      <c r="J7" s="809"/>
      <c r="K7" s="810"/>
      <c r="L7" s="502" t="s">
        <v>381</v>
      </c>
      <c r="M7" s="519"/>
      <c r="N7" s="491" t="s">
        <v>357</v>
      </c>
      <c r="O7" s="491" t="s">
        <v>359</v>
      </c>
      <c r="P7" s="491" t="s">
        <v>427</v>
      </c>
      <c r="Q7" s="492" t="s">
        <v>685</v>
      </c>
      <c r="R7" s="503" t="s">
        <v>680</v>
      </c>
      <c r="S7" s="501">
        <v>12</v>
      </c>
      <c r="T7" s="506" t="s">
        <v>682</v>
      </c>
      <c r="U7" s="508" t="s">
        <v>361</v>
      </c>
      <c r="V7" s="513" t="s">
        <v>382</v>
      </c>
      <c r="W7" s="497">
        <v>1500000</v>
      </c>
      <c r="X7" s="292">
        <v>394000</v>
      </c>
      <c r="Y7" s="497"/>
      <c r="Z7" s="497"/>
      <c r="AA7" s="553">
        <f t="shared" ref="AA7:AA26" si="0">SUM(W7:Z7)</f>
        <v>1894000</v>
      </c>
      <c r="AD7" s="14" t="s">
        <v>355</v>
      </c>
      <c r="AG7" s="14" t="s">
        <v>363</v>
      </c>
      <c r="AI7" s="14" t="s">
        <v>7</v>
      </c>
      <c r="AK7" s="14" t="s">
        <v>357</v>
      </c>
      <c r="AN7" s="14" t="s">
        <v>362</v>
      </c>
    </row>
    <row r="8" spans="2:40" ht="35.25" customHeight="1">
      <c r="B8" s="490">
        <v>2</v>
      </c>
      <c r="C8" s="735" t="s">
        <v>688</v>
      </c>
      <c r="D8" s="736"/>
      <c r="E8" s="736"/>
      <c r="F8" s="736"/>
      <c r="G8" s="736"/>
      <c r="H8" s="737"/>
      <c r="I8" s="738" t="s">
        <v>355</v>
      </c>
      <c r="J8" s="739"/>
      <c r="K8" s="740"/>
      <c r="L8" s="502" t="s">
        <v>674</v>
      </c>
      <c r="M8" s="519"/>
      <c r="N8" s="491" t="s">
        <v>357</v>
      </c>
      <c r="O8" s="491" t="s">
        <v>359</v>
      </c>
      <c r="P8" s="491" t="s">
        <v>427</v>
      </c>
      <c r="Q8" s="492" t="s">
        <v>686</v>
      </c>
      <c r="R8" s="505" t="s">
        <v>681</v>
      </c>
      <c r="S8" s="504">
        <v>12</v>
      </c>
      <c r="T8" s="493" t="s">
        <v>682</v>
      </c>
      <c r="U8" s="510" t="s">
        <v>361</v>
      </c>
      <c r="V8" s="515" t="s">
        <v>382</v>
      </c>
      <c r="W8" s="496">
        <v>1000000</v>
      </c>
      <c r="X8" s="293">
        <v>263000</v>
      </c>
      <c r="Y8" s="496"/>
      <c r="Z8" s="496"/>
      <c r="AA8" s="549">
        <f t="shared" si="0"/>
        <v>1263000</v>
      </c>
      <c r="AD8" s="14" t="s">
        <v>356</v>
      </c>
      <c r="AG8" s="14" t="s">
        <v>365</v>
      </c>
      <c r="AI8" s="14" t="s">
        <v>8</v>
      </c>
      <c r="AK8" s="14" t="s">
        <v>358</v>
      </c>
      <c r="AN8" s="14" t="s">
        <v>364</v>
      </c>
    </row>
    <row r="9" spans="2:40" ht="35.25" customHeight="1">
      <c r="B9" s="490">
        <v>3</v>
      </c>
      <c r="C9" s="735" t="s">
        <v>689</v>
      </c>
      <c r="D9" s="736"/>
      <c r="E9" s="736"/>
      <c r="F9" s="736"/>
      <c r="G9" s="736"/>
      <c r="H9" s="737"/>
      <c r="I9" s="738" t="s">
        <v>355</v>
      </c>
      <c r="J9" s="739"/>
      <c r="K9" s="740"/>
      <c r="L9" s="502" t="s">
        <v>675</v>
      </c>
      <c r="M9" s="519"/>
      <c r="N9" s="491" t="s">
        <v>358</v>
      </c>
      <c r="O9" s="491" t="s">
        <v>360</v>
      </c>
      <c r="P9" s="491" t="s">
        <v>427</v>
      </c>
      <c r="Q9" s="492" t="s">
        <v>676</v>
      </c>
      <c r="R9" s="505" t="s">
        <v>681</v>
      </c>
      <c r="S9" s="504">
        <v>6</v>
      </c>
      <c r="T9" s="493" t="s">
        <v>682</v>
      </c>
      <c r="U9" s="495" t="s">
        <v>361</v>
      </c>
      <c r="V9" s="515" t="s">
        <v>684</v>
      </c>
      <c r="W9" s="496">
        <v>200000</v>
      </c>
      <c r="X9" s="293">
        <v>131000</v>
      </c>
      <c r="Y9" s="496"/>
      <c r="Z9" s="496"/>
      <c r="AA9" s="549">
        <f t="shared" si="0"/>
        <v>331000</v>
      </c>
      <c r="AD9" s="14" t="s">
        <v>649</v>
      </c>
      <c r="AG9" s="14" t="s">
        <v>367</v>
      </c>
      <c r="AI9" s="14" t="s">
        <v>239</v>
      </c>
      <c r="AN9" s="14" t="s">
        <v>366</v>
      </c>
    </row>
    <row r="10" spans="2:40" ht="35.25" customHeight="1">
      <c r="B10" s="490">
        <v>4</v>
      </c>
      <c r="C10" s="735" t="s">
        <v>690</v>
      </c>
      <c r="D10" s="736"/>
      <c r="E10" s="736"/>
      <c r="F10" s="736"/>
      <c r="G10" s="736"/>
      <c r="H10" s="737"/>
      <c r="I10" s="738" t="s">
        <v>356</v>
      </c>
      <c r="J10" s="739"/>
      <c r="K10" s="740"/>
      <c r="L10" s="502"/>
      <c r="M10" s="519"/>
      <c r="N10" s="491" t="s">
        <v>357</v>
      </c>
      <c r="O10" s="491" t="s">
        <v>359</v>
      </c>
      <c r="P10" s="491" t="s">
        <v>427</v>
      </c>
      <c r="Q10" s="492" t="s">
        <v>678</v>
      </c>
      <c r="R10" s="505"/>
      <c r="S10" s="504"/>
      <c r="T10" s="493"/>
      <c r="U10" s="495" t="s">
        <v>361</v>
      </c>
      <c r="V10" s="515" t="s">
        <v>683</v>
      </c>
      <c r="W10" s="496">
        <v>120000</v>
      </c>
      <c r="X10" s="293"/>
      <c r="Y10" s="496"/>
      <c r="Z10" s="496"/>
      <c r="AA10" s="549">
        <f t="shared" si="0"/>
        <v>120000</v>
      </c>
      <c r="AG10" s="14" t="s">
        <v>369</v>
      </c>
      <c r="AN10" s="14" t="s">
        <v>368</v>
      </c>
    </row>
    <row r="11" spans="2:40" ht="35.25" customHeight="1">
      <c r="B11" s="490">
        <v>5</v>
      </c>
      <c r="C11" s="735" t="s">
        <v>691</v>
      </c>
      <c r="D11" s="736"/>
      <c r="E11" s="736"/>
      <c r="F11" s="736"/>
      <c r="G11" s="736"/>
      <c r="H11" s="737"/>
      <c r="I11" s="738" t="s">
        <v>356</v>
      </c>
      <c r="J11" s="739"/>
      <c r="K11" s="740"/>
      <c r="L11" s="502"/>
      <c r="M11" s="519"/>
      <c r="N11" s="491" t="s">
        <v>358</v>
      </c>
      <c r="O11" s="491" t="s">
        <v>360</v>
      </c>
      <c r="P11" s="491" t="s">
        <v>427</v>
      </c>
      <c r="Q11" s="492" t="s">
        <v>677</v>
      </c>
      <c r="R11" s="505"/>
      <c r="S11" s="504"/>
      <c r="T11" s="493"/>
      <c r="U11" s="495" t="s">
        <v>361</v>
      </c>
      <c r="V11" s="515" t="s">
        <v>675</v>
      </c>
      <c r="W11" s="496"/>
      <c r="X11" s="293"/>
      <c r="Y11" s="496"/>
      <c r="Z11" s="496"/>
      <c r="AA11" s="549">
        <f t="shared" si="0"/>
        <v>0</v>
      </c>
      <c r="AD11" s="14" t="s">
        <v>445</v>
      </c>
      <c r="AG11" s="14" t="s">
        <v>371</v>
      </c>
      <c r="AI11" s="14">
        <v>1</v>
      </c>
      <c r="AK11" s="14" t="s">
        <v>359</v>
      </c>
      <c r="AN11" s="14" t="s">
        <v>370</v>
      </c>
    </row>
    <row r="12" spans="2:40" ht="35.25" customHeight="1">
      <c r="B12" s="490">
        <v>6</v>
      </c>
      <c r="C12" s="735" t="s">
        <v>692</v>
      </c>
      <c r="D12" s="736"/>
      <c r="E12" s="736"/>
      <c r="F12" s="736"/>
      <c r="G12" s="736"/>
      <c r="H12" s="737"/>
      <c r="I12" s="738" t="s">
        <v>649</v>
      </c>
      <c r="J12" s="739"/>
      <c r="K12" s="740"/>
      <c r="L12" s="502"/>
      <c r="M12" s="519"/>
      <c r="N12" s="491" t="s">
        <v>358</v>
      </c>
      <c r="O12" s="491" t="s">
        <v>360</v>
      </c>
      <c r="P12" s="491" t="s">
        <v>438</v>
      </c>
      <c r="Q12" s="492" t="s">
        <v>679</v>
      </c>
      <c r="R12" s="505"/>
      <c r="S12" s="504"/>
      <c r="T12" s="493"/>
      <c r="U12" s="495" t="s">
        <v>361</v>
      </c>
      <c r="V12" s="515" t="s">
        <v>675</v>
      </c>
      <c r="W12" s="496"/>
      <c r="X12" s="293"/>
      <c r="Y12" s="496"/>
      <c r="Z12" s="496">
        <v>240000</v>
      </c>
      <c r="AA12" s="549">
        <f t="shared" si="0"/>
        <v>240000</v>
      </c>
      <c r="AG12" s="14" t="s">
        <v>373</v>
      </c>
      <c r="AI12" s="14">
        <v>2</v>
      </c>
      <c r="AK12" s="14" t="s">
        <v>360</v>
      </c>
      <c r="AN12" s="14" t="s">
        <v>372</v>
      </c>
    </row>
    <row r="13" spans="2:40" ht="35.25" customHeight="1">
      <c r="B13" s="490">
        <v>7</v>
      </c>
      <c r="C13" s="735" t="s">
        <v>693</v>
      </c>
      <c r="D13" s="736"/>
      <c r="E13" s="736"/>
      <c r="F13" s="736"/>
      <c r="G13" s="736"/>
      <c r="H13" s="737"/>
      <c r="I13" s="738" t="s">
        <v>355</v>
      </c>
      <c r="J13" s="739"/>
      <c r="K13" s="740"/>
      <c r="L13" s="502" t="s">
        <v>675</v>
      </c>
      <c r="M13" s="519"/>
      <c r="N13" s="491" t="s">
        <v>357</v>
      </c>
      <c r="O13" s="491" t="s">
        <v>360</v>
      </c>
      <c r="P13" s="491" t="s">
        <v>427</v>
      </c>
      <c r="Q13" s="491" t="s">
        <v>687</v>
      </c>
      <c r="R13" s="505"/>
      <c r="S13" s="504"/>
      <c r="T13" s="493"/>
      <c r="U13" s="495" t="s">
        <v>361</v>
      </c>
      <c r="V13" s="515" t="s">
        <v>675</v>
      </c>
      <c r="W13" s="496">
        <v>120000</v>
      </c>
      <c r="X13" s="293"/>
      <c r="Y13" s="496"/>
      <c r="Z13" s="496"/>
      <c r="AA13" s="549">
        <f t="shared" si="0"/>
        <v>120000</v>
      </c>
      <c r="AG13" s="14" t="s">
        <v>375</v>
      </c>
      <c r="AI13" s="14">
        <v>3</v>
      </c>
      <c r="AK13" s="14" t="s">
        <v>298</v>
      </c>
      <c r="AN13" s="14" t="s">
        <v>374</v>
      </c>
    </row>
    <row r="14" spans="2:40" ht="35.25" customHeight="1">
      <c r="B14" s="490">
        <v>8</v>
      </c>
      <c r="C14" s="735" t="s">
        <v>694</v>
      </c>
      <c r="D14" s="736"/>
      <c r="E14" s="736"/>
      <c r="F14" s="736"/>
      <c r="G14" s="736"/>
      <c r="H14" s="737"/>
      <c r="I14" s="738" t="s">
        <v>356</v>
      </c>
      <c r="J14" s="739"/>
      <c r="K14" s="740"/>
      <c r="L14" s="502"/>
      <c r="M14" s="519"/>
      <c r="N14" s="491" t="s">
        <v>357</v>
      </c>
      <c r="O14" s="491" t="s">
        <v>360</v>
      </c>
      <c r="P14" s="491" t="s">
        <v>427</v>
      </c>
      <c r="Q14" s="491" t="s">
        <v>687</v>
      </c>
      <c r="R14" s="505"/>
      <c r="S14" s="504"/>
      <c r="T14" s="493"/>
      <c r="U14" s="495" t="s">
        <v>361</v>
      </c>
      <c r="V14" s="515" t="s">
        <v>675</v>
      </c>
      <c r="W14" s="496"/>
      <c r="X14" s="293"/>
      <c r="Y14" s="496"/>
      <c r="Z14" s="496"/>
      <c r="AA14" s="549">
        <f t="shared" si="0"/>
        <v>0</v>
      </c>
      <c r="AG14" s="14" t="s">
        <v>377</v>
      </c>
      <c r="AI14" s="14">
        <v>4</v>
      </c>
      <c r="AN14" s="14" t="s">
        <v>376</v>
      </c>
    </row>
    <row r="15" spans="2:40" ht="35.25" customHeight="1">
      <c r="B15" s="490">
        <v>9</v>
      </c>
      <c r="C15" s="735"/>
      <c r="D15" s="736"/>
      <c r="E15" s="736"/>
      <c r="F15" s="736"/>
      <c r="G15" s="736"/>
      <c r="H15" s="737"/>
      <c r="I15" s="738"/>
      <c r="J15" s="739"/>
      <c r="K15" s="740"/>
      <c r="L15" s="502"/>
      <c r="M15" s="519"/>
      <c r="N15" s="491"/>
      <c r="O15" s="491"/>
      <c r="P15" s="491"/>
      <c r="Q15" s="491"/>
      <c r="R15" s="505"/>
      <c r="S15" s="504"/>
      <c r="T15" s="493"/>
      <c r="U15" s="495"/>
      <c r="V15" s="515"/>
      <c r="W15" s="496"/>
      <c r="X15" s="293"/>
      <c r="Y15" s="496"/>
      <c r="Z15" s="496"/>
      <c r="AA15" s="549">
        <f t="shared" si="0"/>
        <v>0</v>
      </c>
      <c r="AG15" s="14" t="s">
        <v>379</v>
      </c>
      <c r="AI15" s="14">
        <v>5</v>
      </c>
      <c r="AK15" s="14" t="s">
        <v>361</v>
      </c>
      <c r="AN15" s="14" t="s">
        <v>378</v>
      </c>
    </row>
    <row r="16" spans="2:40" ht="35.25" customHeight="1">
      <c r="B16" s="490">
        <v>10</v>
      </c>
      <c r="C16" s="793"/>
      <c r="D16" s="794"/>
      <c r="E16" s="794"/>
      <c r="F16" s="794"/>
      <c r="G16" s="794"/>
      <c r="H16" s="795"/>
      <c r="I16" s="738"/>
      <c r="J16" s="739"/>
      <c r="K16" s="740"/>
      <c r="L16" s="502"/>
      <c r="M16" s="519"/>
      <c r="N16" s="491"/>
      <c r="O16" s="491"/>
      <c r="P16" s="491"/>
      <c r="Q16" s="492"/>
      <c r="R16" s="505"/>
      <c r="S16" s="504"/>
      <c r="T16" s="493"/>
      <c r="U16" s="495"/>
      <c r="V16" s="515"/>
      <c r="W16" s="496"/>
      <c r="X16" s="293"/>
      <c r="Y16" s="496"/>
      <c r="Z16" s="496"/>
      <c r="AA16" s="549">
        <f t="shared" si="0"/>
        <v>0</v>
      </c>
      <c r="AG16" s="14" t="s">
        <v>381</v>
      </c>
      <c r="AI16" s="14">
        <v>6</v>
      </c>
      <c r="AN16" s="14" t="s">
        <v>380</v>
      </c>
    </row>
    <row r="17" spans="2:40" ht="35.25" customHeight="1">
      <c r="B17" s="490">
        <v>11</v>
      </c>
      <c r="C17" s="735"/>
      <c r="D17" s="736"/>
      <c r="E17" s="736"/>
      <c r="F17" s="736"/>
      <c r="G17" s="736"/>
      <c r="H17" s="737"/>
      <c r="I17" s="738"/>
      <c r="J17" s="739"/>
      <c r="K17" s="740"/>
      <c r="L17" s="502"/>
      <c r="M17" s="519"/>
      <c r="N17" s="491"/>
      <c r="O17" s="491"/>
      <c r="P17" s="491"/>
      <c r="Q17" s="491"/>
      <c r="R17" s="505"/>
      <c r="S17" s="504"/>
      <c r="T17" s="493"/>
      <c r="U17" s="495"/>
      <c r="V17" s="515"/>
      <c r="W17" s="496"/>
      <c r="X17" s="293"/>
      <c r="Y17" s="496"/>
      <c r="Z17" s="496"/>
      <c r="AA17" s="549">
        <f t="shared" si="0"/>
        <v>0</v>
      </c>
      <c r="AG17" s="14" t="s">
        <v>382</v>
      </c>
      <c r="AI17" s="14">
        <v>7</v>
      </c>
      <c r="AN17" s="14" t="s">
        <v>298</v>
      </c>
    </row>
    <row r="18" spans="2:40" ht="35.25" customHeight="1">
      <c r="B18" s="490">
        <v>12</v>
      </c>
      <c r="C18" s="735"/>
      <c r="D18" s="736"/>
      <c r="E18" s="736"/>
      <c r="F18" s="736"/>
      <c r="G18" s="736"/>
      <c r="H18" s="737"/>
      <c r="I18" s="738"/>
      <c r="J18" s="739"/>
      <c r="K18" s="740"/>
      <c r="L18" s="502"/>
      <c r="M18" s="519"/>
      <c r="N18" s="491"/>
      <c r="O18" s="491"/>
      <c r="P18" s="491"/>
      <c r="Q18" s="491"/>
      <c r="R18" s="505"/>
      <c r="S18" s="504"/>
      <c r="T18" s="493"/>
      <c r="U18" s="495"/>
      <c r="V18" s="515"/>
      <c r="W18" s="496"/>
      <c r="X18" s="293"/>
      <c r="Y18" s="496"/>
      <c r="Z18" s="496"/>
      <c r="AA18" s="549">
        <f t="shared" si="0"/>
        <v>0</v>
      </c>
      <c r="AG18" s="14" t="s">
        <v>558</v>
      </c>
      <c r="AI18" s="14">
        <v>8</v>
      </c>
      <c r="AK18" s="14" t="s">
        <v>387</v>
      </c>
    </row>
    <row r="19" spans="2:40" ht="35.25" customHeight="1">
      <c r="B19" s="490">
        <v>13</v>
      </c>
      <c r="C19" s="741"/>
      <c r="D19" s="742"/>
      <c r="E19" s="742"/>
      <c r="F19" s="742"/>
      <c r="G19" s="742"/>
      <c r="H19" s="743"/>
      <c r="I19" s="744"/>
      <c r="J19" s="744"/>
      <c r="K19" s="745"/>
      <c r="L19" s="502"/>
      <c r="M19" s="519"/>
      <c r="N19" s="491"/>
      <c r="O19" s="491"/>
      <c r="P19" s="491"/>
      <c r="Q19" s="491"/>
      <c r="R19" s="505"/>
      <c r="S19" s="504"/>
      <c r="T19" s="493"/>
      <c r="U19" s="495"/>
      <c r="V19" s="515"/>
      <c r="W19" s="496"/>
      <c r="X19" s="293"/>
      <c r="Y19" s="496"/>
      <c r="Z19" s="496"/>
      <c r="AA19" s="549">
        <f t="shared" si="0"/>
        <v>0</v>
      </c>
      <c r="AG19" s="14" t="s">
        <v>559</v>
      </c>
      <c r="AI19" s="14">
        <v>9</v>
      </c>
      <c r="AK19" s="14" t="s">
        <v>389</v>
      </c>
    </row>
    <row r="20" spans="2:40" ht="35.25" customHeight="1">
      <c r="B20" s="490">
        <v>14</v>
      </c>
      <c r="C20" s="741"/>
      <c r="D20" s="742"/>
      <c r="E20" s="742"/>
      <c r="F20" s="742"/>
      <c r="G20" s="742"/>
      <c r="H20" s="743"/>
      <c r="I20" s="744"/>
      <c r="J20" s="744"/>
      <c r="K20" s="745"/>
      <c r="L20" s="502"/>
      <c r="M20" s="519"/>
      <c r="N20" s="491"/>
      <c r="O20" s="491"/>
      <c r="P20" s="491"/>
      <c r="Q20" s="491"/>
      <c r="R20" s="505"/>
      <c r="S20" s="504"/>
      <c r="T20" s="493"/>
      <c r="U20" s="495"/>
      <c r="V20" s="515"/>
      <c r="W20" s="496"/>
      <c r="X20" s="293"/>
      <c r="Y20" s="496"/>
      <c r="Z20" s="496"/>
      <c r="AA20" s="549">
        <f t="shared" si="0"/>
        <v>0</v>
      </c>
      <c r="AG20" s="14" t="s">
        <v>560</v>
      </c>
      <c r="AI20" s="14">
        <v>10</v>
      </c>
      <c r="AK20" s="14" t="s">
        <v>391</v>
      </c>
    </row>
    <row r="21" spans="2:40" ht="35.25" customHeight="1">
      <c r="B21" s="490">
        <v>15</v>
      </c>
      <c r="C21" s="741"/>
      <c r="D21" s="742"/>
      <c r="E21" s="742"/>
      <c r="F21" s="742"/>
      <c r="G21" s="742"/>
      <c r="H21" s="743"/>
      <c r="I21" s="744"/>
      <c r="J21" s="744"/>
      <c r="K21" s="745"/>
      <c r="L21" s="502"/>
      <c r="M21" s="519"/>
      <c r="N21" s="491"/>
      <c r="O21" s="491"/>
      <c r="P21" s="491"/>
      <c r="Q21" s="494"/>
      <c r="R21" s="505"/>
      <c r="S21" s="504"/>
      <c r="T21" s="493"/>
      <c r="U21" s="495"/>
      <c r="V21" s="515"/>
      <c r="W21" s="496"/>
      <c r="X21" s="293"/>
      <c r="Y21" s="496"/>
      <c r="Z21" s="496"/>
      <c r="AA21" s="549">
        <f t="shared" si="0"/>
        <v>0</v>
      </c>
      <c r="AG21" s="14" t="s">
        <v>561</v>
      </c>
      <c r="AI21" s="14">
        <v>11</v>
      </c>
      <c r="AK21" s="14" t="s">
        <v>433</v>
      </c>
    </row>
    <row r="22" spans="2:40" ht="35.25" customHeight="1">
      <c r="B22" s="490">
        <v>16</v>
      </c>
      <c r="C22" s="741"/>
      <c r="D22" s="742"/>
      <c r="E22" s="742"/>
      <c r="F22" s="742"/>
      <c r="G22" s="742"/>
      <c r="H22" s="743"/>
      <c r="I22" s="744"/>
      <c r="J22" s="744"/>
      <c r="K22" s="745"/>
      <c r="L22" s="502"/>
      <c r="M22" s="519"/>
      <c r="N22" s="491"/>
      <c r="O22" s="491"/>
      <c r="P22" s="491"/>
      <c r="Q22" s="491"/>
      <c r="R22" s="505"/>
      <c r="S22" s="504"/>
      <c r="T22" s="493"/>
      <c r="U22" s="495"/>
      <c r="V22" s="515"/>
      <c r="W22" s="496"/>
      <c r="X22" s="293"/>
      <c r="Y22" s="496"/>
      <c r="Z22" s="496"/>
      <c r="AA22" s="549">
        <f t="shared" si="0"/>
        <v>0</v>
      </c>
      <c r="AG22" s="14" t="s">
        <v>650</v>
      </c>
      <c r="AI22" s="14">
        <v>12</v>
      </c>
      <c r="AK22" s="14" t="s">
        <v>395</v>
      </c>
    </row>
    <row r="23" spans="2:40" ht="35.25" customHeight="1">
      <c r="B23" s="490">
        <v>17</v>
      </c>
      <c r="C23" s="741"/>
      <c r="D23" s="742"/>
      <c r="E23" s="742"/>
      <c r="F23" s="742"/>
      <c r="G23" s="742"/>
      <c r="H23" s="743"/>
      <c r="I23" s="744"/>
      <c r="J23" s="744"/>
      <c r="K23" s="745"/>
      <c r="L23" s="502"/>
      <c r="M23" s="519"/>
      <c r="N23" s="491"/>
      <c r="O23" s="491"/>
      <c r="P23" s="491"/>
      <c r="Q23" s="491"/>
      <c r="R23" s="505"/>
      <c r="S23" s="504"/>
      <c r="T23" s="493"/>
      <c r="U23" s="495"/>
      <c r="V23" s="515"/>
      <c r="W23" s="496"/>
      <c r="X23" s="293"/>
      <c r="Y23" s="496"/>
      <c r="Z23" s="496"/>
      <c r="AA23" s="549">
        <f t="shared" si="0"/>
        <v>0</v>
      </c>
      <c r="AK23" s="14" t="s">
        <v>434</v>
      </c>
    </row>
    <row r="24" spans="2:40" ht="35.25" customHeight="1">
      <c r="B24" s="490">
        <v>18</v>
      </c>
      <c r="C24" s="741"/>
      <c r="D24" s="742"/>
      <c r="E24" s="742"/>
      <c r="F24" s="742"/>
      <c r="G24" s="742"/>
      <c r="H24" s="743"/>
      <c r="I24" s="744"/>
      <c r="J24" s="744"/>
      <c r="K24" s="745"/>
      <c r="L24" s="502"/>
      <c r="M24" s="519"/>
      <c r="N24" s="491"/>
      <c r="O24" s="491"/>
      <c r="P24" s="491"/>
      <c r="Q24" s="491"/>
      <c r="R24" s="505"/>
      <c r="S24" s="504"/>
      <c r="T24" s="493"/>
      <c r="U24" s="495"/>
      <c r="V24" s="515"/>
      <c r="W24" s="496"/>
      <c r="X24" s="293"/>
      <c r="Y24" s="496"/>
      <c r="Z24" s="496"/>
      <c r="AA24" s="549">
        <f t="shared" si="0"/>
        <v>0</v>
      </c>
      <c r="AK24" s="14" t="s">
        <v>435</v>
      </c>
    </row>
    <row r="25" spans="2:40" ht="35.25" customHeight="1">
      <c r="B25" s="490">
        <v>19</v>
      </c>
      <c r="C25" s="741"/>
      <c r="D25" s="742"/>
      <c r="E25" s="742"/>
      <c r="F25" s="742"/>
      <c r="G25" s="742"/>
      <c r="H25" s="743"/>
      <c r="I25" s="744"/>
      <c r="J25" s="744"/>
      <c r="K25" s="745"/>
      <c r="L25" s="502"/>
      <c r="M25" s="519"/>
      <c r="N25" s="491"/>
      <c r="O25" s="491"/>
      <c r="P25" s="491"/>
      <c r="Q25" s="491"/>
      <c r="R25" s="505"/>
      <c r="S25" s="504"/>
      <c r="T25" s="493"/>
      <c r="U25" s="509"/>
      <c r="V25" s="515"/>
      <c r="W25" s="496"/>
      <c r="X25" s="293"/>
      <c r="Y25" s="496"/>
      <c r="Z25" s="496"/>
      <c r="AA25" s="549">
        <f t="shared" si="0"/>
        <v>0</v>
      </c>
      <c r="AK25" s="14" t="s">
        <v>436</v>
      </c>
    </row>
    <row r="26" spans="2:40" ht="35.25" customHeight="1" thickBot="1">
      <c r="B26" s="490">
        <v>20</v>
      </c>
      <c r="C26" s="741"/>
      <c r="D26" s="742"/>
      <c r="E26" s="742"/>
      <c r="F26" s="742"/>
      <c r="G26" s="742"/>
      <c r="H26" s="743"/>
      <c r="I26" s="744"/>
      <c r="J26" s="744"/>
      <c r="K26" s="745"/>
      <c r="L26" s="502"/>
      <c r="M26" s="519"/>
      <c r="N26" s="491"/>
      <c r="O26" s="491"/>
      <c r="P26" s="491"/>
      <c r="Q26" s="491"/>
      <c r="R26" s="511"/>
      <c r="S26" s="512"/>
      <c r="T26" s="507"/>
      <c r="U26" s="509"/>
      <c r="V26" s="514"/>
      <c r="W26" s="496"/>
      <c r="X26" s="293"/>
      <c r="Y26" s="496"/>
      <c r="Z26" s="496"/>
      <c r="AA26" s="549">
        <f t="shared" si="0"/>
        <v>0</v>
      </c>
      <c r="AK26" s="14" t="s">
        <v>437</v>
      </c>
    </row>
    <row r="27" spans="2:40" ht="18" customHeight="1">
      <c r="B27" s="816" t="s">
        <v>383</v>
      </c>
      <c r="C27" s="817"/>
      <c r="D27" s="817"/>
      <c r="E27" s="817"/>
      <c r="F27" s="817"/>
      <c r="G27" s="817"/>
      <c r="H27" s="817"/>
      <c r="I27" s="817"/>
      <c r="J27" s="817"/>
      <c r="K27" s="817"/>
      <c r="L27" s="499"/>
      <c r="M27" s="499"/>
      <c r="N27" s="820"/>
      <c r="O27" s="821"/>
      <c r="P27" s="797" t="str">
        <f>IF(COUNTIF(P7:P26,"*すべて*"),"OK","要チェック")</f>
        <v>OK</v>
      </c>
      <c r="Q27" s="383"/>
      <c r="R27" s="725" t="str">
        <f>IF(COUNTIF(R7:R26,"③")&lt;=1,"OK","③は1人まで")</f>
        <v>OK</v>
      </c>
      <c r="S27" s="384"/>
      <c r="T27" s="384"/>
      <c r="U27" s="384"/>
      <c r="V27" s="746" t="s">
        <v>425</v>
      </c>
      <c r="W27" s="734">
        <f>SUM(W7:W26)</f>
        <v>2940000</v>
      </c>
      <c r="X27" s="734">
        <f>SUM(X7:X26)</f>
        <v>788000</v>
      </c>
      <c r="Y27" s="734">
        <f>SUM(Y7:Y26)</f>
        <v>0</v>
      </c>
      <c r="Z27" s="734">
        <f>SUM(Z7:Z26)</f>
        <v>240000</v>
      </c>
      <c r="AA27" s="734">
        <f>SUM(AA7:AA26)</f>
        <v>3968000</v>
      </c>
      <c r="AK27" s="14" t="s">
        <v>438</v>
      </c>
    </row>
    <row r="28" spans="2:40" ht="18" customHeight="1" thickBot="1">
      <c r="B28" s="818"/>
      <c r="C28" s="819"/>
      <c r="D28" s="819"/>
      <c r="E28" s="819"/>
      <c r="F28" s="819"/>
      <c r="G28" s="819"/>
      <c r="H28" s="819"/>
      <c r="I28" s="819"/>
      <c r="J28" s="819"/>
      <c r="K28" s="819"/>
      <c r="L28" s="500"/>
      <c r="M28" s="500"/>
      <c r="N28" s="822"/>
      <c r="O28" s="823"/>
      <c r="P28" s="798"/>
      <c r="Q28" s="385"/>
      <c r="R28" s="726"/>
      <c r="S28" s="386"/>
      <c r="T28" s="386"/>
      <c r="U28" s="386"/>
      <c r="V28" s="746"/>
      <c r="W28" s="734"/>
      <c r="X28" s="734"/>
      <c r="Y28" s="734"/>
      <c r="Z28" s="734"/>
      <c r="AA28" s="734"/>
      <c r="AK28" s="14" t="s">
        <v>439</v>
      </c>
    </row>
    <row r="29" spans="2:40" ht="36.75" customHeight="1">
      <c r="B29" s="369"/>
      <c r="C29" s="369"/>
      <c r="D29" s="369"/>
      <c r="E29" s="369"/>
      <c r="F29" s="369"/>
      <c r="G29" s="369"/>
      <c r="H29" s="369"/>
      <c r="I29" s="369"/>
      <c r="J29" s="369"/>
      <c r="K29" s="369"/>
      <c r="L29" s="487"/>
      <c r="M29" s="487"/>
      <c r="N29" s="369"/>
      <c r="O29" s="369"/>
      <c r="P29" s="385"/>
      <c r="Q29" s="385"/>
      <c r="R29" s="387"/>
      <c r="S29" s="386"/>
      <c r="T29" s="386"/>
      <c r="U29" s="386"/>
      <c r="V29" s="388" t="s">
        <v>442</v>
      </c>
      <c r="W29" s="372">
        <v>100000</v>
      </c>
      <c r="X29" s="372">
        <v>100000</v>
      </c>
      <c r="Y29" s="372"/>
      <c r="Z29" s="372"/>
      <c r="AA29" s="389">
        <f>SUM(W29:Z29)</f>
        <v>200000</v>
      </c>
      <c r="AK29" s="14" t="s">
        <v>427</v>
      </c>
    </row>
    <row r="30" spans="2:40" ht="36.75" customHeight="1">
      <c r="B30" s="369"/>
      <c r="C30" s="369"/>
      <c r="D30" s="369"/>
      <c r="E30" s="369"/>
      <c r="F30" s="369"/>
      <c r="G30" s="369"/>
      <c r="H30" s="369"/>
      <c r="I30" s="369"/>
      <c r="J30" s="369"/>
      <c r="K30" s="369"/>
      <c r="L30" s="487"/>
      <c r="M30" s="487"/>
      <c r="N30" s="369"/>
      <c r="O30" s="369"/>
      <c r="P30" s="385"/>
      <c r="Q30" s="385"/>
      <c r="R30" s="387"/>
      <c r="S30" s="386"/>
      <c r="T30" s="386"/>
      <c r="U30" s="386"/>
      <c r="V30" s="388" t="s">
        <v>577</v>
      </c>
      <c r="W30" s="390"/>
      <c r="X30" s="390"/>
      <c r="Y30" s="372">
        <v>200000</v>
      </c>
      <c r="Z30" s="372">
        <v>240000</v>
      </c>
      <c r="AA30" s="389"/>
      <c r="AK30" s="14" t="s">
        <v>429</v>
      </c>
    </row>
    <row r="31" spans="2:40" ht="36.75" customHeight="1" thickBot="1">
      <c r="B31" s="369"/>
      <c r="C31" s="369"/>
      <c r="D31" s="369"/>
      <c r="E31" s="369"/>
      <c r="F31" s="369"/>
      <c r="G31" s="369"/>
      <c r="H31" s="369"/>
      <c r="I31" s="369"/>
      <c r="J31" s="369"/>
      <c r="K31" s="369"/>
      <c r="L31" s="487"/>
      <c r="M31" s="487"/>
      <c r="N31" s="369"/>
      <c r="O31" s="369"/>
      <c r="P31" s="385"/>
      <c r="Q31" s="385"/>
      <c r="R31" s="387"/>
      <c r="S31" s="386"/>
      <c r="T31" s="386"/>
      <c r="U31" s="386"/>
      <c r="V31" s="391" t="s">
        <v>443</v>
      </c>
      <c r="W31" s="389">
        <f>SUM(W27:W29)</f>
        <v>3040000</v>
      </c>
      <c r="X31" s="389">
        <f t="shared" ref="X31" si="1">SUM(X27:X29)</f>
        <v>888000</v>
      </c>
      <c r="Y31" s="389">
        <f>SUM(Y27:Y30)</f>
        <v>200000</v>
      </c>
      <c r="Z31" s="389">
        <f>SUM(Z27:Z30)</f>
        <v>480000</v>
      </c>
      <c r="AA31" s="389">
        <f>SUM(W31:Z31)</f>
        <v>4608000</v>
      </c>
      <c r="AK31" s="14" t="s">
        <v>431</v>
      </c>
    </row>
    <row r="32" spans="2:40" s="362" customFormat="1" ht="36.75" customHeight="1" thickBot="1">
      <c r="B32" s="717" t="s">
        <v>574</v>
      </c>
      <c r="C32" s="718"/>
      <c r="D32" s="718"/>
      <c r="E32" s="718"/>
      <c r="F32" s="718"/>
      <c r="G32" s="718"/>
      <c r="H32" s="718"/>
      <c r="I32" s="718"/>
      <c r="J32" s="718"/>
      <c r="K32" s="718"/>
      <c r="L32" s="718"/>
      <c r="M32" s="718"/>
      <c r="N32" s="718"/>
      <c r="O32" s="718"/>
      <c r="P32" s="719"/>
      <c r="Q32" s="723" t="s">
        <v>682</v>
      </c>
      <c r="R32" s="392"/>
      <c r="S32" s="392"/>
      <c r="T32" s="392"/>
      <c r="U32" s="392"/>
      <c r="V32" s="393" t="s">
        <v>573</v>
      </c>
      <c r="W32" s="394">
        <f>ROUNDDOWN(MIN(MAX(_xlfn.IFS(Y2=AE3,IF(W31&lt;=1678000,W31,1678000),Y2=AE4,IF(W31&lt;=W34,W31,W34)),0),3158000),-3)</f>
        <v>1678000</v>
      </c>
      <c r="X32" s="395">
        <f>ROUNDDOWN(MIN(X31,919000),-3)</f>
        <v>888000</v>
      </c>
      <c r="Y32" s="395">
        <f>ROUNDDOWN(MIN(Y31,ROUNDDOWN(521000*'様式６（事業計画変更申請書）'!I31/12,-3)),-3)</f>
        <v>0</v>
      </c>
      <c r="Z32" s="395">
        <f>ROUNDDOWN(MIN(Z31,1451000),-3)</f>
        <v>480000</v>
      </c>
      <c r="AA32" s="395"/>
    </row>
    <row r="33" spans="2:30" ht="38.25" customHeight="1" thickBot="1">
      <c r="B33" s="720"/>
      <c r="C33" s="721"/>
      <c r="D33" s="721"/>
      <c r="E33" s="721"/>
      <c r="F33" s="721"/>
      <c r="G33" s="721"/>
      <c r="H33" s="721"/>
      <c r="I33" s="721"/>
      <c r="J33" s="721"/>
      <c r="K33" s="721"/>
      <c r="L33" s="721"/>
      <c r="M33" s="721"/>
      <c r="N33" s="721"/>
      <c r="O33" s="721"/>
      <c r="P33" s="722"/>
      <c r="Q33" s="724"/>
      <c r="R33" s="396"/>
      <c r="S33" s="397"/>
      <c r="T33" s="397"/>
      <c r="U33" s="397"/>
      <c r="V33" s="398" t="s">
        <v>441</v>
      </c>
      <c r="W33" s="399" t="str">
        <f>_xlfn.IFS(Y2=AE3,IF(W32&lt;=1678000,"OK","上限超"),Y2=AE4,IF(W32&lt;=W34,"OK","上限超"))</f>
        <v>OK</v>
      </c>
      <c r="X33" s="399" t="str">
        <f>IF(X32&lt;=919000,"OK","上限超")</f>
        <v>OK</v>
      </c>
      <c r="Y33" s="399" t="str">
        <f>IF(Y32&lt;=ROUNDDOWN(521000*'様式６（事業計画変更申請書）'!I31/12,-3),"OK","上限超")</f>
        <v>OK</v>
      </c>
      <c r="Z33" s="399" t="str">
        <f>IF(Z32&lt;=1451000,"OK","上限超")</f>
        <v>OK</v>
      </c>
      <c r="AA33" s="400"/>
    </row>
    <row r="34" spans="2:30" s="15" customFormat="1" ht="18" customHeight="1">
      <c r="B34" s="731"/>
      <c r="C34" s="731"/>
      <c r="D34" s="731"/>
      <c r="E34" s="731"/>
      <c r="F34" s="731"/>
      <c r="G34" s="731"/>
      <c r="H34" s="731"/>
      <c r="I34" s="732"/>
      <c r="J34" s="733"/>
      <c r="K34" s="733"/>
      <c r="L34" s="489"/>
      <c r="M34" s="489"/>
      <c r="N34" s="401"/>
      <c r="O34" s="401"/>
      <c r="P34" s="401"/>
      <c r="Q34" s="402"/>
      <c r="R34" s="403"/>
      <c r="S34" s="369"/>
      <c r="T34" s="369"/>
      <c r="U34" s="369" t="s">
        <v>458</v>
      </c>
      <c r="V34" s="369" t="s">
        <v>459</v>
      </c>
      <c r="W34" s="404">
        <f>●常勤処遇改善の可能額!G27</f>
        <v>3158000</v>
      </c>
      <c r="X34" s="369"/>
      <c r="Y34" s="369"/>
      <c r="Z34" s="369"/>
      <c r="AA34" s="369"/>
      <c r="AD34" s="14"/>
    </row>
    <row r="35" spans="2:30" s="15" customFormat="1" ht="18" customHeight="1">
      <c r="B35" s="731"/>
      <c r="C35" s="731"/>
      <c r="D35" s="731"/>
      <c r="E35" s="731"/>
      <c r="F35" s="731"/>
      <c r="G35" s="731"/>
      <c r="H35" s="731"/>
      <c r="I35" s="732"/>
      <c r="J35" s="732"/>
      <c r="K35" s="732"/>
      <c r="L35" s="488"/>
      <c r="M35" s="488"/>
      <c r="N35" s="405"/>
      <c r="O35" s="405"/>
      <c r="P35" s="405"/>
      <c r="Q35" s="402"/>
      <c r="R35" s="403"/>
      <c r="S35" s="369"/>
      <c r="T35" s="369"/>
      <c r="U35" s="369"/>
      <c r="V35" s="369" t="s">
        <v>460</v>
      </c>
      <c r="W35" s="405" t="str">
        <f>IF(SUM(様式４年間開所カレンダー!D376:D379)&gt;=250,"OK","250日未満")</f>
        <v>OK</v>
      </c>
      <c r="X35" s="369"/>
      <c r="Y35" s="369"/>
      <c r="Z35" s="369"/>
      <c r="AA35" s="369"/>
    </row>
    <row r="36" spans="2:30" s="15" customFormat="1" ht="18" customHeight="1">
      <c r="B36" s="731"/>
      <c r="C36" s="731"/>
      <c r="D36" s="731"/>
      <c r="E36" s="731"/>
      <c r="F36" s="731"/>
      <c r="G36" s="731"/>
      <c r="H36" s="731"/>
      <c r="I36" s="732"/>
      <c r="J36" s="732"/>
      <c r="K36" s="732"/>
      <c r="L36" s="488"/>
      <c r="M36" s="488"/>
      <c r="N36" s="405"/>
      <c r="O36" s="405"/>
      <c r="P36" s="405"/>
      <c r="Q36" s="402"/>
      <c r="R36" s="403"/>
      <c r="S36" s="369"/>
      <c r="T36" s="369"/>
      <c r="U36" s="369"/>
      <c r="V36" s="369" t="s">
        <v>461</v>
      </c>
      <c r="W36" s="405">
        <f>様式４年間開所カレンダー!L380</f>
        <v>0.77989718614718306</v>
      </c>
      <c r="X36" s="369"/>
      <c r="Y36" s="369"/>
      <c r="Z36" s="369"/>
      <c r="AA36" s="369"/>
    </row>
    <row r="37" spans="2:30" ht="18" customHeight="1">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row>
    <row r="38" spans="2:30" ht="18" customHeight="1">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row>
    <row r="39" spans="2:30" ht="55.5" customHeight="1">
      <c r="B39" s="792" t="s">
        <v>384</v>
      </c>
      <c r="C39" s="792"/>
      <c r="D39" s="792"/>
      <c r="E39" s="792"/>
      <c r="F39" s="792"/>
      <c r="G39" s="792"/>
      <c r="H39" s="792"/>
      <c r="I39" s="792"/>
      <c r="J39" s="792"/>
      <c r="K39" s="792"/>
      <c r="L39" s="792"/>
      <c r="M39" s="792"/>
      <c r="N39" s="792"/>
      <c r="O39" s="792"/>
      <c r="P39" s="792"/>
      <c r="Q39" s="792"/>
      <c r="R39" s="792"/>
      <c r="S39" s="792"/>
      <c r="T39" s="792"/>
      <c r="U39" s="792"/>
      <c r="V39" s="792"/>
    </row>
    <row r="40" spans="2:30" ht="55.5" customHeight="1">
      <c r="B40" s="729" t="s">
        <v>361</v>
      </c>
      <c r="C40" s="729"/>
      <c r="D40" s="813" t="s">
        <v>385</v>
      </c>
      <c r="E40" s="814"/>
      <c r="F40" s="814"/>
      <c r="G40" s="814"/>
      <c r="H40" s="814"/>
      <c r="I40" s="814"/>
      <c r="J40" s="814"/>
      <c r="K40" s="814"/>
      <c r="L40" s="814"/>
      <c r="M40" s="814"/>
      <c r="N40" s="814"/>
      <c r="O40" s="814"/>
      <c r="P40" s="814"/>
      <c r="Q40" s="814"/>
      <c r="R40" s="814"/>
      <c r="S40" s="814"/>
      <c r="T40" s="813" t="s">
        <v>446</v>
      </c>
      <c r="U40" s="814"/>
      <c r="V40" s="814"/>
      <c r="W40" s="814"/>
      <c r="X40" s="814"/>
      <c r="Y40" s="814"/>
      <c r="Z40" s="814"/>
      <c r="AA40" s="815"/>
    </row>
    <row r="41" spans="2:30" ht="90" customHeight="1">
      <c r="B41" s="727" t="s">
        <v>386</v>
      </c>
      <c r="C41" s="730"/>
      <c r="D41" s="727" t="s">
        <v>387</v>
      </c>
      <c r="E41" s="727"/>
      <c r="F41" s="728"/>
      <c r="G41" s="802" t="s">
        <v>388</v>
      </c>
      <c r="H41" s="803"/>
      <c r="I41" s="803"/>
      <c r="J41" s="803"/>
      <c r="K41" s="803"/>
      <c r="L41" s="803"/>
      <c r="M41" s="803"/>
      <c r="N41" s="803"/>
      <c r="O41" s="803"/>
      <c r="P41" s="803"/>
      <c r="Q41" s="803"/>
      <c r="R41" s="803"/>
      <c r="S41" s="804"/>
      <c r="T41" s="714"/>
      <c r="U41" s="715"/>
      <c r="V41" s="715"/>
      <c r="W41" s="715"/>
      <c r="X41" s="715"/>
      <c r="Y41" s="715"/>
      <c r="Z41" s="715"/>
      <c r="AA41" s="716"/>
      <c r="AD41" s="14" t="s">
        <v>387</v>
      </c>
    </row>
    <row r="42" spans="2:30" ht="90" customHeight="1">
      <c r="B42" s="730"/>
      <c r="C42" s="730"/>
      <c r="D42" s="727" t="s">
        <v>389</v>
      </c>
      <c r="E42" s="727"/>
      <c r="F42" s="728"/>
      <c r="G42" s="802" t="s">
        <v>390</v>
      </c>
      <c r="H42" s="803"/>
      <c r="I42" s="803"/>
      <c r="J42" s="803"/>
      <c r="K42" s="803"/>
      <c r="L42" s="803"/>
      <c r="M42" s="803"/>
      <c r="N42" s="803"/>
      <c r="O42" s="803"/>
      <c r="P42" s="803"/>
      <c r="Q42" s="803"/>
      <c r="R42" s="803"/>
      <c r="S42" s="804"/>
      <c r="T42" s="714"/>
      <c r="U42" s="715"/>
      <c r="V42" s="715"/>
      <c r="W42" s="715"/>
      <c r="X42" s="715"/>
      <c r="Y42" s="715"/>
      <c r="Z42" s="715"/>
      <c r="AA42" s="716"/>
      <c r="AD42" s="14" t="s">
        <v>389</v>
      </c>
    </row>
    <row r="43" spans="2:30" ht="90" customHeight="1">
      <c r="B43" s="730"/>
      <c r="C43" s="730"/>
      <c r="D43" s="727" t="s">
        <v>391</v>
      </c>
      <c r="E43" s="727"/>
      <c r="F43" s="728"/>
      <c r="G43" s="802" t="s">
        <v>392</v>
      </c>
      <c r="H43" s="803"/>
      <c r="I43" s="803"/>
      <c r="J43" s="803"/>
      <c r="K43" s="803"/>
      <c r="L43" s="803"/>
      <c r="M43" s="803"/>
      <c r="N43" s="803"/>
      <c r="O43" s="803"/>
      <c r="P43" s="803"/>
      <c r="Q43" s="803"/>
      <c r="R43" s="803"/>
      <c r="S43" s="804"/>
      <c r="T43" s="714"/>
      <c r="U43" s="715"/>
      <c r="V43" s="715"/>
      <c r="W43" s="715"/>
      <c r="X43" s="715"/>
      <c r="Y43" s="715"/>
      <c r="Z43" s="715"/>
      <c r="AA43" s="716"/>
      <c r="AD43" s="14" t="s">
        <v>391</v>
      </c>
    </row>
    <row r="44" spans="2:30" ht="90" customHeight="1">
      <c r="B44" s="730"/>
      <c r="C44" s="730"/>
      <c r="D44" s="727" t="s">
        <v>393</v>
      </c>
      <c r="E44" s="727"/>
      <c r="F44" s="728"/>
      <c r="G44" s="802" t="s">
        <v>394</v>
      </c>
      <c r="H44" s="803"/>
      <c r="I44" s="803"/>
      <c r="J44" s="803"/>
      <c r="K44" s="803"/>
      <c r="L44" s="803"/>
      <c r="M44" s="803"/>
      <c r="N44" s="803"/>
      <c r="O44" s="803"/>
      <c r="P44" s="803"/>
      <c r="Q44" s="803"/>
      <c r="R44" s="803"/>
      <c r="S44" s="804"/>
      <c r="T44" s="714"/>
      <c r="U44" s="715"/>
      <c r="V44" s="715"/>
      <c r="W44" s="715"/>
      <c r="X44" s="715"/>
      <c r="Y44" s="715"/>
      <c r="Z44" s="715"/>
      <c r="AA44" s="716"/>
      <c r="AD44" s="14" t="s">
        <v>433</v>
      </c>
    </row>
    <row r="45" spans="2:30" ht="90" customHeight="1">
      <c r="B45" s="730"/>
      <c r="C45" s="730"/>
      <c r="D45" s="727" t="s">
        <v>395</v>
      </c>
      <c r="E45" s="727"/>
      <c r="F45" s="728"/>
      <c r="G45" s="802" t="s">
        <v>396</v>
      </c>
      <c r="H45" s="803"/>
      <c r="I45" s="803"/>
      <c r="J45" s="803"/>
      <c r="K45" s="803"/>
      <c r="L45" s="803"/>
      <c r="M45" s="803"/>
      <c r="N45" s="803"/>
      <c r="O45" s="803"/>
      <c r="P45" s="803"/>
      <c r="Q45" s="803"/>
      <c r="R45" s="803"/>
      <c r="S45" s="804"/>
      <c r="T45" s="714"/>
      <c r="U45" s="715"/>
      <c r="V45" s="715"/>
      <c r="W45" s="715"/>
      <c r="X45" s="715"/>
      <c r="Y45" s="715"/>
      <c r="Z45" s="715"/>
      <c r="AA45" s="716"/>
      <c r="AD45" s="14" t="s">
        <v>395</v>
      </c>
    </row>
    <row r="46" spans="2:30" ht="90" customHeight="1">
      <c r="B46" s="727" t="s">
        <v>397</v>
      </c>
      <c r="C46" s="727"/>
      <c r="D46" s="790" t="s">
        <v>398</v>
      </c>
      <c r="E46" s="790"/>
      <c r="F46" s="791"/>
      <c r="G46" s="802" t="s">
        <v>591</v>
      </c>
      <c r="H46" s="803"/>
      <c r="I46" s="803"/>
      <c r="J46" s="803"/>
      <c r="K46" s="803"/>
      <c r="L46" s="803"/>
      <c r="M46" s="803"/>
      <c r="N46" s="803"/>
      <c r="O46" s="803"/>
      <c r="P46" s="803"/>
      <c r="Q46" s="803"/>
      <c r="R46" s="803"/>
      <c r="S46" s="804"/>
      <c r="T46" s="714"/>
      <c r="U46" s="715"/>
      <c r="V46" s="715"/>
      <c r="W46" s="715"/>
      <c r="X46" s="715"/>
      <c r="Y46" s="715"/>
      <c r="Z46" s="715"/>
      <c r="AA46" s="716"/>
      <c r="AD46" s="14" t="s">
        <v>434</v>
      </c>
    </row>
    <row r="47" spans="2:30" ht="90" customHeight="1">
      <c r="B47" s="727"/>
      <c r="C47" s="727"/>
      <c r="D47" s="790" t="s">
        <v>399</v>
      </c>
      <c r="E47" s="790"/>
      <c r="F47" s="791"/>
      <c r="G47" s="802" t="s">
        <v>400</v>
      </c>
      <c r="H47" s="803"/>
      <c r="I47" s="803"/>
      <c r="J47" s="803"/>
      <c r="K47" s="803"/>
      <c r="L47" s="803"/>
      <c r="M47" s="803"/>
      <c r="N47" s="803"/>
      <c r="O47" s="803"/>
      <c r="P47" s="803"/>
      <c r="Q47" s="803"/>
      <c r="R47" s="803"/>
      <c r="S47" s="804"/>
      <c r="T47" s="714"/>
      <c r="U47" s="715"/>
      <c r="V47" s="715"/>
      <c r="W47" s="715"/>
      <c r="X47" s="715"/>
      <c r="Y47" s="715"/>
      <c r="Z47" s="715"/>
      <c r="AA47" s="716"/>
      <c r="AD47" s="14" t="s">
        <v>435</v>
      </c>
    </row>
    <row r="48" spans="2:30" ht="90" customHeight="1">
      <c r="B48" s="727"/>
      <c r="C48" s="727"/>
      <c r="D48" s="790" t="s">
        <v>401</v>
      </c>
      <c r="E48" s="790"/>
      <c r="F48" s="791"/>
      <c r="G48" s="802" t="s">
        <v>402</v>
      </c>
      <c r="H48" s="803"/>
      <c r="I48" s="803"/>
      <c r="J48" s="803"/>
      <c r="K48" s="803"/>
      <c r="L48" s="803"/>
      <c r="M48" s="803"/>
      <c r="N48" s="803"/>
      <c r="O48" s="803"/>
      <c r="P48" s="803"/>
      <c r="Q48" s="803"/>
      <c r="R48" s="803"/>
      <c r="S48" s="804"/>
      <c r="T48" s="714"/>
      <c r="U48" s="715"/>
      <c r="V48" s="715"/>
      <c r="W48" s="715"/>
      <c r="X48" s="715"/>
      <c r="Y48" s="715"/>
      <c r="Z48" s="715"/>
      <c r="AA48" s="716"/>
      <c r="AD48" s="14" t="s">
        <v>436</v>
      </c>
    </row>
    <row r="49" spans="2:30" ht="90" customHeight="1">
      <c r="B49" s="727"/>
      <c r="C49" s="727"/>
      <c r="D49" s="790" t="s">
        <v>403</v>
      </c>
      <c r="E49" s="790"/>
      <c r="F49" s="791"/>
      <c r="G49" s="802" t="s">
        <v>404</v>
      </c>
      <c r="H49" s="803"/>
      <c r="I49" s="803"/>
      <c r="J49" s="803"/>
      <c r="K49" s="803"/>
      <c r="L49" s="803"/>
      <c r="M49" s="803"/>
      <c r="N49" s="803"/>
      <c r="O49" s="803"/>
      <c r="P49" s="803"/>
      <c r="Q49" s="803"/>
      <c r="R49" s="803"/>
      <c r="S49" s="804"/>
      <c r="T49" s="714"/>
      <c r="U49" s="715"/>
      <c r="V49" s="715"/>
      <c r="W49" s="715"/>
      <c r="X49" s="715"/>
      <c r="Y49" s="715"/>
      <c r="Z49" s="715"/>
      <c r="AA49" s="716"/>
      <c r="AD49" s="14" t="s">
        <v>437</v>
      </c>
    </row>
    <row r="50" spans="2:30" ht="90" customHeight="1">
      <c r="B50" s="727"/>
      <c r="C50" s="727"/>
      <c r="D50" s="790" t="s">
        <v>405</v>
      </c>
      <c r="E50" s="790"/>
      <c r="F50" s="791"/>
      <c r="G50" s="802" t="s">
        <v>406</v>
      </c>
      <c r="H50" s="803"/>
      <c r="I50" s="803"/>
      <c r="J50" s="803"/>
      <c r="K50" s="803"/>
      <c r="L50" s="803"/>
      <c r="M50" s="803"/>
      <c r="N50" s="803"/>
      <c r="O50" s="803"/>
      <c r="P50" s="803"/>
      <c r="Q50" s="803"/>
      <c r="R50" s="803"/>
      <c r="S50" s="804"/>
      <c r="T50" s="714"/>
      <c r="U50" s="715"/>
      <c r="V50" s="715"/>
      <c r="W50" s="715"/>
      <c r="X50" s="715"/>
      <c r="Y50" s="715"/>
      <c r="Z50" s="715"/>
      <c r="AA50" s="716"/>
      <c r="AD50" s="14" t="s">
        <v>438</v>
      </c>
    </row>
    <row r="51" spans="2:30" ht="90" customHeight="1">
      <c r="B51" s="727"/>
      <c r="C51" s="727"/>
      <c r="D51" s="790" t="s">
        <v>407</v>
      </c>
      <c r="E51" s="790"/>
      <c r="F51" s="791"/>
      <c r="G51" s="802" t="s">
        <v>408</v>
      </c>
      <c r="H51" s="803"/>
      <c r="I51" s="803"/>
      <c r="J51" s="803"/>
      <c r="K51" s="803"/>
      <c r="L51" s="803"/>
      <c r="M51" s="803"/>
      <c r="N51" s="803"/>
      <c r="O51" s="803"/>
      <c r="P51" s="803"/>
      <c r="Q51" s="803"/>
      <c r="R51" s="803"/>
      <c r="S51" s="804"/>
      <c r="T51" s="714"/>
      <c r="U51" s="715"/>
      <c r="V51" s="715"/>
      <c r="W51" s="715"/>
      <c r="X51" s="715"/>
      <c r="Y51" s="715"/>
      <c r="Z51" s="715"/>
      <c r="AA51" s="716"/>
      <c r="AD51" s="14" t="s">
        <v>439</v>
      </c>
    </row>
    <row r="52" spans="2:30" ht="90" customHeight="1">
      <c r="D52" s="796" t="s">
        <v>428</v>
      </c>
      <c r="E52" s="796"/>
      <c r="F52" s="796"/>
      <c r="AD52" s="14" t="s">
        <v>427</v>
      </c>
    </row>
    <row r="53" spans="2:30" ht="55.5" customHeight="1">
      <c r="D53" s="796" t="s">
        <v>430</v>
      </c>
      <c r="E53" s="796"/>
      <c r="F53" s="796"/>
      <c r="AD53" s="14" t="s">
        <v>429</v>
      </c>
    </row>
    <row r="54" spans="2:30" ht="55.5" customHeight="1">
      <c r="D54" s="796" t="s">
        <v>432</v>
      </c>
      <c r="E54" s="796"/>
      <c r="F54" s="796"/>
      <c r="AD54" s="14" t="s">
        <v>431</v>
      </c>
    </row>
    <row r="55" spans="2:30" ht="55.5" customHeight="1"/>
    <row r="56" spans="2:30" ht="55.5" customHeight="1"/>
    <row r="57" spans="2:30" ht="55.5" customHeight="1"/>
    <row r="58" spans="2:30" ht="55.5" customHeight="1"/>
    <row r="59" spans="2:30" ht="55.5" customHeight="1"/>
    <row r="60" spans="2:30" ht="55.5" customHeight="1"/>
    <row r="61" spans="2:30" ht="55.5" customHeight="1"/>
    <row r="62" spans="2:30" ht="55.5" customHeight="1"/>
    <row r="63" spans="2:30" ht="55.5" customHeight="1"/>
    <row r="64" spans="2:30"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row r="76" ht="55.5" customHeight="1"/>
    <row r="77" ht="55.5" customHeight="1"/>
    <row r="78" ht="55.5" customHeight="1"/>
    <row r="79" ht="55.5" customHeight="1"/>
    <row r="80" ht="55.5" customHeight="1"/>
    <row r="81" ht="55.5" customHeight="1"/>
    <row r="82" ht="55.5" customHeight="1"/>
    <row r="83" ht="55.5" customHeight="1"/>
    <row r="84" ht="55.5" customHeight="1"/>
    <row r="85" ht="55.5" customHeight="1"/>
    <row r="86" ht="55.5" customHeight="1"/>
    <row r="87" ht="55.5" customHeight="1"/>
    <row r="88" ht="55.5" customHeight="1"/>
    <row r="89" ht="55.5" customHeight="1"/>
    <row r="90" ht="55.5" customHeight="1"/>
    <row r="91" ht="55.5" customHeight="1"/>
    <row r="92" ht="55.5" customHeight="1"/>
    <row r="93" ht="55.5" customHeight="1"/>
    <row r="94" ht="55.5" customHeight="1"/>
    <row r="95" ht="55.5" customHeight="1"/>
    <row r="96" ht="55.5" customHeight="1"/>
    <row r="97" ht="55.5" customHeight="1"/>
    <row r="98" ht="55.5" customHeight="1"/>
    <row r="99" ht="55.5" customHeight="1"/>
    <row r="100" ht="55.5" customHeight="1"/>
    <row r="101" ht="55.5" customHeight="1"/>
    <row r="102" ht="55.5" customHeight="1"/>
    <row r="103" ht="55.5" customHeight="1"/>
    <row r="104" ht="55.5" customHeight="1"/>
    <row r="105" ht="55.5" customHeight="1"/>
    <row r="106" ht="55.5" customHeight="1"/>
    <row r="107" ht="55.5" customHeight="1"/>
    <row r="108" ht="55.5" customHeight="1"/>
    <row r="109" ht="55.5" customHeight="1"/>
    <row r="110" ht="55.5" customHeight="1"/>
    <row r="111" ht="55.5" customHeight="1"/>
    <row r="112" ht="55.5" customHeight="1"/>
    <row r="113" ht="55.5" customHeight="1"/>
    <row r="114" ht="55.5" customHeight="1"/>
    <row r="115" ht="55.5" customHeight="1"/>
    <row r="116" ht="55.5" customHeight="1"/>
    <row r="117" ht="55.5" customHeight="1"/>
    <row r="118" ht="55.5" customHeight="1"/>
    <row r="119" ht="55.5" customHeight="1"/>
    <row r="120" ht="55.5" customHeight="1"/>
    <row r="121" ht="55.5" customHeight="1"/>
    <row r="122" ht="55.5" customHeight="1"/>
    <row r="123" ht="55.5" customHeight="1"/>
    <row r="124" ht="55.5" customHeight="1"/>
    <row r="125" ht="55.5" customHeight="1"/>
    <row r="126" ht="55.5" customHeight="1"/>
    <row r="127" ht="55.5" customHeight="1"/>
    <row r="128" ht="55.5" customHeight="1"/>
    <row r="129" ht="55.5" customHeight="1"/>
    <row r="130" ht="55.5" customHeight="1"/>
    <row r="131" ht="55.5" customHeight="1"/>
    <row r="132" ht="55.5" customHeight="1"/>
    <row r="133" ht="55.5" customHeight="1"/>
    <row r="134" ht="55.5" customHeight="1"/>
    <row r="135" ht="55.5" customHeight="1"/>
    <row r="136" ht="55.5" customHeight="1"/>
    <row r="137" ht="55.5" customHeight="1"/>
    <row r="138" ht="55.5" customHeight="1"/>
    <row r="139" ht="55.5" customHeight="1"/>
    <row r="140" ht="55.5" customHeight="1"/>
    <row r="141" ht="55.5" customHeight="1"/>
    <row r="142" ht="55.5" customHeight="1"/>
    <row r="143" ht="55.5" customHeight="1"/>
    <row r="144" ht="55.5" customHeight="1"/>
    <row r="145" ht="55.5" customHeight="1"/>
    <row r="146" ht="55.5" customHeight="1"/>
    <row r="147" ht="55.5" customHeight="1"/>
    <row r="148" ht="55.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sheetData>
  <sheetProtection insertRows="0" deleteRows="0"/>
  <mergeCells count="123">
    <mergeCell ref="Y2:AA2"/>
    <mergeCell ref="G41:S41"/>
    <mergeCell ref="G42:S42"/>
    <mergeCell ref="G43:S43"/>
    <mergeCell ref="G44:S44"/>
    <mergeCell ref="G45:S45"/>
    <mergeCell ref="G46:S46"/>
    <mergeCell ref="G47:S47"/>
    <mergeCell ref="G48:S48"/>
    <mergeCell ref="D40:S40"/>
    <mergeCell ref="T40:AA40"/>
    <mergeCell ref="T41:AA41"/>
    <mergeCell ref="T42:AA42"/>
    <mergeCell ref="T43:AA43"/>
    <mergeCell ref="T44:AA44"/>
    <mergeCell ref="T45:AA45"/>
    <mergeCell ref="T46:AA46"/>
    <mergeCell ref="T47:AA47"/>
    <mergeCell ref="T48:AA48"/>
    <mergeCell ref="B27:K28"/>
    <mergeCell ref="N27:O28"/>
    <mergeCell ref="T4:T6"/>
    <mergeCell ref="W5:W6"/>
    <mergeCell ref="X5:X6"/>
    <mergeCell ref="D53:F53"/>
    <mergeCell ref="P27:P28"/>
    <mergeCell ref="D52:F52"/>
    <mergeCell ref="C12:H12"/>
    <mergeCell ref="I12:K12"/>
    <mergeCell ref="B46:C51"/>
    <mergeCell ref="D46:F46"/>
    <mergeCell ref="D54:F54"/>
    <mergeCell ref="B1:N3"/>
    <mergeCell ref="G49:S49"/>
    <mergeCell ref="G50:S50"/>
    <mergeCell ref="G51:S51"/>
    <mergeCell ref="C7:H7"/>
    <mergeCell ref="I7:K7"/>
    <mergeCell ref="C13:H13"/>
    <mergeCell ref="I13:K13"/>
    <mergeCell ref="C19:H19"/>
    <mergeCell ref="I19:K19"/>
    <mergeCell ref="C22:H22"/>
    <mergeCell ref="I22:K22"/>
    <mergeCell ref="C21:H21"/>
    <mergeCell ref="I21:K21"/>
    <mergeCell ref="C20:H20"/>
    <mergeCell ref="I20:K20"/>
    <mergeCell ref="Y5:Y6"/>
    <mergeCell ref="AA5:AA6"/>
    <mergeCell ref="W4:AA4"/>
    <mergeCell ref="Z5:Z6"/>
    <mergeCell ref="D47:F47"/>
    <mergeCell ref="D50:F50"/>
    <mergeCell ref="D51:F51"/>
    <mergeCell ref="D48:F48"/>
    <mergeCell ref="D49:F49"/>
    <mergeCell ref="B39:V39"/>
    <mergeCell ref="C11:H11"/>
    <mergeCell ref="I11:K11"/>
    <mergeCell ref="C14:H14"/>
    <mergeCell ref="C8:H8"/>
    <mergeCell ref="I8:K8"/>
    <mergeCell ref="C16:H16"/>
    <mergeCell ref="I16:K16"/>
    <mergeCell ref="C15:H15"/>
    <mergeCell ref="I15:K15"/>
    <mergeCell ref="I14:K14"/>
    <mergeCell ref="C10:H10"/>
    <mergeCell ref="I10:K10"/>
    <mergeCell ref="C9:H9"/>
    <mergeCell ref="I9:K9"/>
    <mergeCell ref="V1:V2"/>
    <mergeCell ref="O2:O3"/>
    <mergeCell ref="Q2:U3"/>
    <mergeCell ref="B4:H6"/>
    <mergeCell ref="I4:K6"/>
    <mergeCell ref="N4:N6"/>
    <mergeCell ref="O4:O6"/>
    <mergeCell ref="Q4:Q6"/>
    <mergeCell ref="R4:R6"/>
    <mergeCell ref="S4:S6"/>
    <mergeCell ref="U4:U6"/>
    <mergeCell ref="V4:V6"/>
    <mergeCell ref="P4:P6"/>
    <mergeCell ref="L4:L6"/>
    <mergeCell ref="C18:H18"/>
    <mergeCell ref="I18:K18"/>
    <mergeCell ref="C17:H17"/>
    <mergeCell ref="I17:K17"/>
    <mergeCell ref="Z27:Z28"/>
    <mergeCell ref="AA27:AA28"/>
    <mergeCell ref="C26:H26"/>
    <mergeCell ref="I26:K26"/>
    <mergeCell ref="C25:H25"/>
    <mergeCell ref="I25:K25"/>
    <mergeCell ref="C24:H24"/>
    <mergeCell ref="I24:K24"/>
    <mergeCell ref="C23:H23"/>
    <mergeCell ref="I23:K23"/>
    <mergeCell ref="Y27:Y28"/>
    <mergeCell ref="V27:V28"/>
    <mergeCell ref="T49:AA49"/>
    <mergeCell ref="T50:AA50"/>
    <mergeCell ref="T51:AA51"/>
    <mergeCell ref="B32:P33"/>
    <mergeCell ref="Q32:Q33"/>
    <mergeCell ref="R27:R28"/>
    <mergeCell ref="D43:F43"/>
    <mergeCell ref="D44:F44"/>
    <mergeCell ref="B40:C40"/>
    <mergeCell ref="B41:C45"/>
    <mergeCell ref="D41:F41"/>
    <mergeCell ref="D42:F42"/>
    <mergeCell ref="D45:F45"/>
    <mergeCell ref="B34:H34"/>
    <mergeCell ref="I34:K34"/>
    <mergeCell ref="B35:H35"/>
    <mergeCell ref="I35:K35"/>
    <mergeCell ref="B36:H36"/>
    <mergeCell ref="I36:K36"/>
    <mergeCell ref="W27:W28"/>
    <mergeCell ref="X27:X28"/>
  </mergeCells>
  <phoneticPr fontId="1"/>
  <conditionalFormatting sqref="P27:P28">
    <cfRule type="containsText" dxfId="1358" priority="7" operator="containsText" text="チェック">
      <formula>NOT(ISERROR(SEARCH("チェック",P27)))</formula>
    </cfRule>
  </conditionalFormatting>
  <conditionalFormatting sqref="W33:Z33">
    <cfRule type="containsText" dxfId="1357" priority="4" operator="containsText" text="OK">
      <formula>NOT(ISERROR(SEARCH("OK",W33)))</formula>
    </cfRule>
  </conditionalFormatting>
  <conditionalFormatting sqref="R27:R28">
    <cfRule type="containsText" dxfId="1356" priority="3" operator="containsText" text="③は1人まで">
      <formula>NOT(ISERROR(SEARCH("③は1人まで",R27)))</formula>
    </cfRule>
  </conditionalFormatting>
  <dataValidations count="10">
    <dataValidation type="list" allowBlank="1" showInputMessage="1" showErrorMessage="1" sqref="Q32:Q33 T7:T26" xr:uid="{7556F3DB-5F41-4691-93B1-017190B21134}">
      <formula1>$AD$11:$AD$12</formula1>
    </dataValidation>
    <dataValidation type="list" allowBlank="1" showInputMessage="1" showErrorMessage="1" sqref="Y2:AA2" xr:uid="{13D1D748-B27E-4FA6-868D-0B78923E98A8}">
      <formula1>$AE$3:$AE$4</formula1>
    </dataValidation>
    <dataValidation type="list" allowBlank="1" showInputMessage="1" showErrorMessage="1" sqref="V7:V26 L7:M26" xr:uid="{C380F097-A1E1-4AE5-8EAB-09D902676432}">
      <formula1>$AG$7:$AG$23</formula1>
    </dataValidation>
    <dataValidation type="list" allowBlank="1" showInputMessage="1" showErrorMessage="1" sqref="I7:K26" xr:uid="{0A34A77D-A070-4ABB-A664-7B573EB7CB89}">
      <formula1>$AD$7:$AD$9</formula1>
    </dataValidation>
    <dataValidation type="list" allowBlank="1" showInputMessage="1" showErrorMessage="1" sqref="O7:O26" xr:uid="{31C5B35C-F56B-481B-8C18-53A75ADA5492}">
      <formula1>$AK$11:$AK$13</formula1>
    </dataValidation>
    <dataValidation type="list" allowBlank="1" showInputMessage="1" showErrorMessage="1" sqref="N7:N26" xr:uid="{129495EF-5901-4536-B0C0-0CAE97054C78}">
      <formula1>$AK$7:$AK$8</formula1>
    </dataValidation>
    <dataValidation type="list" showInputMessage="1" showErrorMessage="1" sqref="U7:U26" xr:uid="{F058C6A2-E04E-4012-A063-E61EC6F3B755}">
      <formula1>$AK$15:$AK$16</formula1>
    </dataValidation>
    <dataValidation type="list" allowBlank="1" showInputMessage="1" showErrorMessage="1" sqref="P7:P26" xr:uid="{4BA6AA8F-00A0-484C-AF58-C1AAB97ACEB3}">
      <formula1>$AK$18:$AK$32</formula1>
    </dataValidation>
    <dataValidation type="list" allowBlank="1" showInputMessage="1" showErrorMessage="1" sqref="R7:R26" xr:uid="{D4AFE4E1-3F95-4093-83E2-91E105BE98DE}">
      <formula1>$AI$7:$AI$10</formula1>
    </dataValidation>
    <dataValidation type="list" allowBlank="1" showInputMessage="1" showErrorMessage="1" sqref="S7:S26" xr:uid="{7C2F9C99-7B39-4E83-AB17-98D0550E77A2}">
      <formula1>$AI$11:$AI$23</formula1>
    </dataValidation>
  </dataValidations>
  <pageMargins left="0.39370078740157483" right="0.39370078740157483" top="0.35433070866141736" bottom="0.35433070866141736" header="0.31496062992125984" footer="0.31496062992125984"/>
  <pageSetup paperSize="9" scale="52" fitToHeight="0" orientation="landscape" r:id="rId1"/>
  <rowBreaks count="1" manualBreakCount="1">
    <brk id="37"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3F58-D4B8-46B7-B6D6-9B673865A005}">
  <sheetPr>
    <pageSetUpPr fitToPage="1"/>
  </sheetPr>
  <dimension ref="A1:AX380"/>
  <sheetViews>
    <sheetView tabSelected="1" view="pageBreakPreview" zoomScaleNormal="100" zoomScaleSheetLayoutView="100" workbookViewId="0">
      <selection activeCell="S380" sqref="S380"/>
    </sheetView>
  </sheetViews>
  <sheetFormatPr defaultColWidth="9" defaultRowHeight="13.5"/>
  <cols>
    <col min="1" max="2" width="5.375" style="13" bestFit="1" customWidth="1"/>
    <col min="3" max="3" width="4.875" style="86" bestFit="1" customWidth="1"/>
    <col min="4" max="4" width="18.625" style="87" bestFit="1" customWidth="1"/>
    <col min="5" max="6" width="8.125" style="88" customWidth="1"/>
    <col min="7" max="7" width="8" style="13" customWidth="1"/>
    <col min="8" max="8" width="8.875" style="86" customWidth="1"/>
    <col min="9" max="9" width="8.875" style="88" customWidth="1"/>
    <col min="10" max="10" width="5.125" style="89" customWidth="1"/>
    <col min="11" max="11" width="8.125" style="90" customWidth="1"/>
    <col min="12" max="12" width="8.125" style="91" customWidth="1"/>
    <col min="13" max="13" width="16.125" style="179" customWidth="1"/>
    <col min="14" max="14" width="8.5" style="13" customWidth="1"/>
    <col min="15" max="15" width="3.5" style="13" customWidth="1"/>
    <col min="16" max="18" width="5.875" style="13" customWidth="1"/>
    <col min="19" max="19" width="8.625" style="180" customWidth="1"/>
    <col min="20" max="21" width="7.5" style="181" customWidth="1"/>
    <col min="22" max="22" width="8.625" style="180" customWidth="1"/>
    <col min="23" max="24" width="7.5" style="181" customWidth="1"/>
    <col min="25" max="25" width="8.625" style="180" customWidth="1"/>
    <col min="26" max="27" width="7.5" style="181" customWidth="1"/>
    <col min="28" max="28" width="8.625" style="180" customWidth="1"/>
    <col min="29" max="30" width="7.625" style="181" customWidth="1"/>
    <col min="31" max="31" width="8.625" style="180" customWidth="1"/>
    <col min="32" max="33" width="7.375" style="181" customWidth="1"/>
    <col min="34" max="34" width="8.625" style="180" customWidth="1"/>
    <col min="35" max="36" width="7.125" style="181" customWidth="1"/>
    <col min="37" max="37" width="8.625" style="180" customWidth="1"/>
    <col min="38" max="39" width="7.125" style="181" customWidth="1"/>
    <col min="40" max="43" width="13.125" style="185" customWidth="1"/>
    <col min="44" max="44" width="23.75" style="185" customWidth="1"/>
    <col min="45" max="45" width="8.5" style="13" customWidth="1"/>
    <col min="46" max="46" width="9" style="13"/>
    <col min="47" max="47" width="9.375" style="13" bestFit="1" customWidth="1"/>
    <col min="48" max="16384" width="9" style="13"/>
  </cols>
  <sheetData>
    <row r="1" spans="1:48" ht="14.25">
      <c r="B1" s="5" t="s">
        <v>639</v>
      </c>
      <c r="V1" s="180" t="s">
        <v>323</v>
      </c>
      <c r="W1" s="873" t="str">
        <f>'様式６（事業計画変更申請書）'!J10</f>
        <v>●●法人　●●●●</v>
      </c>
      <c r="X1" s="873"/>
      <c r="Y1" s="873"/>
      <c r="Z1" s="873"/>
      <c r="AA1" s="873"/>
      <c r="AB1" s="873"/>
      <c r="AC1" s="873"/>
      <c r="AD1" s="873"/>
      <c r="AE1" s="873"/>
      <c r="AF1" s="182"/>
      <c r="AG1" s="182"/>
      <c r="AH1" s="182"/>
      <c r="AI1" s="182"/>
      <c r="AJ1" s="182"/>
      <c r="AK1" s="182"/>
      <c r="AL1" s="183"/>
      <c r="AM1" s="183"/>
      <c r="AN1" s="184"/>
      <c r="AO1" s="184"/>
      <c r="AP1" s="184"/>
      <c r="AQ1" s="184"/>
      <c r="AR1" s="184"/>
    </row>
    <row r="2" spans="1:48" ht="14.25" thickBot="1"/>
    <row r="3" spans="1:48" s="178" customFormat="1" ht="45" customHeight="1">
      <c r="C3" s="874" t="s">
        <v>324</v>
      </c>
      <c r="D3" s="875"/>
      <c r="E3" s="875"/>
      <c r="F3" s="875"/>
      <c r="G3" s="876"/>
      <c r="H3" s="877" t="s">
        <v>313</v>
      </c>
      <c r="I3" s="878"/>
      <c r="J3" s="879"/>
      <c r="K3" s="880" t="s">
        <v>314</v>
      </c>
      <c r="L3" s="881"/>
      <c r="M3" s="186" t="s">
        <v>325</v>
      </c>
      <c r="N3" s="882" t="s">
        <v>27</v>
      </c>
      <c r="O3" s="882"/>
      <c r="P3" s="883" t="s">
        <v>326</v>
      </c>
      <c r="Q3" s="884"/>
      <c r="R3" s="885"/>
      <c r="S3" s="886" t="s">
        <v>327</v>
      </c>
      <c r="T3" s="887"/>
      <c r="U3" s="887"/>
      <c r="V3" s="887"/>
      <c r="W3" s="887"/>
      <c r="X3" s="887"/>
      <c r="Y3" s="887"/>
      <c r="Z3" s="887"/>
      <c r="AA3" s="887"/>
      <c r="AB3" s="887"/>
      <c r="AC3" s="887"/>
      <c r="AD3" s="887"/>
      <c r="AE3" s="887"/>
      <c r="AF3" s="887"/>
      <c r="AG3" s="887"/>
      <c r="AH3" s="887"/>
      <c r="AI3" s="887"/>
      <c r="AJ3" s="887"/>
      <c r="AK3" s="887"/>
      <c r="AL3" s="887"/>
      <c r="AM3" s="187"/>
      <c r="AN3" s="846" t="s">
        <v>325</v>
      </c>
      <c r="AO3" s="847"/>
      <c r="AP3" s="847"/>
      <c r="AQ3" s="847"/>
      <c r="AR3" s="848"/>
    </row>
    <row r="4" spans="1:48" s="206" customFormat="1" ht="73.5" customHeight="1" thickBot="1">
      <c r="A4" s="188"/>
      <c r="B4" s="188"/>
      <c r="C4" s="189" t="s">
        <v>240</v>
      </c>
      <c r="D4" s="190"/>
      <c r="E4" s="191" t="s">
        <v>241</v>
      </c>
      <c r="F4" s="191" t="s">
        <v>242</v>
      </c>
      <c r="G4" s="192" t="s">
        <v>25</v>
      </c>
      <c r="H4" s="189" t="s">
        <v>243</v>
      </c>
      <c r="I4" s="191" t="s">
        <v>244</v>
      </c>
      <c r="J4" s="193"/>
      <c r="K4" s="194" t="s">
        <v>245</v>
      </c>
      <c r="L4" s="195" t="s">
        <v>246</v>
      </c>
      <c r="M4" s="196" t="s">
        <v>328</v>
      </c>
      <c r="N4" s="197" t="s">
        <v>247</v>
      </c>
      <c r="O4" s="192"/>
      <c r="P4" s="198" t="s">
        <v>329</v>
      </c>
      <c r="Q4" s="199" t="s">
        <v>330</v>
      </c>
      <c r="R4" s="200"/>
      <c r="S4" s="201" t="s">
        <v>331</v>
      </c>
      <c r="T4" s="202" t="s">
        <v>332</v>
      </c>
      <c r="U4" s="203" t="s">
        <v>333</v>
      </c>
      <c r="V4" s="204" t="s">
        <v>334</v>
      </c>
      <c r="W4" s="202" t="s">
        <v>332</v>
      </c>
      <c r="X4" s="203" t="s">
        <v>333</v>
      </c>
      <c r="Y4" s="204" t="s">
        <v>335</v>
      </c>
      <c r="Z4" s="202" t="s">
        <v>332</v>
      </c>
      <c r="AA4" s="203" t="s">
        <v>333</v>
      </c>
      <c r="AB4" s="204" t="s">
        <v>336</v>
      </c>
      <c r="AC4" s="202" t="s">
        <v>332</v>
      </c>
      <c r="AD4" s="203" t="s">
        <v>333</v>
      </c>
      <c r="AE4" s="204" t="s">
        <v>337</v>
      </c>
      <c r="AF4" s="202" t="s">
        <v>332</v>
      </c>
      <c r="AG4" s="203" t="s">
        <v>333</v>
      </c>
      <c r="AH4" s="204" t="s">
        <v>338</v>
      </c>
      <c r="AI4" s="202" t="s">
        <v>332</v>
      </c>
      <c r="AJ4" s="203" t="s">
        <v>333</v>
      </c>
      <c r="AK4" s="204" t="s">
        <v>339</v>
      </c>
      <c r="AL4" s="202" t="s">
        <v>332</v>
      </c>
      <c r="AM4" s="203" t="s">
        <v>333</v>
      </c>
      <c r="AN4" s="849" t="s">
        <v>340</v>
      </c>
      <c r="AO4" s="850"/>
      <c r="AP4" s="850"/>
      <c r="AQ4" s="850"/>
      <c r="AR4" s="851"/>
      <c r="AS4" s="205" t="s">
        <v>24</v>
      </c>
    </row>
    <row r="5" spans="1:48" ht="14.25">
      <c r="A5" s="829" t="s">
        <v>202</v>
      </c>
      <c r="B5" s="93" t="s">
        <v>248</v>
      </c>
      <c r="C5" s="94" t="s">
        <v>253</v>
      </c>
      <c r="D5" s="123" t="s">
        <v>249</v>
      </c>
      <c r="E5" s="124">
        <v>0.375</v>
      </c>
      <c r="F5" s="124">
        <v>0.75</v>
      </c>
      <c r="G5" s="207">
        <f t="shared" ref="G5:G68" si="0">F5-E5</f>
        <v>0.375</v>
      </c>
      <c r="H5" s="208">
        <f t="shared" ref="H5:H68" si="1">IF(D5="平日",IF(E5+TIME(6,0,0)&lt;TIME(17,59,59),F5-TIME(18,0,0),0),0)</f>
        <v>0</v>
      </c>
      <c r="I5" s="95">
        <f t="shared" ref="I5:I68" si="2">IF(D5="平日",IF(E5+TIME(6,0,0)&gt;TIME(17,59,59),MAX(F5-(E5+TIME(6,0,0)),0),0),0)</f>
        <v>0</v>
      </c>
      <c r="J5" s="209">
        <f t="shared" ref="J5:J68" si="3">IF(AND(H5=0,I5=0),0,1)</f>
        <v>0</v>
      </c>
      <c r="K5" s="210">
        <f t="shared" ref="K5:K68" si="4">IF(D5="土・日・祝・長期休暇",MAX(G5-TIME(8,0,0),0),0)</f>
        <v>4.1666666666666685E-2</v>
      </c>
      <c r="L5" s="97">
        <f t="shared" ref="L5:L68" si="5">IF(K5&gt;=TIME(0,0,1),1,0)</f>
        <v>1</v>
      </c>
      <c r="M5" s="211" t="str">
        <f>IF(D5="休所",IF(E5&lt;&gt;"","入力にエラーがあります",""),"")</f>
        <v/>
      </c>
      <c r="N5" s="212">
        <f t="shared" ref="N5:N68" si="6">IF(OR(D5="休所",D5="",D5="平日：開所とみなす閉所"),0,IF(OR(G5-TIME(7,59,59)&gt;0,D5="土日祝長期：開所とみなす閉所"),1,0))</f>
        <v>1</v>
      </c>
      <c r="O5" s="213">
        <f>IF(N5=0,0,IF(SUM($N$5:N5)&gt;251,1,0))</f>
        <v>0</v>
      </c>
      <c r="P5" s="406">
        <v>5</v>
      </c>
      <c r="Q5" s="407">
        <v>0</v>
      </c>
      <c r="R5" s="214"/>
      <c r="S5" s="410" t="s">
        <v>672</v>
      </c>
      <c r="T5" s="215" t="str">
        <f>VLOOKUP(S5,$AT$11:$AU$31,2,FALSE)</f>
        <v>支援員</v>
      </c>
      <c r="U5" s="216" t="str">
        <f>VLOOKUP(S5,$AT$11:$AV$31,3,FALSE)</f>
        <v>対象</v>
      </c>
      <c r="V5" s="412" t="s">
        <v>695</v>
      </c>
      <c r="W5" s="215" t="str">
        <f>VLOOKUP(S5,$AT$11:$AU$31,2,FALSE)</f>
        <v>支援員</v>
      </c>
      <c r="X5" s="216"/>
      <c r="Y5" s="412"/>
      <c r="Z5" s="215"/>
      <c r="AA5" s="216"/>
      <c r="AB5" s="412"/>
      <c r="AC5" s="215"/>
      <c r="AD5" s="216"/>
      <c r="AE5" s="412"/>
      <c r="AF5" s="215">
        <f>VLOOKUP(AE5,$AT$11:$AU$31,2,FALSE)</f>
        <v>0</v>
      </c>
      <c r="AG5" s="216">
        <f>VLOOKUP(AE5,$AT$11:$AV$31,3,FALSE)</f>
        <v>0</v>
      </c>
      <c r="AH5" s="412"/>
      <c r="AI5" s="215">
        <f>VLOOKUP(AH5,$AT$11:$AU$31,2,FALSE)</f>
        <v>0</v>
      </c>
      <c r="AJ5" s="216">
        <f>VLOOKUP(AH5,$AT$11:$AV$31,3,FALSE)</f>
        <v>0</v>
      </c>
      <c r="AK5" s="412"/>
      <c r="AL5" s="215">
        <f>VLOOKUP(AK5,$AT$11:$AU$31,2,FALSE)</f>
        <v>0</v>
      </c>
      <c r="AM5" s="216">
        <f>VLOOKUP(AK5,$AT$11:$AV$31,3,FALSE)</f>
        <v>0</v>
      </c>
      <c r="AN5" s="461" t="str">
        <f>IF(OR(D5=$AS$6,D5=$AS$7,D5=$AS$8,D5=""),"",IF(COUNTIF(S5:AL5,"支援員")&gt;0,"","支援員がいません！"))</f>
        <v/>
      </c>
      <c r="AO5" s="418" t="str">
        <f t="shared" ref="AO5:AO68" si="7">IF(OR(D5=$AS$6,D5=$AS$7,D5=$AS$8),"",IF(Q5&gt;0,IF(COUNTIF(S5:AM5,"対象")&gt;0,"","障害児加配対象職員がいません"),""))</f>
        <v/>
      </c>
      <c r="AP5" s="415" t="str">
        <f t="shared" ref="AP5:AP68" si="8">IF(OR(D5=$AS$6,D5=$AS$7,D5=$AS$8),"",IF(Q5&gt;0,IF(COUNTA(S5:AM5)&gt;16,"","障害児加配の場合は３名以上の配置"),""))</f>
        <v/>
      </c>
      <c r="AQ5" s="415" t="str">
        <f t="shared" ref="AQ5:AQ68" si="9">IF(OR(D5=$AS$6,D5=$AQS7,D5=$AS$8),"",IF(Q5&gt;2,IF(COUNTIF(S5:AM5,"対象")&gt;1,IF(AB5&lt;&gt;"","","障害児3人以上の場合は４名以上の配置")),""))</f>
        <v/>
      </c>
      <c r="AR5" s="415" t="str">
        <f>IF(AND(OR(D5="平日", D5="土・日・祝・長期休暇"), OR(P5=0, P5="")), "児童数が入力されていません！", "")</f>
        <v/>
      </c>
      <c r="AS5" s="98" t="s">
        <v>249</v>
      </c>
    </row>
    <row r="6" spans="1:48" ht="14.25">
      <c r="A6" s="830"/>
      <c r="B6" s="99" t="s">
        <v>250</v>
      </c>
      <c r="C6" s="466" t="s">
        <v>262</v>
      </c>
      <c r="D6" s="125" t="s">
        <v>251</v>
      </c>
      <c r="E6" s="126"/>
      <c r="F6" s="126"/>
      <c r="G6" s="217">
        <f t="shared" si="0"/>
        <v>0</v>
      </c>
      <c r="H6" s="218">
        <f t="shared" si="1"/>
        <v>0</v>
      </c>
      <c r="I6" s="96">
        <f t="shared" si="2"/>
        <v>0</v>
      </c>
      <c r="J6" s="219">
        <f t="shared" si="3"/>
        <v>0</v>
      </c>
      <c r="K6" s="220">
        <f t="shared" si="4"/>
        <v>0</v>
      </c>
      <c r="L6" s="100">
        <f t="shared" si="5"/>
        <v>0</v>
      </c>
      <c r="M6" s="221" t="str">
        <f t="shared" ref="M6:M69" si="10">IF(D6="休所",IF(E6&lt;&gt;"","入力にエラーがあります",""),"")</f>
        <v/>
      </c>
      <c r="N6" s="222">
        <f t="shared" si="6"/>
        <v>0</v>
      </c>
      <c r="O6" s="223">
        <f>IF(N6=0,0,IF(SUM($N$5:N6)&gt;251,1,0))</f>
        <v>0</v>
      </c>
      <c r="P6" s="408"/>
      <c r="Q6" s="409"/>
      <c r="R6" s="224"/>
      <c r="S6" s="411"/>
      <c r="T6" s="225">
        <f>VLOOKUP(S6,$AT$11:$AU$31,2,FALSE)</f>
        <v>0</v>
      </c>
      <c r="U6" s="226">
        <f t="shared" ref="U6:U69" si="11">VLOOKUP(S6,$AT$12:$AV$31,3,FALSE)</f>
        <v>0</v>
      </c>
      <c r="V6" s="413"/>
      <c r="W6" s="225">
        <f>VLOOKUP(V6,$AT$11:$AU$31,2,FALSE)</f>
        <v>0</v>
      </c>
      <c r="X6" s="226">
        <f t="shared" ref="X6:X69" si="12">VLOOKUP(V6,$AT$12:$AV$31,3,FALSE)</f>
        <v>0</v>
      </c>
      <c r="Y6" s="413"/>
      <c r="Z6" s="225">
        <f>VLOOKUP(Y6,$AT$11:$AU$31,2,FALSE)</f>
        <v>0</v>
      </c>
      <c r="AA6" s="226">
        <f t="shared" ref="AA6:AA69" si="13">VLOOKUP(Y6,$AT$12:$AV$31,3,FALSE)</f>
        <v>0</v>
      </c>
      <c r="AB6" s="413"/>
      <c r="AC6" s="225">
        <f>VLOOKUP(AB6,$AT$11:$AU$31,2,FALSE)</f>
        <v>0</v>
      </c>
      <c r="AD6" s="226">
        <f t="shared" ref="AD6:AD69" si="14">VLOOKUP(AB6,$AT$12:$AV$31,3,FALSE)</f>
        <v>0</v>
      </c>
      <c r="AE6" s="413"/>
      <c r="AF6" s="225">
        <f>VLOOKUP(AE6,$AT$11:$AU$31,2,FALSE)</f>
        <v>0</v>
      </c>
      <c r="AG6" s="226">
        <f t="shared" ref="AG6:AG69" si="15">VLOOKUP(AE6,$AT$12:$AV$31,3,FALSE)</f>
        <v>0</v>
      </c>
      <c r="AH6" s="413"/>
      <c r="AI6" s="225">
        <f>VLOOKUP(AH6,$AT$11:$AU$31,2,FALSE)</f>
        <v>0</v>
      </c>
      <c r="AJ6" s="226">
        <f t="shared" ref="AJ6:AJ69" si="16">VLOOKUP(AH6,$AT$12:$AV$31,3,FALSE)</f>
        <v>0</v>
      </c>
      <c r="AK6" s="413"/>
      <c r="AL6" s="225">
        <f>VLOOKUP(AK6,$AT$11:$AU$31,2,FALSE)</f>
        <v>0</v>
      </c>
      <c r="AM6" s="226">
        <f t="shared" ref="AM6:AM69" si="17">VLOOKUP(AK6,$AT$12:$AV$31,3,FALSE)</f>
        <v>0</v>
      </c>
      <c r="AN6" s="462" t="str">
        <f t="shared" ref="AN6:AN68" si="18">IF(OR(D6=$AS$6,D6=$AS$7,D6=$AS$8,D6=""),"",IF(COUNTIF(S6:AL6,"支援員")&gt;0,"","支援員がいません！"))</f>
        <v/>
      </c>
      <c r="AO6" s="416" t="str">
        <f t="shared" si="7"/>
        <v/>
      </c>
      <c r="AP6" s="416" t="str">
        <f t="shared" si="8"/>
        <v/>
      </c>
      <c r="AQ6" s="416" t="str">
        <f t="shared" si="9"/>
        <v/>
      </c>
      <c r="AR6" s="416" t="str">
        <f>IF(AND(OR(D6="平日", D6="土・日・祝・長期休暇"), OR(P6=0, P6="")), "児童数が入力されていません！", "")</f>
        <v/>
      </c>
      <c r="AS6" s="98" t="s">
        <v>251</v>
      </c>
    </row>
    <row r="7" spans="1:48" ht="14.25">
      <c r="A7" s="830"/>
      <c r="B7" s="99" t="s">
        <v>252</v>
      </c>
      <c r="C7" s="466" t="s">
        <v>182</v>
      </c>
      <c r="D7" s="125" t="s">
        <v>24</v>
      </c>
      <c r="E7" s="126">
        <v>0.58333333333333337</v>
      </c>
      <c r="F7" s="126">
        <v>0.79166666666666663</v>
      </c>
      <c r="G7" s="217">
        <f t="shared" si="0"/>
        <v>0.20833333333333326</v>
      </c>
      <c r="H7" s="218">
        <f t="shared" si="1"/>
        <v>0</v>
      </c>
      <c r="I7" s="96">
        <f t="shared" si="2"/>
        <v>0</v>
      </c>
      <c r="J7" s="219">
        <f t="shared" si="3"/>
        <v>0</v>
      </c>
      <c r="K7" s="220">
        <f t="shared" si="4"/>
        <v>0</v>
      </c>
      <c r="L7" s="100">
        <f t="shared" si="5"/>
        <v>0</v>
      </c>
      <c r="M7" s="221" t="str">
        <f t="shared" si="10"/>
        <v/>
      </c>
      <c r="N7" s="222">
        <f t="shared" si="6"/>
        <v>0</v>
      </c>
      <c r="O7" s="223">
        <f>IF(N7=0,0,IF(SUM($N$5:N7)&gt;251,1,0))</f>
        <v>0</v>
      </c>
      <c r="P7" s="408">
        <v>25</v>
      </c>
      <c r="Q7" s="409">
        <v>1</v>
      </c>
      <c r="R7" s="224"/>
      <c r="S7" s="411" t="s">
        <v>672</v>
      </c>
      <c r="T7" s="225" t="s">
        <v>697</v>
      </c>
      <c r="U7" s="226" t="s">
        <v>698</v>
      </c>
      <c r="V7" s="413" t="s">
        <v>695</v>
      </c>
      <c r="W7" s="225" t="s">
        <v>697</v>
      </c>
      <c r="X7" s="226" t="s">
        <v>698</v>
      </c>
      <c r="Y7" s="413" t="s">
        <v>696</v>
      </c>
      <c r="Z7" s="225" t="s">
        <v>699</v>
      </c>
      <c r="AA7" s="226" t="s">
        <v>698</v>
      </c>
      <c r="AB7" s="413"/>
      <c r="AC7" s="225">
        <f>VLOOKUP(AB7,$AT$12:$AU$31,2,FALSE)</f>
        <v>0</v>
      </c>
      <c r="AD7" s="226">
        <f t="shared" si="14"/>
        <v>0</v>
      </c>
      <c r="AE7" s="413"/>
      <c r="AF7" s="225">
        <f>VLOOKUP(AE7,$AT$12:$AU$31,2,FALSE)</f>
        <v>0</v>
      </c>
      <c r="AG7" s="226">
        <f t="shared" si="15"/>
        <v>0</v>
      </c>
      <c r="AH7" s="413"/>
      <c r="AI7" s="225">
        <f>VLOOKUP(AH7,$AT$12:$AU$31,2,FALSE)</f>
        <v>0</v>
      </c>
      <c r="AJ7" s="226">
        <f t="shared" si="16"/>
        <v>0</v>
      </c>
      <c r="AK7" s="413"/>
      <c r="AL7" s="225">
        <f>VLOOKUP(AK7,$AT$12:$AU$31,2,FALSE)</f>
        <v>0</v>
      </c>
      <c r="AM7" s="226">
        <f t="shared" si="17"/>
        <v>0</v>
      </c>
      <c r="AN7" s="462" t="str">
        <f t="shared" si="18"/>
        <v/>
      </c>
      <c r="AO7" s="416" t="str">
        <f t="shared" si="7"/>
        <v/>
      </c>
      <c r="AP7" s="416" t="str">
        <f t="shared" si="8"/>
        <v/>
      </c>
      <c r="AQ7" s="416" t="str">
        <f t="shared" si="9"/>
        <v/>
      </c>
      <c r="AR7" s="416" t="str">
        <f t="shared" ref="AR7:AR70" si="19">IF(AND(OR(D7="平日", D7="土・日・祝・長期休暇"), OR(P7=0, P7="")), "児童数が入力されていません！", "")</f>
        <v/>
      </c>
      <c r="AS7" s="13" t="s">
        <v>311</v>
      </c>
    </row>
    <row r="8" spans="1:48" ht="14.25">
      <c r="A8" s="830"/>
      <c r="B8" s="99" t="s">
        <v>254</v>
      </c>
      <c r="C8" s="466" t="s">
        <v>187</v>
      </c>
      <c r="D8" s="125" t="s">
        <v>24</v>
      </c>
      <c r="E8" s="126">
        <v>0.58333333333333337</v>
      </c>
      <c r="F8" s="126">
        <v>0.79166666666666663</v>
      </c>
      <c r="G8" s="217">
        <f t="shared" si="0"/>
        <v>0.20833333333333326</v>
      </c>
      <c r="H8" s="218">
        <f t="shared" si="1"/>
        <v>0</v>
      </c>
      <c r="I8" s="96">
        <f t="shared" si="2"/>
        <v>0</v>
      </c>
      <c r="J8" s="219">
        <f t="shared" si="3"/>
        <v>0</v>
      </c>
      <c r="K8" s="220">
        <f t="shared" si="4"/>
        <v>0</v>
      </c>
      <c r="L8" s="100">
        <f t="shared" si="5"/>
        <v>0</v>
      </c>
      <c r="M8" s="221" t="str">
        <f t="shared" si="10"/>
        <v/>
      </c>
      <c r="N8" s="222">
        <f t="shared" si="6"/>
        <v>0</v>
      </c>
      <c r="O8" s="223">
        <f>IF(N8=0,0,IF(SUM($N$5:N8)&gt;251,1,0))</f>
        <v>0</v>
      </c>
      <c r="P8" s="408">
        <v>25</v>
      </c>
      <c r="Q8" s="409">
        <v>1</v>
      </c>
      <c r="R8" s="224"/>
      <c r="S8" s="411" t="s">
        <v>672</v>
      </c>
      <c r="T8" s="225" t="str">
        <f t="shared" ref="T8:T12" si="20">VLOOKUP(S8,$AT$12:$AU$31,2,FALSE)</f>
        <v>支援員</v>
      </c>
      <c r="U8" s="226" t="str">
        <f t="shared" ref="U8:U12" si="21">VLOOKUP(S8,$AT$12:$AV$31,3,FALSE)</f>
        <v>対象</v>
      </c>
      <c r="V8" s="413" t="s">
        <v>695</v>
      </c>
      <c r="W8" s="225" t="s">
        <v>697</v>
      </c>
      <c r="X8" s="226" t="s">
        <v>698</v>
      </c>
      <c r="Y8" s="413" t="s">
        <v>696</v>
      </c>
      <c r="Z8" s="225" t="s">
        <v>699</v>
      </c>
      <c r="AA8" s="226" t="s">
        <v>698</v>
      </c>
      <c r="AB8" s="413"/>
      <c r="AC8" s="225">
        <f t="shared" ref="AC8:AC71" si="22">VLOOKUP(AB8,$AT$12:$AU$31,2,FALSE)</f>
        <v>0</v>
      </c>
      <c r="AD8" s="226">
        <f t="shared" si="14"/>
        <v>0</v>
      </c>
      <c r="AE8" s="413"/>
      <c r="AF8" s="225">
        <f t="shared" ref="AF8:AF71" si="23">VLOOKUP(AE8,$AT$12:$AU$31,2,FALSE)</f>
        <v>0</v>
      </c>
      <c r="AG8" s="226">
        <f t="shared" si="15"/>
        <v>0</v>
      </c>
      <c r="AH8" s="413"/>
      <c r="AI8" s="225">
        <f t="shared" ref="AI8:AI71" si="24">VLOOKUP(AH8,$AT$12:$AU$31,2,FALSE)</f>
        <v>0</v>
      </c>
      <c r="AJ8" s="226">
        <f t="shared" si="16"/>
        <v>0</v>
      </c>
      <c r="AK8" s="413"/>
      <c r="AL8" s="225">
        <f t="shared" ref="AL8:AL71" si="25">VLOOKUP(AK8,$AT$12:$AU$31,2,FALSE)</f>
        <v>0</v>
      </c>
      <c r="AM8" s="226">
        <f t="shared" si="17"/>
        <v>0</v>
      </c>
      <c r="AN8" s="462" t="str">
        <f t="shared" si="18"/>
        <v/>
      </c>
      <c r="AO8" s="416" t="str">
        <f t="shared" si="7"/>
        <v/>
      </c>
      <c r="AP8" s="416" t="str">
        <f t="shared" si="8"/>
        <v/>
      </c>
      <c r="AQ8" s="416" t="str">
        <f t="shared" si="9"/>
        <v/>
      </c>
      <c r="AR8" s="416" t="str">
        <f t="shared" si="19"/>
        <v/>
      </c>
      <c r="AS8" s="13" t="s">
        <v>312</v>
      </c>
    </row>
    <row r="9" spans="1:48" ht="14.25">
      <c r="A9" s="830"/>
      <c r="B9" s="99" t="s">
        <v>255</v>
      </c>
      <c r="C9" s="466" t="s">
        <v>183</v>
      </c>
      <c r="D9" s="125" t="s">
        <v>24</v>
      </c>
      <c r="E9" s="126">
        <v>0.58333333333333337</v>
      </c>
      <c r="F9" s="126">
        <v>0.79166666666666663</v>
      </c>
      <c r="G9" s="217">
        <f t="shared" si="0"/>
        <v>0.20833333333333326</v>
      </c>
      <c r="H9" s="218">
        <f t="shared" si="1"/>
        <v>0</v>
      </c>
      <c r="I9" s="96">
        <f t="shared" si="2"/>
        <v>0</v>
      </c>
      <c r="J9" s="219">
        <f t="shared" si="3"/>
        <v>0</v>
      </c>
      <c r="K9" s="220">
        <f t="shared" si="4"/>
        <v>0</v>
      </c>
      <c r="L9" s="100">
        <f t="shared" si="5"/>
        <v>0</v>
      </c>
      <c r="M9" s="221" t="str">
        <f t="shared" si="10"/>
        <v/>
      </c>
      <c r="N9" s="222">
        <f t="shared" si="6"/>
        <v>0</v>
      </c>
      <c r="O9" s="223">
        <f>IF(N9=0,0,IF(SUM($N$5:N9)&gt;251,1,0))</f>
        <v>0</v>
      </c>
      <c r="P9" s="408">
        <v>25</v>
      </c>
      <c r="Q9" s="409">
        <v>1</v>
      </c>
      <c r="R9" s="224"/>
      <c r="S9" s="411" t="s">
        <v>672</v>
      </c>
      <c r="T9" s="225" t="str">
        <f t="shared" si="20"/>
        <v>支援員</v>
      </c>
      <c r="U9" s="226" t="str">
        <f t="shared" si="21"/>
        <v>対象</v>
      </c>
      <c r="V9" s="413" t="s">
        <v>695</v>
      </c>
      <c r="W9" s="225" t="s">
        <v>697</v>
      </c>
      <c r="X9" s="226" t="s">
        <v>698</v>
      </c>
      <c r="Y9" s="413" t="s">
        <v>696</v>
      </c>
      <c r="Z9" s="225" t="s">
        <v>699</v>
      </c>
      <c r="AA9" s="226" t="s">
        <v>698</v>
      </c>
      <c r="AB9" s="413"/>
      <c r="AC9" s="225">
        <f t="shared" si="22"/>
        <v>0</v>
      </c>
      <c r="AD9" s="226">
        <f t="shared" si="14"/>
        <v>0</v>
      </c>
      <c r="AE9" s="413"/>
      <c r="AF9" s="225">
        <f t="shared" si="23"/>
        <v>0</v>
      </c>
      <c r="AG9" s="226">
        <f t="shared" si="15"/>
        <v>0</v>
      </c>
      <c r="AH9" s="413"/>
      <c r="AI9" s="225">
        <f t="shared" si="24"/>
        <v>0</v>
      </c>
      <c r="AJ9" s="226">
        <f t="shared" si="16"/>
        <v>0</v>
      </c>
      <c r="AK9" s="413"/>
      <c r="AL9" s="225">
        <f t="shared" si="25"/>
        <v>0</v>
      </c>
      <c r="AM9" s="226">
        <f t="shared" si="17"/>
        <v>0</v>
      </c>
      <c r="AN9" s="462" t="str">
        <f t="shared" si="18"/>
        <v/>
      </c>
      <c r="AO9" s="416" t="str">
        <f t="shared" si="7"/>
        <v/>
      </c>
      <c r="AP9" s="416" t="str">
        <f t="shared" si="8"/>
        <v/>
      </c>
      <c r="AQ9" s="416" t="str">
        <f t="shared" si="9"/>
        <v/>
      </c>
      <c r="AR9" s="416" t="str">
        <f t="shared" si="19"/>
        <v/>
      </c>
    </row>
    <row r="10" spans="1:48" ht="14.25">
      <c r="A10" s="830"/>
      <c r="B10" s="99" t="s">
        <v>256</v>
      </c>
      <c r="C10" s="466" t="s">
        <v>184</v>
      </c>
      <c r="D10" s="125" t="s">
        <v>24</v>
      </c>
      <c r="E10" s="126">
        <v>0.58333333333333337</v>
      </c>
      <c r="F10" s="126">
        <v>0.79166666666666663</v>
      </c>
      <c r="G10" s="217">
        <f t="shared" si="0"/>
        <v>0.20833333333333326</v>
      </c>
      <c r="H10" s="218">
        <f t="shared" si="1"/>
        <v>0</v>
      </c>
      <c r="I10" s="96">
        <f t="shared" si="2"/>
        <v>0</v>
      </c>
      <c r="J10" s="219">
        <f t="shared" si="3"/>
        <v>0</v>
      </c>
      <c r="K10" s="220">
        <f t="shared" si="4"/>
        <v>0</v>
      </c>
      <c r="L10" s="100">
        <f t="shared" si="5"/>
        <v>0</v>
      </c>
      <c r="M10" s="221" t="str">
        <f t="shared" si="10"/>
        <v/>
      </c>
      <c r="N10" s="222">
        <f t="shared" si="6"/>
        <v>0</v>
      </c>
      <c r="O10" s="223">
        <f>IF(N10=0,0,IF(SUM($N$5:N10)&gt;251,1,0))</f>
        <v>0</v>
      </c>
      <c r="P10" s="408">
        <v>25</v>
      </c>
      <c r="Q10" s="409">
        <v>1</v>
      </c>
      <c r="R10" s="224"/>
      <c r="S10" s="411" t="s">
        <v>672</v>
      </c>
      <c r="T10" s="225" t="str">
        <f t="shared" si="20"/>
        <v>支援員</v>
      </c>
      <c r="U10" s="226" t="str">
        <f t="shared" si="21"/>
        <v>対象</v>
      </c>
      <c r="V10" s="413" t="s">
        <v>695</v>
      </c>
      <c r="W10" s="225" t="s">
        <v>697</v>
      </c>
      <c r="X10" s="226" t="s">
        <v>698</v>
      </c>
      <c r="Y10" s="413" t="s">
        <v>696</v>
      </c>
      <c r="Z10" s="225" t="s">
        <v>699</v>
      </c>
      <c r="AA10" s="226" t="s">
        <v>698</v>
      </c>
      <c r="AB10" s="413"/>
      <c r="AC10" s="225">
        <f t="shared" si="22"/>
        <v>0</v>
      </c>
      <c r="AD10" s="226">
        <f t="shared" si="14"/>
        <v>0</v>
      </c>
      <c r="AE10" s="413"/>
      <c r="AF10" s="225">
        <f t="shared" si="23"/>
        <v>0</v>
      </c>
      <c r="AG10" s="226">
        <f t="shared" si="15"/>
        <v>0</v>
      </c>
      <c r="AH10" s="413"/>
      <c r="AI10" s="225">
        <f t="shared" si="24"/>
        <v>0</v>
      </c>
      <c r="AJ10" s="226">
        <f t="shared" si="16"/>
        <v>0</v>
      </c>
      <c r="AK10" s="413"/>
      <c r="AL10" s="225">
        <f t="shared" si="25"/>
        <v>0</v>
      </c>
      <c r="AM10" s="226">
        <f t="shared" si="17"/>
        <v>0</v>
      </c>
      <c r="AN10" s="462" t="str">
        <f t="shared" si="18"/>
        <v/>
      </c>
      <c r="AO10" s="416" t="str">
        <f t="shared" si="7"/>
        <v/>
      </c>
      <c r="AP10" s="416" t="str">
        <f t="shared" si="8"/>
        <v/>
      </c>
      <c r="AQ10" s="416" t="str">
        <f t="shared" si="9"/>
        <v/>
      </c>
      <c r="AR10" s="416" t="str">
        <f t="shared" si="19"/>
        <v/>
      </c>
      <c r="AT10" s="13" t="s">
        <v>341</v>
      </c>
      <c r="AU10" s="13" t="s">
        <v>332</v>
      </c>
      <c r="AV10" s="13" t="s">
        <v>333</v>
      </c>
    </row>
    <row r="11" spans="1:48" ht="14.25">
      <c r="A11" s="830"/>
      <c r="B11" s="99" t="s">
        <v>257</v>
      </c>
      <c r="C11" s="466" t="s">
        <v>185</v>
      </c>
      <c r="D11" s="125" t="s">
        <v>24</v>
      </c>
      <c r="E11" s="126">
        <v>0.58333333333333337</v>
      </c>
      <c r="F11" s="126">
        <v>0.79166666666666663</v>
      </c>
      <c r="G11" s="217">
        <f t="shared" si="0"/>
        <v>0.20833333333333326</v>
      </c>
      <c r="H11" s="218">
        <f t="shared" si="1"/>
        <v>0</v>
      </c>
      <c r="I11" s="96">
        <f t="shared" si="2"/>
        <v>0</v>
      </c>
      <c r="J11" s="219">
        <f t="shared" si="3"/>
        <v>0</v>
      </c>
      <c r="K11" s="220">
        <f t="shared" si="4"/>
        <v>0</v>
      </c>
      <c r="L11" s="100">
        <f t="shared" si="5"/>
        <v>0</v>
      </c>
      <c r="M11" s="221" t="str">
        <f t="shared" si="10"/>
        <v/>
      </c>
      <c r="N11" s="222">
        <f t="shared" si="6"/>
        <v>0</v>
      </c>
      <c r="O11" s="223">
        <f>IF(N11=0,0,IF(SUM($N$5:N11)&gt;251,1,0))</f>
        <v>0</v>
      </c>
      <c r="P11" s="408">
        <v>25</v>
      </c>
      <c r="Q11" s="409">
        <v>1</v>
      </c>
      <c r="R11" s="224"/>
      <c r="S11" s="411" t="s">
        <v>672</v>
      </c>
      <c r="T11" s="225" t="str">
        <f t="shared" si="20"/>
        <v>支援員</v>
      </c>
      <c r="U11" s="226" t="str">
        <f t="shared" si="21"/>
        <v>対象</v>
      </c>
      <c r="V11" s="413" t="s">
        <v>695</v>
      </c>
      <c r="W11" s="225" t="s">
        <v>697</v>
      </c>
      <c r="X11" s="226" t="s">
        <v>698</v>
      </c>
      <c r="Y11" s="413" t="s">
        <v>696</v>
      </c>
      <c r="Z11" s="225" t="s">
        <v>699</v>
      </c>
      <c r="AA11" s="226" t="s">
        <v>698</v>
      </c>
      <c r="AB11" s="413" t="s">
        <v>701</v>
      </c>
      <c r="AC11" s="225" t="str">
        <f t="shared" si="22"/>
        <v>支援員</v>
      </c>
      <c r="AD11" s="226" t="str">
        <f t="shared" si="14"/>
        <v>対象</v>
      </c>
      <c r="AE11" s="413"/>
      <c r="AF11" s="225">
        <f t="shared" si="23"/>
        <v>0</v>
      </c>
      <c r="AG11" s="226">
        <f t="shared" si="15"/>
        <v>0</v>
      </c>
      <c r="AH11" s="413"/>
      <c r="AI11" s="225">
        <f t="shared" si="24"/>
        <v>0</v>
      </c>
      <c r="AJ11" s="226">
        <f t="shared" si="16"/>
        <v>0</v>
      </c>
      <c r="AK11" s="413"/>
      <c r="AL11" s="225">
        <f t="shared" si="25"/>
        <v>0</v>
      </c>
      <c r="AM11" s="226">
        <f t="shared" si="17"/>
        <v>0</v>
      </c>
      <c r="AN11" s="462" t="str">
        <f t="shared" si="18"/>
        <v/>
      </c>
      <c r="AO11" s="416" t="str">
        <f t="shared" si="7"/>
        <v/>
      </c>
      <c r="AP11" s="416" t="str">
        <f t="shared" si="8"/>
        <v/>
      </c>
      <c r="AQ11" s="416" t="str">
        <f t="shared" si="9"/>
        <v/>
      </c>
      <c r="AR11" s="416" t="str">
        <f t="shared" si="19"/>
        <v/>
      </c>
    </row>
    <row r="12" spans="1:48" ht="14.25">
      <c r="A12" s="830"/>
      <c r="B12" s="99" t="s">
        <v>258</v>
      </c>
      <c r="C12" s="466" t="s">
        <v>186</v>
      </c>
      <c r="D12" s="125" t="s">
        <v>249</v>
      </c>
      <c r="E12" s="126">
        <v>0.375</v>
      </c>
      <c r="F12" s="126">
        <v>0.75</v>
      </c>
      <c r="G12" s="217">
        <f t="shared" si="0"/>
        <v>0.375</v>
      </c>
      <c r="H12" s="218">
        <f t="shared" si="1"/>
        <v>0</v>
      </c>
      <c r="I12" s="96">
        <f t="shared" si="2"/>
        <v>0</v>
      </c>
      <c r="J12" s="219">
        <f t="shared" si="3"/>
        <v>0</v>
      </c>
      <c r="K12" s="220">
        <f t="shared" si="4"/>
        <v>4.1666666666666685E-2</v>
      </c>
      <c r="L12" s="100">
        <f t="shared" si="5"/>
        <v>1</v>
      </c>
      <c r="M12" s="221" t="str">
        <f t="shared" si="10"/>
        <v/>
      </c>
      <c r="N12" s="222">
        <f t="shared" si="6"/>
        <v>1</v>
      </c>
      <c r="O12" s="223">
        <f>IF(N12=0,0,IF(SUM($N$5:N12)&gt;251,1,0))</f>
        <v>0</v>
      </c>
      <c r="P12" s="408">
        <v>4</v>
      </c>
      <c r="Q12" s="409">
        <v>0</v>
      </c>
      <c r="R12" s="224"/>
      <c r="S12" s="411" t="s">
        <v>672</v>
      </c>
      <c r="T12" s="225" t="str">
        <f t="shared" si="20"/>
        <v>支援員</v>
      </c>
      <c r="U12" s="226" t="str">
        <f t="shared" si="21"/>
        <v>対象</v>
      </c>
      <c r="V12" s="413" t="s">
        <v>695</v>
      </c>
      <c r="W12" s="225" t="s">
        <v>697</v>
      </c>
      <c r="X12" s="226" t="s">
        <v>698</v>
      </c>
      <c r="Y12" s="413" t="s">
        <v>696</v>
      </c>
      <c r="Z12" s="225" t="s">
        <v>699</v>
      </c>
      <c r="AA12" s="226" t="s">
        <v>698</v>
      </c>
      <c r="AB12" s="413"/>
      <c r="AC12" s="225">
        <f t="shared" si="22"/>
        <v>0</v>
      </c>
      <c r="AD12" s="226">
        <f t="shared" si="14"/>
        <v>0</v>
      </c>
      <c r="AE12" s="413"/>
      <c r="AF12" s="225">
        <f t="shared" si="23"/>
        <v>0</v>
      </c>
      <c r="AG12" s="226">
        <f t="shared" si="15"/>
        <v>0</v>
      </c>
      <c r="AH12" s="413"/>
      <c r="AI12" s="225">
        <f t="shared" si="24"/>
        <v>0</v>
      </c>
      <c r="AJ12" s="226">
        <f t="shared" si="16"/>
        <v>0</v>
      </c>
      <c r="AK12" s="413"/>
      <c r="AL12" s="225">
        <f t="shared" si="25"/>
        <v>0</v>
      </c>
      <c r="AM12" s="226">
        <f t="shared" si="17"/>
        <v>0</v>
      </c>
      <c r="AN12" s="462" t="str">
        <f t="shared" si="18"/>
        <v/>
      </c>
      <c r="AO12" s="416" t="str">
        <f t="shared" si="7"/>
        <v/>
      </c>
      <c r="AP12" s="416" t="str">
        <f t="shared" si="8"/>
        <v/>
      </c>
      <c r="AQ12" s="416" t="str">
        <f t="shared" si="9"/>
        <v/>
      </c>
      <c r="AR12" s="416" t="str">
        <f t="shared" si="19"/>
        <v/>
      </c>
      <c r="AT12" s="13" t="str">
        <f>様式３職員名簿および各種加算等一覧!C7</f>
        <v>AA　AA</v>
      </c>
      <c r="AU12" s="13" t="str">
        <f>様式３職員名簿および各種加算等一覧!I7</f>
        <v>支援員</v>
      </c>
      <c r="AV12" s="13" t="str">
        <f>様式３職員名簿および各種加算等一覧!U7</f>
        <v>対象</v>
      </c>
    </row>
    <row r="13" spans="1:48" ht="14.25">
      <c r="A13" s="830"/>
      <c r="B13" s="99" t="s">
        <v>259</v>
      </c>
      <c r="C13" s="466" t="s">
        <v>262</v>
      </c>
      <c r="D13" s="125" t="s">
        <v>251</v>
      </c>
      <c r="E13" s="126"/>
      <c r="F13" s="126"/>
      <c r="G13" s="217">
        <f t="shared" si="0"/>
        <v>0</v>
      </c>
      <c r="H13" s="218">
        <f t="shared" si="1"/>
        <v>0</v>
      </c>
      <c r="I13" s="96">
        <f t="shared" si="2"/>
        <v>0</v>
      </c>
      <c r="J13" s="219">
        <f t="shared" si="3"/>
        <v>0</v>
      </c>
      <c r="K13" s="220">
        <f t="shared" si="4"/>
        <v>0</v>
      </c>
      <c r="L13" s="100">
        <f t="shared" si="5"/>
        <v>0</v>
      </c>
      <c r="M13" s="221" t="str">
        <f t="shared" si="10"/>
        <v/>
      </c>
      <c r="N13" s="222">
        <f t="shared" si="6"/>
        <v>0</v>
      </c>
      <c r="O13" s="223">
        <f>IF(N13=0,0,IF(SUM($N$5:N13)&gt;251,1,0))</f>
        <v>0</v>
      </c>
      <c r="P13" s="408"/>
      <c r="Q13" s="409"/>
      <c r="R13" s="224"/>
      <c r="S13" s="411"/>
      <c r="T13" s="225">
        <f t="shared" ref="T13:T69" si="26">VLOOKUP(S13,$AT$12:$AU$31,2,FALSE)</f>
        <v>0</v>
      </c>
      <c r="U13" s="226">
        <f t="shared" si="11"/>
        <v>0</v>
      </c>
      <c r="V13" s="413"/>
      <c r="W13" s="225">
        <f t="shared" ref="W13:W69" si="27">VLOOKUP(V13,$AT$12:$AU$31,2,FALSE)</f>
        <v>0</v>
      </c>
      <c r="X13" s="226">
        <f t="shared" si="12"/>
        <v>0</v>
      </c>
      <c r="Y13" s="413"/>
      <c r="Z13" s="225">
        <f t="shared" ref="Z13:Z69" si="28">VLOOKUP(Y13,$AT$12:$AU$31,2,FALSE)</f>
        <v>0</v>
      </c>
      <c r="AA13" s="226">
        <f t="shared" si="13"/>
        <v>0</v>
      </c>
      <c r="AB13" s="413"/>
      <c r="AC13" s="225">
        <f t="shared" si="22"/>
        <v>0</v>
      </c>
      <c r="AD13" s="226">
        <f t="shared" si="14"/>
        <v>0</v>
      </c>
      <c r="AE13" s="413"/>
      <c r="AF13" s="225">
        <f t="shared" si="23"/>
        <v>0</v>
      </c>
      <c r="AG13" s="226">
        <f t="shared" si="15"/>
        <v>0</v>
      </c>
      <c r="AH13" s="413"/>
      <c r="AI13" s="225">
        <f t="shared" si="24"/>
        <v>0</v>
      </c>
      <c r="AJ13" s="226">
        <f t="shared" si="16"/>
        <v>0</v>
      </c>
      <c r="AK13" s="413"/>
      <c r="AL13" s="225">
        <f t="shared" si="25"/>
        <v>0</v>
      </c>
      <c r="AM13" s="226">
        <f t="shared" si="17"/>
        <v>0</v>
      </c>
      <c r="AN13" s="462" t="str">
        <f t="shared" si="18"/>
        <v/>
      </c>
      <c r="AO13" s="416" t="str">
        <f t="shared" si="7"/>
        <v/>
      </c>
      <c r="AP13" s="416" t="str">
        <f t="shared" si="8"/>
        <v/>
      </c>
      <c r="AQ13" s="416" t="str">
        <f t="shared" si="9"/>
        <v/>
      </c>
      <c r="AR13" s="416" t="str">
        <f t="shared" si="19"/>
        <v/>
      </c>
      <c r="AT13" s="13" t="str">
        <f>様式３職員名簿および各種加算等一覧!C8</f>
        <v>BB　BB</v>
      </c>
      <c r="AU13" s="13" t="str">
        <f>様式３職員名簿および各種加算等一覧!I8</f>
        <v>支援員</v>
      </c>
      <c r="AV13" s="13" t="str">
        <f>様式３職員名簿および各種加算等一覧!U8</f>
        <v>対象</v>
      </c>
    </row>
    <row r="14" spans="1:48" ht="14.25">
      <c r="A14" s="830"/>
      <c r="B14" s="99" t="s">
        <v>260</v>
      </c>
      <c r="C14" s="466" t="s">
        <v>182</v>
      </c>
      <c r="D14" s="125" t="s">
        <v>311</v>
      </c>
      <c r="E14" s="126">
        <v>0.58333333333333337</v>
      </c>
      <c r="F14" s="126">
        <v>0.79166666666666663</v>
      </c>
      <c r="G14" s="217">
        <f t="shared" si="0"/>
        <v>0.20833333333333326</v>
      </c>
      <c r="H14" s="218">
        <f t="shared" si="1"/>
        <v>0</v>
      </c>
      <c r="I14" s="96">
        <f t="shared" si="2"/>
        <v>0</v>
      </c>
      <c r="J14" s="219">
        <f t="shared" si="3"/>
        <v>0</v>
      </c>
      <c r="K14" s="220">
        <f t="shared" si="4"/>
        <v>0</v>
      </c>
      <c r="L14" s="100">
        <f t="shared" si="5"/>
        <v>0</v>
      </c>
      <c r="M14" s="221" t="str">
        <f t="shared" si="10"/>
        <v/>
      </c>
      <c r="N14" s="222">
        <f t="shared" si="6"/>
        <v>0</v>
      </c>
      <c r="O14" s="223">
        <f>IF(N14=0,0,IF(SUM($N$5:N14)&gt;251,1,0))</f>
        <v>0</v>
      </c>
      <c r="P14" s="408">
        <v>19</v>
      </c>
      <c r="Q14" s="409">
        <v>1</v>
      </c>
      <c r="R14" s="224"/>
      <c r="S14" s="411" t="s">
        <v>672</v>
      </c>
      <c r="T14" s="225" t="s">
        <v>697</v>
      </c>
      <c r="U14" s="226" t="s">
        <v>698</v>
      </c>
      <c r="V14" s="413" t="s">
        <v>695</v>
      </c>
      <c r="W14" s="225" t="s">
        <v>697</v>
      </c>
      <c r="X14" s="226" t="s">
        <v>698</v>
      </c>
      <c r="Y14" s="413" t="s">
        <v>696</v>
      </c>
      <c r="Z14" s="225" t="s">
        <v>699</v>
      </c>
      <c r="AA14" s="226" t="s">
        <v>698</v>
      </c>
      <c r="AB14" s="413"/>
      <c r="AC14" s="225">
        <f t="shared" si="22"/>
        <v>0</v>
      </c>
      <c r="AD14" s="226">
        <f t="shared" si="14"/>
        <v>0</v>
      </c>
      <c r="AE14" s="413"/>
      <c r="AF14" s="225">
        <f t="shared" si="23"/>
        <v>0</v>
      </c>
      <c r="AG14" s="226">
        <f t="shared" si="15"/>
        <v>0</v>
      </c>
      <c r="AH14" s="413"/>
      <c r="AI14" s="225">
        <f t="shared" si="24"/>
        <v>0</v>
      </c>
      <c r="AJ14" s="226">
        <f t="shared" si="16"/>
        <v>0</v>
      </c>
      <c r="AK14" s="413"/>
      <c r="AL14" s="225">
        <f t="shared" si="25"/>
        <v>0</v>
      </c>
      <c r="AM14" s="226">
        <f t="shared" si="17"/>
        <v>0</v>
      </c>
      <c r="AN14" s="462" t="str">
        <f t="shared" si="18"/>
        <v/>
      </c>
      <c r="AO14" s="416" t="str">
        <f t="shared" si="7"/>
        <v/>
      </c>
      <c r="AP14" s="416" t="str">
        <f t="shared" si="8"/>
        <v/>
      </c>
      <c r="AQ14" s="416" t="str">
        <f t="shared" si="9"/>
        <v/>
      </c>
      <c r="AR14" s="416" t="str">
        <f t="shared" si="19"/>
        <v/>
      </c>
      <c r="AT14" s="13" t="str">
        <f>様式３職員名簿および各種加算等一覧!C9</f>
        <v>CC　CC</v>
      </c>
      <c r="AU14" s="13" t="str">
        <f>様式３職員名簿および各種加算等一覧!I9</f>
        <v>支援員</v>
      </c>
      <c r="AV14" s="13" t="str">
        <f>様式３職員名簿および各種加算等一覧!U9</f>
        <v>対象</v>
      </c>
    </row>
    <row r="15" spans="1:48" ht="14.25">
      <c r="A15" s="830"/>
      <c r="B15" s="99" t="s">
        <v>261</v>
      </c>
      <c r="C15" s="466" t="s">
        <v>187</v>
      </c>
      <c r="D15" s="125" t="s">
        <v>24</v>
      </c>
      <c r="E15" s="126">
        <v>0.58333333333333337</v>
      </c>
      <c r="F15" s="126">
        <v>0.79166666666666663</v>
      </c>
      <c r="G15" s="217">
        <f t="shared" si="0"/>
        <v>0.20833333333333326</v>
      </c>
      <c r="H15" s="218">
        <f t="shared" si="1"/>
        <v>0</v>
      </c>
      <c r="I15" s="96">
        <f t="shared" si="2"/>
        <v>0</v>
      </c>
      <c r="J15" s="219">
        <f t="shared" si="3"/>
        <v>0</v>
      </c>
      <c r="K15" s="220">
        <f t="shared" si="4"/>
        <v>0</v>
      </c>
      <c r="L15" s="100">
        <f t="shared" si="5"/>
        <v>0</v>
      </c>
      <c r="M15" s="221" t="str">
        <f t="shared" si="10"/>
        <v/>
      </c>
      <c r="N15" s="222">
        <f t="shared" si="6"/>
        <v>0</v>
      </c>
      <c r="O15" s="223">
        <f>IF(N15=0,0,IF(SUM($N$5:N15)&gt;251,1,0))</f>
        <v>0</v>
      </c>
      <c r="P15" s="408">
        <v>23</v>
      </c>
      <c r="Q15" s="409">
        <v>1</v>
      </c>
      <c r="R15" s="224"/>
      <c r="S15" s="411" t="s">
        <v>672</v>
      </c>
      <c r="T15" s="225" t="s">
        <v>697</v>
      </c>
      <c r="U15" s="226" t="s">
        <v>698</v>
      </c>
      <c r="V15" s="413" t="s">
        <v>695</v>
      </c>
      <c r="W15" s="225" t="s">
        <v>697</v>
      </c>
      <c r="X15" s="226" t="s">
        <v>698</v>
      </c>
      <c r="Y15" s="413" t="s">
        <v>696</v>
      </c>
      <c r="Z15" s="225" t="s">
        <v>699</v>
      </c>
      <c r="AA15" s="226" t="s">
        <v>698</v>
      </c>
      <c r="AB15" s="413"/>
      <c r="AC15" s="225">
        <f t="shared" si="22"/>
        <v>0</v>
      </c>
      <c r="AD15" s="226">
        <f t="shared" si="14"/>
        <v>0</v>
      </c>
      <c r="AE15" s="413"/>
      <c r="AF15" s="225">
        <f t="shared" si="23"/>
        <v>0</v>
      </c>
      <c r="AG15" s="226">
        <f t="shared" si="15"/>
        <v>0</v>
      </c>
      <c r="AH15" s="413"/>
      <c r="AI15" s="225">
        <f t="shared" si="24"/>
        <v>0</v>
      </c>
      <c r="AJ15" s="226">
        <f t="shared" si="16"/>
        <v>0</v>
      </c>
      <c r="AK15" s="413"/>
      <c r="AL15" s="225">
        <f t="shared" si="25"/>
        <v>0</v>
      </c>
      <c r="AM15" s="226">
        <f t="shared" si="17"/>
        <v>0</v>
      </c>
      <c r="AN15" s="462" t="str">
        <f t="shared" si="18"/>
        <v/>
      </c>
      <c r="AO15" s="416" t="str">
        <f t="shared" si="7"/>
        <v/>
      </c>
      <c r="AP15" s="416" t="str">
        <f t="shared" si="8"/>
        <v/>
      </c>
      <c r="AQ15" s="416" t="str">
        <f t="shared" si="9"/>
        <v/>
      </c>
      <c r="AR15" s="416" t="str">
        <f t="shared" si="19"/>
        <v/>
      </c>
      <c r="AT15" s="13" t="str">
        <f>様式３職員名簿および各種加算等一覧!C10</f>
        <v>DD　DD</v>
      </c>
      <c r="AU15" s="13" t="str">
        <f>様式３職員名簿および各種加算等一覧!I10</f>
        <v>補助員</v>
      </c>
      <c r="AV15" s="13" t="str">
        <f>様式３職員名簿および各種加算等一覧!U10</f>
        <v>対象</v>
      </c>
    </row>
    <row r="16" spans="1:48" ht="14.25">
      <c r="A16" s="830"/>
      <c r="B16" s="99" t="s">
        <v>263</v>
      </c>
      <c r="C16" s="466" t="s">
        <v>183</v>
      </c>
      <c r="D16" s="125" t="s">
        <v>24</v>
      </c>
      <c r="E16" s="126">
        <v>0.58333333333333337</v>
      </c>
      <c r="F16" s="126">
        <v>0.79166666666666663</v>
      </c>
      <c r="G16" s="217">
        <f t="shared" si="0"/>
        <v>0.20833333333333326</v>
      </c>
      <c r="H16" s="218">
        <f t="shared" si="1"/>
        <v>0</v>
      </c>
      <c r="I16" s="96">
        <f t="shared" si="2"/>
        <v>0</v>
      </c>
      <c r="J16" s="219">
        <f t="shared" si="3"/>
        <v>0</v>
      </c>
      <c r="K16" s="220">
        <f t="shared" si="4"/>
        <v>0</v>
      </c>
      <c r="L16" s="100">
        <f t="shared" si="5"/>
        <v>0</v>
      </c>
      <c r="M16" s="221" t="str">
        <f t="shared" si="10"/>
        <v/>
      </c>
      <c r="N16" s="222">
        <f t="shared" si="6"/>
        <v>0</v>
      </c>
      <c r="O16" s="223">
        <f>IF(N16=0,0,IF(SUM($N$5:N16)&gt;251,1,0))</f>
        <v>0</v>
      </c>
      <c r="P16" s="408">
        <v>20</v>
      </c>
      <c r="Q16" s="409">
        <v>0</v>
      </c>
      <c r="R16" s="224"/>
      <c r="S16" s="411" t="s">
        <v>672</v>
      </c>
      <c r="T16" s="225" t="s">
        <v>697</v>
      </c>
      <c r="U16" s="226" t="s">
        <v>698</v>
      </c>
      <c r="V16" s="413" t="s">
        <v>695</v>
      </c>
      <c r="W16" s="225" t="s">
        <v>697</v>
      </c>
      <c r="X16" s="226" t="s">
        <v>698</v>
      </c>
      <c r="Y16" s="413" t="s">
        <v>696</v>
      </c>
      <c r="Z16" s="225" t="s">
        <v>699</v>
      </c>
      <c r="AA16" s="226" t="s">
        <v>698</v>
      </c>
      <c r="AB16" s="413" t="s">
        <v>702</v>
      </c>
      <c r="AC16" s="225" t="str">
        <f t="shared" si="22"/>
        <v>補助員</v>
      </c>
      <c r="AD16" s="226" t="str">
        <f t="shared" si="14"/>
        <v>対象</v>
      </c>
      <c r="AE16" s="413"/>
      <c r="AF16" s="225">
        <f t="shared" si="23"/>
        <v>0</v>
      </c>
      <c r="AG16" s="226">
        <f t="shared" si="15"/>
        <v>0</v>
      </c>
      <c r="AH16" s="413"/>
      <c r="AI16" s="225">
        <f t="shared" si="24"/>
        <v>0</v>
      </c>
      <c r="AJ16" s="226">
        <f t="shared" si="16"/>
        <v>0</v>
      </c>
      <c r="AK16" s="413"/>
      <c r="AL16" s="225">
        <f t="shared" si="25"/>
        <v>0</v>
      </c>
      <c r="AM16" s="226">
        <f t="shared" si="17"/>
        <v>0</v>
      </c>
      <c r="AN16" s="462" t="str">
        <f t="shared" si="18"/>
        <v/>
      </c>
      <c r="AO16" s="416" t="str">
        <f t="shared" si="7"/>
        <v/>
      </c>
      <c r="AP16" s="416" t="str">
        <f t="shared" si="8"/>
        <v/>
      </c>
      <c r="AQ16" s="416" t="str">
        <f t="shared" si="9"/>
        <v/>
      </c>
      <c r="AR16" s="416" t="str">
        <f t="shared" si="19"/>
        <v/>
      </c>
      <c r="AT16" s="13" t="str">
        <f>様式３職員名簿および各種加算等一覧!C11</f>
        <v>EE　EE</v>
      </c>
      <c r="AU16" s="13" t="str">
        <f>様式３職員名簿および各種加算等一覧!I11</f>
        <v>補助員</v>
      </c>
      <c r="AV16" s="13" t="str">
        <f>様式３職員名簿および各種加算等一覧!U11</f>
        <v>対象</v>
      </c>
    </row>
    <row r="17" spans="1:48" ht="14.25">
      <c r="A17" s="830"/>
      <c r="B17" s="99" t="s">
        <v>264</v>
      </c>
      <c r="C17" s="466" t="s">
        <v>184</v>
      </c>
      <c r="D17" s="125" t="s">
        <v>24</v>
      </c>
      <c r="E17" s="126">
        <v>0.58333333333333337</v>
      </c>
      <c r="F17" s="126">
        <v>0.79166666666666663</v>
      </c>
      <c r="G17" s="217">
        <f t="shared" si="0"/>
        <v>0.20833333333333326</v>
      </c>
      <c r="H17" s="218">
        <f t="shared" si="1"/>
        <v>0</v>
      </c>
      <c r="I17" s="96">
        <f t="shared" si="2"/>
        <v>0</v>
      </c>
      <c r="J17" s="219">
        <f t="shared" si="3"/>
        <v>0</v>
      </c>
      <c r="K17" s="220">
        <f t="shared" si="4"/>
        <v>0</v>
      </c>
      <c r="L17" s="100">
        <f t="shared" si="5"/>
        <v>0</v>
      </c>
      <c r="M17" s="221" t="str">
        <f t="shared" si="10"/>
        <v/>
      </c>
      <c r="N17" s="222">
        <f t="shared" si="6"/>
        <v>0</v>
      </c>
      <c r="O17" s="223">
        <f>IF(N17=0,0,IF(SUM($N$5:N17)&gt;251,1,0))</f>
        <v>0</v>
      </c>
      <c r="P17" s="408">
        <v>21</v>
      </c>
      <c r="Q17" s="409">
        <v>0</v>
      </c>
      <c r="R17" s="224"/>
      <c r="S17" s="411" t="s">
        <v>672</v>
      </c>
      <c r="T17" s="225" t="s">
        <v>697</v>
      </c>
      <c r="U17" s="226" t="s">
        <v>698</v>
      </c>
      <c r="V17" s="413" t="s">
        <v>695</v>
      </c>
      <c r="W17" s="225" t="s">
        <v>697</v>
      </c>
      <c r="X17" s="226" t="s">
        <v>698</v>
      </c>
      <c r="Y17" s="413" t="s">
        <v>696</v>
      </c>
      <c r="Z17" s="225" t="s">
        <v>699</v>
      </c>
      <c r="AA17" s="226" t="s">
        <v>698</v>
      </c>
      <c r="AB17" s="413"/>
      <c r="AC17" s="225">
        <f t="shared" si="22"/>
        <v>0</v>
      </c>
      <c r="AD17" s="226">
        <f t="shared" si="14"/>
        <v>0</v>
      </c>
      <c r="AE17" s="413"/>
      <c r="AF17" s="225">
        <f t="shared" si="23"/>
        <v>0</v>
      </c>
      <c r="AG17" s="226">
        <f t="shared" si="15"/>
        <v>0</v>
      </c>
      <c r="AH17" s="413"/>
      <c r="AI17" s="225">
        <f t="shared" si="24"/>
        <v>0</v>
      </c>
      <c r="AJ17" s="226">
        <f t="shared" si="16"/>
        <v>0</v>
      </c>
      <c r="AK17" s="413"/>
      <c r="AL17" s="225">
        <f t="shared" si="25"/>
        <v>0</v>
      </c>
      <c r="AM17" s="226">
        <f t="shared" si="17"/>
        <v>0</v>
      </c>
      <c r="AN17" s="462" t="str">
        <f t="shared" si="18"/>
        <v/>
      </c>
      <c r="AO17" s="416" t="str">
        <f t="shared" si="7"/>
        <v/>
      </c>
      <c r="AP17" s="416" t="str">
        <f t="shared" si="8"/>
        <v/>
      </c>
      <c r="AQ17" s="416" t="str">
        <f t="shared" si="9"/>
        <v/>
      </c>
      <c r="AR17" s="416" t="str">
        <f t="shared" si="19"/>
        <v/>
      </c>
      <c r="AT17" s="13" t="str">
        <f>様式３職員名簿および各種加算等一覧!C12</f>
        <v>FF　FF</v>
      </c>
      <c r="AU17" s="13" t="str">
        <f>様式３職員名簿および各種加算等一覧!I12</f>
        <v>事務員等</v>
      </c>
      <c r="AV17" s="13" t="str">
        <f>様式３職員名簿および各種加算等一覧!U12</f>
        <v>対象</v>
      </c>
    </row>
    <row r="18" spans="1:48" ht="14.25">
      <c r="A18" s="830"/>
      <c r="B18" s="99" t="s">
        <v>265</v>
      </c>
      <c r="C18" s="466" t="s">
        <v>185</v>
      </c>
      <c r="D18" s="125" t="s">
        <v>24</v>
      </c>
      <c r="E18" s="126">
        <v>0.58333333333333337</v>
      </c>
      <c r="F18" s="126">
        <v>0.79166666666666663</v>
      </c>
      <c r="G18" s="217">
        <f t="shared" si="0"/>
        <v>0.20833333333333326</v>
      </c>
      <c r="H18" s="218">
        <f t="shared" si="1"/>
        <v>0</v>
      </c>
      <c r="I18" s="96">
        <f t="shared" si="2"/>
        <v>0</v>
      </c>
      <c r="J18" s="219">
        <f t="shared" si="3"/>
        <v>0</v>
      </c>
      <c r="K18" s="220">
        <f t="shared" si="4"/>
        <v>0</v>
      </c>
      <c r="L18" s="100">
        <f t="shared" si="5"/>
        <v>0</v>
      </c>
      <c r="M18" s="221" t="str">
        <f t="shared" si="10"/>
        <v/>
      </c>
      <c r="N18" s="222">
        <f t="shared" si="6"/>
        <v>0</v>
      </c>
      <c r="O18" s="223">
        <f>IF(N18=0,0,IF(SUM($N$5:N18)&gt;251,1,0))</f>
        <v>0</v>
      </c>
      <c r="P18" s="408">
        <v>23</v>
      </c>
      <c r="Q18" s="409">
        <v>0</v>
      </c>
      <c r="R18" s="224"/>
      <c r="S18" s="411" t="s">
        <v>672</v>
      </c>
      <c r="T18" s="225" t="s">
        <v>697</v>
      </c>
      <c r="U18" s="226" t="s">
        <v>698</v>
      </c>
      <c r="V18" s="413" t="s">
        <v>695</v>
      </c>
      <c r="W18" s="225" t="s">
        <v>697</v>
      </c>
      <c r="X18" s="226" t="s">
        <v>698</v>
      </c>
      <c r="Y18" s="413" t="s">
        <v>696</v>
      </c>
      <c r="Z18" s="225" t="s">
        <v>699</v>
      </c>
      <c r="AA18" s="226" t="s">
        <v>698</v>
      </c>
      <c r="AB18" s="413" t="s">
        <v>700</v>
      </c>
      <c r="AC18" s="225" t="str">
        <f t="shared" si="22"/>
        <v>事務員等</v>
      </c>
      <c r="AD18" s="226" t="str">
        <f t="shared" si="14"/>
        <v>対象</v>
      </c>
      <c r="AE18" s="413"/>
      <c r="AF18" s="225">
        <f t="shared" si="23"/>
        <v>0</v>
      </c>
      <c r="AG18" s="226">
        <f t="shared" si="15"/>
        <v>0</v>
      </c>
      <c r="AH18" s="413"/>
      <c r="AI18" s="225">
        <f t="shared" si="24"/>
        <v>0</v>
      </c>
      <c r="AJ18" s="226">
        <f t="shared" si="16"/>
        <v>0</v>
      </c>
      <c r="AK18" s="413"/>
      <c r="AL18" s="225">
        <f t="shared" si="25"/>
        <v>0</v>
      </c>
      <c r="AM18" s="226">
        <f t="shared" si="17"/>
        <v>0</v>
      </c>
      <c r="AN18" s="462" t="str">
        <f t="shared" si="18"/>
        <v/>
      </c>
      <c r="AO18" s="416" t="str">
        <f t="shared" si="7"/>
        <v/>
      </c>
      <c r="AP18" s="416" t="str">
        <f t="shared" si="8"/>
        <v/>
      </c>
      <c r="AQ18" s="416" t="str">
        <f t="shared" si="9"/>
        <v/>
      </c>
      <c r="AR18" s="416" t="str">
        <f t="shared" si="19"/>
        <v/>
      </c>
      <c r="AT18" s="13" t="str">
        <f>様式３職員名簿および各種加算等一覧!C13</f>
        <v>GG GG（10月～３月）</v>
      </c>
      <c r="AU18" s="13" t="str">
        <f>様式３職員名簿および各種加算等一覧!I13</f>
        <v>支援員</v>
      </c>
      <c r="AV18" s="13" t="str">
        <f>様式３職員名簿および各種加算等一覧!U13</f>
        <v>対象</v>
      </c>
    </row>
    <row r="19" spans="1:48" ht="14.25">
      <c r="A19" s="830"/>
      <c r="B19" s="99" t="s">
        <v>266</v>
      </c>
      <c r="C19" s="466" t="s">
        <v>186</v>
      </c>
      <c r="D19" s="125" t="s">
        <v>251</v>
      </c>
      <c r="E19" s="126"/>
      <c r="F19" s="126"/>
      <c r="G19" s="217">
        <f t="shared" si="0"/>
        <v>0</v>
      </c>
      <c r="H19" s="218">
        <f t="shared" si="1"/>
        <v>0</v>
      </c>
      <c r="I19" s="96">
        <f t="shared" si="2"/>
        <v>0</v>
      </c>
      <c r="J19" s="219">
        <f t="shared" si="3"/>
        <v>0</v>
      </c>
      <c r="K19" s="220">
        <f t="shared" si="4"/>
        <v>0</v>
      </c>
      <c r="L19" s="100">
        <f t="shared" si="5"/>
        <v>0</v>
      </c>
      <c r="M19" s="221" t="str">
        <f t="shared" si="10"/>
        <v/>
      </c>
      <c r="N19" s="222">
        <f t="shared" si="6"/>
        <v>0</v>
      </c>
      <c r="O19" s="223">
        <f>IF(N19=0,0,IF(SUM($N$5:N19)&gt;251,1,0))</f>
        <v>0</v>
      </c>
      <c r="P19" s="408"/>
      <c r="Q19" s="409"/>
      <c r="R19" s="224"/>
      <c r="S19" s="411" t="s">
        <v>672</v>
      </c>
      <c r="T19" s="225" t="s">
        <v>697</v>
      </c>
      <c r="U19" s="226" t="s">
        <v>698</v>
      </c>
      <c r="V19" s="413" t="s">
        <v>695</v>
      </c>
      <c r="W19" s="225" t="s">
        <v>697</v>
      </c>
      <c r="X19" s="226" t="s">
        <v>698</v>
      </c>
      <c r="Y19" s="413" t="s">
        <v>696</v>
      </c>
      <c r="Z19" s="225" t="s">
        <v>699</v>
      </c>
      <c r="AA19" s="226" t="s">
        <v>698</v>
      </c>
      <c r="AB19" s="413"/>
      <c r="AC19" s="225">
        <f t="shared" si="22"/>
        <v>0</v>
      </c>
      <c r="AD19" s="226">
        <f t="shared" si="14"/>
        <v>0</v>
      </c>
      <c r="AE19" s="413"/>
      <c r="AF19" s="225">
        <f t="shared" si="23"/>
        <v>0</v>
      </c>
      <c r="AG19" s="226">
        <f t="shared" si="15"/>
        <v>0</v>
      </c>
      <c r="AH19" s="413"/>
      <c r="AI19" s="225">
        <f t="shared" si="24"/>
        <v>0</v>
      </c>
      <c r="AJ19" s="226">
        <f t="shared" si="16"/>
        <v>0</v>
      </c>
      <c r="AK19" s="413"/>
      <c r="AL19" s="225">
        <f t="shared" si="25"/>
        <v>0</v>
      </c>
      <c r="AM19" s="226">
        <f t="shared" si="17"/>
        <v>0</v>
      </c>
      <c r="AN19" s="462" t="str">
        <f t="shared" si="18"/>
        <v/>
      </c>
      <c r="AO19" s="416" t="str">
        <f t="shared" si="7"/>
        <v/>
      </c>
      <c r="AP19" s="416" t="str">
        <f t="shared" si="8"/>
        <v/>
      </c>
      <c r="AQ19" s="416" t="str">
        <f t="shared" si="9"/>
        <v/>
      </c>
      <c r="AR19" s="416" t="str">
        <f t="shared" si="19"/>
        <v/>
      </c>
      <c r="AT19" s="13" t="str">
        <f>様式３職員名簿および各種加算等一覧!C14</f>
        <v>GG　GG（４月～９月）</v>
      </c>
      <c r="AU19" s="13" t="str">
        <f>様式３職員名簿および各種加算等一覧!I14</f>
        <v>補助員</v>
      </c>
      <c r="AV19" s="13" t="str">
        <f>様式３職員名簿および各種加算等一覧!U14</f>
        <v>対象</v>
      </c>
    </row>
    <row r="20" spans="1:48" ht="14.25">
      <c r="A20" s="830"/>
      <c r="B20" s="99" t="s">
        <v>267</v>
      </c>
      <c r="C20" s="466" t="s">
        <v>262</v>
      </c>
      <c r="D20" s="125" t="s">
        <v>251</v>
      </c>
      <c r="E20" s="126"/>
      <c r="F20" s="126"/>
      <c r="G20" s="217">
        <f t="shared" si="0"/>
        <v>0</v>
      </c>
      <c r="H20" s="218">
        <f t="shared" si="1"/>
        <v>0</v>
      </c>
      <c r="I20" s="96">
        <f t="shared" si="2"/>
        <v>0</v>
      </c>
      <c r="J20" s="219">
        <f t="shared" si="3"/>
        <v>0</v>
      </c>
      <c r="K20" s="220">
        <f t="shared" si="4"/>
        <v>0</v>
      </c>
      <c r="L20" s="100">
        <f t="shared" si="5"/>
        <v>0</v>
      </c>
      <c r="M20" s="221" t="str">
        <f t="shared" si="10"/>
        <v/>
      </c>
      <c r="N20" s="222">
        <f t="shared" si="6"/>
        <v>0</v>
      </c>
      <c r="O20" s="223">
        <f>IF(N20=0,0,IF(SUM($N$5:N20)&gt;251,1,0))</f>
        <v>0</v>
      </c>
      <c r="P20" s="408"/>
      <c r="Q20" s="409"/>
      <c r="R20" s="224"/>
      <c r="S20" s="411"/>
      <c r="T20" s="225">
        <f t="shared" si="26"/>
        <v>0</v>
      </c>
      <c r="U20" s="226">
        <f t="shared" si="11"/>
        <v>0</v>
      </c>
      <c r="V20" s="413"/>
      <c r="W20" s="225">
        <f t="shared" si="27"/>
        <v>0</v>
      </c>
      <c r="X20" s="226">
        <f t="shared" si="12"/>
        <v>0</v>
      </c>
      <c r="Y20" s="413"/>
      <c r="Z20" s="225">
        <f t="shared" si="28"/>
        <v>0</v>
      </c>
      <c r="AA20" s="226">
        <f t="shared" si="13"/>
        <v>0</v>
      </c>
      <c r="AB20" s="413"/>
      <c r="AC20" s="225">
        <f t="shared" si="22"/>
        <v>0</v>
      </c>
      <c r="AD20" s="226">
        <f t="shared" si="14"/>
        <v>0</v>
      </c>
      <c r="AE20" s="413"/>
      <c r="AF20" s="225">
        <f t="shared" si="23"/>
        <v>0</v>
      </c>
      <c r="AG20" s="226">
        <f t="shared" si="15"/>
        <v>0</v>
      </c>
      <c r="AH20" s="413"/>
      <c r="AI20" s="225">
        <f t="shared" si="24"/>
        <v>0</v>
      </c>
      <c r="AJ20" s="226">
        <f t="shared" si="16"/>
        <v>0</v>
      </c>
      <c r="AK20" s="413"/>
      <c r="AL20" s="225">
        <f t="shared" si="25"/>
        <v>0</v>
      </c>
      <c r="AM20" s="226">
        <f t="shared" si="17"/>
        <v>0</v>
      </c>
      <c r="AN20" s="462" t="str">
        <f t="shared" si="18"/>
        <v/>
      </c>
      <c r="AO20" s="416" t="str">
        <f t="shared" si="7"/>
        <v/>
      </c>
      <c r="AP20" s="416" t="str">
        <f t="shared" si="8"/>
        <v/>
      </c>
      <c r="AQ20" s="416" t="str">
        <f t="shared" si="9"/>
        <v/>
      </c>
      <c r="AR20" s="416" t="str">
        <f t="shared" si="19"/>
        <v/>
      </c>
      <c r="AT20" s="13">
        <f>様式３職員名簿および各種加算等一覧!C15</f>
        <v>0</v>
      </c>
      <c r="AU20" s="13">
        <f>様式３職員名簿および各種加算等一覧!I15</f>
        <v>0</v>
      </c>
      <c r="AV20" s="13">
        <f>様式３職員名簿および各種加算等一覧!U15</f>
        <v>0</v>
      </c>
    </row>
    <row r="21" spans="1:48" ht="14.25">
      <c r="A21" s="830"/>
      <c r="B21" s="99" t="s">
        <v>268</v>
      </c>
      <c r="C21" s="466" t="s">
        <v>182</v>
      </c>
      <c r="D21" s="125" t="s">
        <v>24</v>
      </c>
      <c r="E21" s="126">
        <v>0.58333333333333337</v>
      </c>
      <c r="F21" s="126">
        <v>0.79166666666666663</v>
      </c>
      <c r="G21" s="217">
        <f t="shared" si="0"/>
        <v>0.20833333333333326</v>
      </c>
      <c r="H21" s="218">
        <f t="shared" si="1"/>
        <v>0</v>
      </c>
      <c r="I21" s="96">
        <f t="shared" si="2"/>
        <v>0</v>
      </c>
      <c r="J21" s="219">
        <f t="shared" si="3"/>
        <v>0</v>
      </c>
      <c r="K21" s="220">
        <f t="shared" si="4"/>
        <v>0</v>
      </c>
      <c r="L21" s="100">
        <f t="shared" si="5"/>
        <v>0</v>
      </c>
      <c r="M21" s="221" t="str">
        <f t="shared" si="10"/>
        <v/>
      </c>
      <c r="N21" s="222">
        <f t="shared" si="6"/>
        <v>0</v>
      </c>
      <c r="O21" s="223">
        <f>IF(N21=0,0,IF(SUM($N$5:N21)&gt;251,1,0))</f>
        <v>0</v>
      </c>
      <c r="P21" s="408">
        <v>21</v>
      </c>
      <c r="Q21" s="409">
        <v>1</v>
      </c>
      <c r="R21" s="224"/>
      <c r="S21" s="411" t="s">
        <v>672</v>
      </c>
      <c r="T21" s="225" t="s">
        <v>697</v>
      </c>
      <c r="U21" s="226" t="s">
        <v>698</v>
      </c>
      <c r="V21" s="413" t="s">
        <v>695</v>
      </c>
      <c r="W21" s="225" t="s">
        <v>697</v>
      </c>
      <c r="X21" s="226" t="s">
        <v>698</v>
      </c>
      <c r="Y21" s="413" t="s">
        <v>696</v>
      </c>
      <c r="Z21" s="225" t="s">
        <v>699</v>
      </c>
      <c r="AA21" s="226" t="s">
        <v>698</v>
      </c>
      <c r="AB21" s="413" t="s">
        <v>700</v>
      </c>
      <c r="AC21" s="225" t="str">
        <f t="shared" si="22"/>
        <v>事務員等</v>
      </c>
      <c r="AD21" s="226" t="str">
        <f t="shared" si="14"/>
        <v>対象</v>
      </c>
      <c r="AE21" s="413"/>
      <c r="AF21" s="225">
        <f t="shared" si="23"/>
        <v>0</v>
      </c>
      <c r="AG21" s="226">
        <f t="shared" si="15"/>
        <v>0</v>
      </c>
      <c r="AH21" s="413"/>
      <c r="AI21" s="225">
        <f t="shared" si="24"/>
        <v>0</v>
      </c>
      <c r="AJ21" s="226">
        <f t="shared" si="16"/>
        <v>0</v>
      </c>
      <c r="AK21" s="413"/>
      <c r="AL21" s="225">
        <f t="shared" si="25"/>
        <v>0</v>
      </c>
      <c r="AM21" s="226">
        <f t="shared" si="17"/>
        <v>0</v>
      </c>
      <c r="AN21" s="462" t="str">
        <f t="shared" si="18"/>
        <v/>
      </c>
      <c r="AO21" s="416" t="str">
        <f t="shared" si="7"/>
        <v/>
      </c>
      <c r="AP21" s="416" t="str">
        <f t="shared" si="8"/>
        <v/>
      </c>
      <c r="AQ21" s="416" t="str">
        <f t="shared" si="9"/>
        <v/>
      </c>
      <c r="AR21" s="416" t="str">
        <f t="shared" si="19"/>
        <v/>
      </c>
      <c r="AT21" s="13">
        <f>様式３職員名簿および各種加算等一覧!C16</f>
        <v>0</v>
      </c>
      <c r="AU21" s="13">
        <f>様式３職員名簿および各種加算等一覧!I16</f>
        <v>0</v>
      </c>
      <c r="AV21" s="13">
        <f>様式３職員名簿および各種加算等一覧!U16</f>
        <v>0</v>
      </c>
    </row>
    <row r="22" spans="1:48" ht="14.25">
      <c r="A22" s="830"/>
      <c r="B22" s="99" t="s">
        <v>269</v>
      </c>
      <c r="C22" s="466" t="s">
        <v>187</v>
      </c>
      <c r="D22" s="125" t="s">
        <v>24</v>
      </c>
      <c r="E22" s="126">
        <v>0.58333333333333337</v>
      </c>
      <c r="F22" s="126">
        <v>0.79166666666666663</v>
      </c>
      <c r="G22" s="217">
        <f t="shared" si="0"/>
        <v>0.20833333333333326</v>
      </c>
      <c r="H22" s="218">
        <f t="shared" si="1"/>
        <v>0</v>
      </c>
      <c r="I22" s="96">
        <f t="shared" si="2"/>
        <v>0</v>
      </c>
      <c r="J22" s="219">
        <f t="shared" si="3"/>
        <v>0</v>
      </c>
      <c r="K22" s="220">
        <f t="shared" si="4"/>
        <v>0</v>
      </c>
      <c r="L22" s="100">
        <f t="shared" si="5"/>
        <v>0</v>
      </c>
      <c r="M22" s="221" t="str">
        <f t="shared" si="10"/>
        <v/>
      </c>
      <c r="N22" s="222">
        <f t="shared" si="6"/>
        <v>0</v>
      </c>
      <c r="O22" s="223">
        <f>IF(N22=0,0,IF(SUM($N$5:N22)&gt;251,1,0))</f>
        <v>0</v>
      </c>
      <c r="P22" s="408">
        <v>25</v>
      </c>
      <c r="Q22" s="409">
        <v>1</v>
      </c>
      <c r="R22" s="224"/>
      <c r="S22" s="411" t="s">
        <v>672</v>
      </c>
      <c r="T22" s="225" t="s">
        <v>697</v>
      </c>
      <c r="U22" s="226" t="s">
        <v>698</v>
      </c>
      <c r="V22" s="413" t="s">
        <v>695</v>
      </c>
      <c r="W22" s="225" t="s">
        <v>697</v>
      </c>
      <c r="X22" s="226" t="s">
        <v>698</v>
      </c>
      <c r="Y22" s="413" t="s">
        <v>696</v>
      </c>
      <c r="Z22" s="225" t="s">
        <v>699</v>
      </c>
      <c r="AA22" s="226" t="s">
        <v>698</v>
      </c>
      <c r="AB22" s="413"/>
      <c r="AC22" s="225">
        <f t="shared" si="22"/>
        <v>0</v>
      </c>
      <c r="AD22" s="226">
        <f t="shared" si="14"/>
        <v>0</v>
      </c>
      <c r="AE22" s="413"/>
      <c r="AF22" s="225">
        <f t="shared" si="23"/>
        <v>0</v>
      </c>
      <c r="AG22" s="226">
        <f t="shared" si="15"/>
        <v>0</v>
      </c>
      <c r="AH22" s="413"/>
      <c r="AI22" s="225">
        <f t="shared" si="24"/>
        <v>0</v>
      </c>
      <c r="AJ22" s="226">
        <f t="shared" si="16"/>
        <v>0</v>
      </c>
      <c r="AK22" s="413"/>
      <c r="AL22" s="225">
        <f t="shared" si="25"/>
        <v>0</v>
      </c>
      <c r="AM22" s="226">
        <f t="shared" si="17"/>
        <v>0</v>
      </c>
      <c r="AN22" s="462" t="str">
        <f t="shared" si="18"/>
        <v/>
      </c>
      <c r="AO22" s="416" t="str">
        <f t="shared" si="7"/>
        <v/>
      </c>
      <c r="AP22" s="416" t="str">
        <f t="shared" si="8"/>
        <v/>
      </c>
      <c r="AQ22" s="416" t="str">
        <f t="shared" si="9"/>
        <v/>
      </c>
      <c r="AR22" s="416" t="str">
        <f t="shared" si="19"/>
        <v/>
      </c>
      <c r="AT22" s="13">
        <f>様式３職員名簿および各種加算等一覧!C17</f>
        <v>0</v>
      </c>
      <c r="AU22" s="13">
        <f>様式３職員名簿および各種加算等一覧!I17</f>
        <v>0</v>
      </c>
      <c r="AV22" s="13">
        <f>様式３職員名簿および各種加算等一覧!U17</f>
        <v>0</v>
      </c>
    </row>
    <row r="23" spans="1:48" ht="14.25">
      <c r="A23" s="830"/>
      <c r="B23" s="99" t="s">
        <v>270</v>
      </c>
      <c r="C23" s="466" t="s">
        <v>183</v>
      </c>
      <c r="D23" s="125" t="s">
        <v>24</v>
      </c>
      <c r="E23" s="126">
        <v>0.58333333333333337</v>
      </c>
      <c r="F23" s="126">
        <v>0.79166666666666663</v>
      </c>
      <c r="G23" s="217">
        <f t="shared" si="0"/>
        <v>0.20833333333333326</v>
      </c>
      <c r="H23" s="218">
        <f t="shared" si="1"/>
        <v>0</v>
      </c>
      <c r="I23" s="96">
        <f t="shared" si="2"/>
        <v>0</v>
      </c>
      <c r="J23" s="219">
        <f t="shared" si="3"/>
        <v>0</v>
      </c>
      <c r="K23" s="220">
        <f t="shared" si="4"/>
        <v>0</v>
      </c>
      <c r="L23" s="100">
        <f t="shared" si="5"/>
        <v>0</v>
      </c>
      <c r="M23" s="221" t="str">
        <f t="shared" si="10"/>
        <v/>
      </c>
      <c r="N23" s="222">
        <f t="shared" si="6"/>
        <v>0</v>
      </c>
      <c r="O23" s="223">
        <f>IF(N23=0,0,IF(SUM($N$5:N23)&gt;251,1,0))</f>
        <v>0</v>
      </c>
      <c r="P23" s="408">
        <v>28</v>
      </c>
      <c r="Q23" s="409">
        <v>0</v>
      </c>
      <c r="R23" s="224"/>
      <c r="S23" s="411" t="s">
        <v>672</v>
      </c>
      <c r="T23" s="225" t="s">
        <v>697</v>
      </c>
      <c r="U23" s="226" t="s">
        <v>698</v>
      </c>
      <c r="V23" s="413" t="s">
        <v>695</v>
      </c>
      <c r="W23" s="225" t="s">
        <v>697</v>
      </c>
      <c r="X23" s="226" t="s">
        <v>698</v>
      </c>
      <c r="Y23" s="413" t="s">
        <v>696</v>
      </c>
      <c r="Z23" s="225" t="s">
        <v>699</v>
      </c>
      <c r="AA23" s="226" t="s">
        <v>698</v>
      </c>
      <c r="AB23" s="413"/>
      <c r="AC23" s="225">
        <f t="shared" si="22"/>
        <v>0</v>
      </c>
      <c r="AD23" s="226">
        <f t="shared" si="14"/>
        <v>0</v>
      </c>
      <c r="AE23" s="413"/>
      <c r="AF23" s="225">
        <f t="shared" si="23"/>
        <v>0</v>
      </c>
      <c r="AG23" s="226">
        <f t="shared" si="15"/>
        <v>0</v>
      </c>
      <c r="AH23" s="413"/>
      <c r="AI23" s="225">
        <f t="shared" si="24"/>
        <v>0</v>
      </c>
      <c r="AJ23" s="226">
        <f t="shared" si="16"/>
        <v>0</v>
      </c>
      <c r="AK23" s="413"/>
      <c r="AL23" s="225">
        <f t="shared" si="25"/>
        <v>0</v>
      </c>
      <c r="AM23" s="226">
        <f t="shared" si="17"/>
        <v>0</v>
      </c>
      <c r="AN23" s="462" t="str">
        <f t="shared" si="18"/>
        <v/>
      </c>
      <c r="AO23" s="416" t="str">
        <f t="shared" si="7"/>
        <v/>
      </c>
      <c r="AP23" s="416" t="str">
        <f t="shared" si="8"/>
        <v/>
      </c>
      <c r="AQ23" s="416" t="str">
        <f t="shared" si="9"/>
        <v/>
      </c>
      <c r="AR23" s="416" t="str">
        <f t="shared" si="19"/>
        <v/>
      </c>
      <c r="AT23" s="13">
        <f>様式３職員名簿および各種加算等一覧!C18</f>
        <v>0</v>
      </c>
      <c r="AU23" s="13">
        <f>様式３職員名簿および各種加算等一覧!I18</f>
        <v>0</v>
      </c>
      <c r="AV23" s="13">
        <f>様式３職員名簿および各種加算等一覧!U18</f>
        <v>0</v>
      </c>
    </row>
    <row r="24" spans="1:48" ht="14.25">
      <c r="A24" s="830"/>
      <c r="B24" s="99" t="s">
        <v>271</v>
      </c>
      <c r="C24" s="466" t="s">
        <v>184</v>
      </c>
      <c r="D24" s="125" t="s">
        <v>24</v>
      </c>
      <c r="E24" s="126">
        <v>0.58333333333333337</v>
      </c>
      <c r="F24" s="126">
        <v>0.79166666666666663</v>
      </c>
      <c r="G24" s="217">
        <f t="shared" si="0"/>
        <v>0.20833333333333326</v>
      </c>
      <c r="H24" s="218">
        <f t="shared" si="1"/>
        <v>0</v>
      </c>
      <c r="I24" s="96">
        <f t="shared" si="2"/>
        <v>0</v>
      </c>
      <c r="J24" s="219">
        <f t="shared" si="3"/>
        <v>0</v>
      </c>
      <c r="K24" s="220">
        <f t="shared" si="4"/>
        <v>0</v>
      </c>
      <c r="L24" s="100">
        <f t="shared" si="5"/>
        <v>0</v>
      </c>
      <c r="M24" s="221" t="str">
        <f t="shared" si="10"/>
        <v/>
      </c>
      <c r="N24" s="222">
        <f t="shared" si="6"/>
        <v>0</v>
      </c>
      <c r="O24" s="223">
        <f>IF(N24=0,0,IF(SUM($N$5:N24)&gt;251,1,0))</f>
        <v>0</v>
      </c>
      <c r="P24" s="408">
        <v>25</v>
      </c>
      <c r="Q24" s="409">
        <v>1</v>
      </c>
      <c r="R24" s="224"/>
      <c r="S24" s="411" t="s">
        <v>672</v>
      </c>
      <c r="T24" s="225" t="s">
        <v>697</v>
      </c>
      <c r="U24" s="226" t="s">
        <v>698</v>
      </c>
      <c r="V24" s="413" t="s">
        <v>695</v>
      </c>
      <c r="W24" s="225" t="s">
        <v>697</v>
      </c>
      <c r="X24" s="226" t="s">
        <v>698</v>
      </c>
      <c r="Y24" s="413" t="s">
        <v>696</v>
      </c>
      <c r="Z24" s="225" t="s">
        <v>699</v>
      </c>
      <c r="AA24" s="226" t="s">
        <v>698</v>
      </c>
      <c r="AB24" s="413"/>
      <c r="AC24" s="225">
        <f t="shared" si="22"/>
        <v>0</v>
      </c>
      <c r="AD24" s="226">
        <f t="shared" si="14"/>
        <v>0</v>
      </c>
      <c r="AE24" s="413"/>
      <c r="AF24" s="225">
        <f t="shared" si="23"/>
        <v>0</v>
      </c>
      <c r="AG24" s="226">
        <f t="shared" si="15"/>
        <v>0</v>
      </c>
      <c r="AH24" s="413"/>
      <c r="AI24" s="225">
        <f t="shared" si="24"/>
        <v>0</v>
      </c>
      <c r="AJ24" s="226">
        <f t="shared" si="16"/>
        <v>0</v>
      </c>
      <c r="AK24" s="413"/>
      <c r="AL24" s="225">
        <f t="shared" si="25"/>
        <v>0</v>
      </c>
      <c r="AM24" s="226">
        <f t="shared" si="17"/>
        <v>0</v>
      </c>
      <c r="AN24" s="462" t="str">
        <f t="shared" si="18"/>
        <v/>
      </c>
      <c r="AO24" s="416" t="str">
        <f t="shared" si="7"/>
        <v/>
      </c>
      <c r="AP24" s="416" t="str">
        <f t="shared" si="8"/>
        <v/>
      </c>
      <c r="AQ24" s="416" t="str">
        <f t="shared" si="9"/>
        <v/>
      </c>
      <c r="AR24" s="416" t="str">
        <f t="shared" si="19"/>
        <v/>
      </c>
      <c r="AT24" s="13">
        <f>様式３職員名簿および各種加算等一覧!C19</f>
        <v>0</v>
      </c>
      <c r="AU24" s="13">
        <f>様式３職員名簿および各種加算等一覧!I19</f>
        <v>0</v>
      </c>
      <c r="AV24" s="13">
        <f>様式３職員名簿および各種加算等一覧!U19</f>
        <v>0</v>
      </c>
    </row>
    <row r="25" spans="1:48" ht="14.25">
      <c r="A25" s="830"/>
      <c r="B25" s="99" t="s">
        <v>272</v>
      </c>
      <c r="C25" s="466" t="s">
        <v>185</v>
      </c>
      <c r="D25" s="125" t="s">
        <v>24</v>
      </c>
      <c r="E25" s="126">
        <v>0.58333333333333337</v>
      </c>
      <c r="F25" s="126">
        <v>0.79166666666666663</v>
      </c>
      <c r="G25" s="217">
        <f t="shared" si="0"/>
        <v>0.20833333333333326</v>
      </c>
      <c r="H25" s="218">
        <f t="shared" si="1"/>
        <v>0</v>
      </c>
      <c r="I25" s="96">
        <f t="shared" si="2"/>
        <v>0</v>
      </c>
      <c r="J25" s="219">
        <f t="shared" si="3"/>
        <v>0</v>
      </c>
      <c r="K25" s="220">
        <f t="shared" si="4"/>
        <v>0</v>
      </c>
      <c r="L25" s="100">
        <f t="shared" si="5"/>
        <v>0</v>
      </c>
      <c r="M25" s="221" t="str">
        <f t="shared" si="10"/>
        <v/>
      </c>
      <c r="N25" s="222">
        <f t="shared" si="6"/>
        <v>0</v>
      </c>
      <c r="O25" s="223">
        <f>IF(N25=0,0,IF(SUM($N$5:N25)&gt;251,1,0))</f>
        <v>0</v>
      </c>
      <c r="P25" s="408">
        <v>20</v>
      </c>
      <c r="Q25" s="409">
        <v>1</v>
      </c>
      <c r="R25" s="224"/>
      <c r="S25" s="411" t="s">
        <v>672</v>
      </c>
      <c r="T25" s="225" t="s">
        <v>697</v>
      </c>
      <c r="U25" s="226" t="s">
        <v>698</v>
      </c>
      <c r="V25" s="413" t="s">
        <v>695</v>
      </c>
      <c r="W25" s="225" t="s">
        <v>697</v>
      </c>
      <c r="X25" s="226" t="s">
        <v>698</v>
      </c>
      <c r="Y25" s="413" t="s">
        <v>696</v>
      </c>
      <c r="Z25" s="225" t="s">
        <v>699</v>
      </c>
      <c r="AA25" s="226" t="s">
        <v>698</v>
      </c>
      <c r="AB25" s="413" t="s">
        <v>696</v>
      </c>
      <c r="AC25" s="225" t="str">
        <f t="shared" si="22"/>
        <v>補助員</v>
      </c>
      <c r="AD25" s="226" t="str">
        <f t="shared" si="14"/>
        <v>対象</v>
      </c>
      <c r="AE25" s="413"/>
      <c r="AF25" s="225">
        <f t="shared" si="23"/>
        <v>0</v>
      </c>
      <c r="AG25" s="226">
        <f t="shared" si="15"/>
        <v>0</v>
      </c>
      <c r="AH25" s="413"/>
      <c r="AI25" s="225">
        <f t="shared" si="24"/>
        <v>0</v>
      </c>
      <c r="AJ25" s="226">
        <f t="shared" si="16"/>
        <v>0</v>
      </c>
      <c r="AK25" s="413"/>
      <c r="AL25" s="225">
        <f t="shared" si="25"/>
        <v>0</v>
      </c>
      <c r="AM25" s="226">
        <f t="shared" si="17"/>
        <v>0</v>
      </c>
      <c r="AN25" s="462" t="str">
        <f t="shared" si="18"/>
        <v/>
      </c>
      <c r="AO25" s="416" t="str">
        <f t="shared" si="7"/>
        <v/>
      </c>
      <c r="AP25" s="416" t="str">
        <f t="shared" si="8"/>
        <v/>
      </c>
      <c r="AQ25" s="416" t="str">
        <f t="shared" si="9"/>
        <v/>
      </c>
      <c r="AR25" s="416" t="str">
        <f t="shared" si="19"/>
        <v/>
      </c>
      <c r="AT25" s="13">
        <f>様式３職員名簿および各種加算等一覧!C20</f>
        <v>0</v>
      </c>
      <c r="AU25" s="13">
        <f>様式３職員名簿および各種加算等一覧!I20</f>
        <v>0</v>
      </c>
      <c r="AV25" s="13">
        <f>様式３職員名簿および各種加算等一覧!U20</f>
        <v>0</v>
      </c>
    </row>
    <row r="26" spans="1:48" ht="14.25">
      <c r="A26" s="830"/>
      <c r="B26" s="99" t="s">
        <v>273</v>
      </c>
      <c r="C26" s="466" t="s">
        <v>186</v>
      </c>
      <c r="D26" s="125" t="s">
        <v>249</v>
      </c>
      <c r="E26" s="126">
        <v>0.375</v>
      </c>
      <c r="F26" s="126">
        <v>0.75</v>
      </c>
      <c r="G26" s="217">
        <f t="shared" si="0"/>
        <v>0.375</v>
      </c>
      <c r="H26" s="218">
        <f t="shared" si="1"/>
        <v>0</v>
      </c>
      <c r="I26" s="96">
        <f t="shared" si="2"/>
        <v>0</v>
      </c>
      <c r="J26" s="219">
        <f t="shared" si="3"/>
        <v>0</v>
      </c>
      <c r="K26" s="220">
        <f t="shared" si="4"/>
        <v>4.1666666666666685E-2</v>
      </c>
      <c r="L26" s="100">
        <f t="shared" si="5"/>
        <v>1</v>
      </c>
      <c r="M26" s="221" t="str">
        <f t="shared" si="10"/>
        <v/>
      </c>
      <c r="N26" s="222">
        <f t="shared" si="6"/>
        <v>1</v>
      </c>
      <c r="O26" s="223">
        <f>IF(N26=0,0,IF(SUM($N$5:N26)&gt;251,1,0))</f>
        <v>0</v>
      </c>
      <c r="P26" s="408">
        <v>4</v>
      </c>
      <c r="Q26" s="409">
        <v>1</v>
      </c>
      <c r="R26" s="224"/>
      <c r="S26" s="411" t="s">
        <v>672</v>
      </c>
      <c r="T26" s="225" t="s">
        <v>697</v>
      </c>
      <c r="U26" s="226" t="s">
        <v>698</v>
      </c>
      <c r="V26" s="413" t="s">
        <v>695</v>
      </c>
      <c r="W26" s="225" t="s">
        <v>697</v>
      </c>
      <c r="X26" s="226" t="s">
        <v>698</v>
      </c>
      <c r="Y26" s="413" t="s">
        <v>696</v>
      </c>
      <c r="Z26" s="225" t="s">
        <v>699</v>
      </c>
      <c r="AA26" s="226" t="s">
        <v>698</v>
      </c>
      <c r="AB26" s="413"/>
      <c r="AC26" s="225">
        <f t="shared" si="22"/>
        <v>0</v>
      </c>
      <c r="AD26" s="226">
        <f t="shared" si="14"/>
        <v>0</v>
      </c>
      <c r="AE26" s="413"/>
      <c r="AF26" s="225">
        <f t="shared" si="23"/>
        <v>0</v>
      </c>
      <c r="AG26" s="226">
        <f t="shared" si="15"/>
        <v>0</v>
      </c>
      <c r="AH26" s="413"/>
      <c r="AI26" s="225">
        <f t="shared" si="24"/>
        <v>0</v>
      </c>
      <c r="AJ26" s="226">
        <f t="shared" si="16"/>
        <v>0</v>
      </c>
      <c r="AK26" s="413"/>
      <c r="AL26" s="225">
        <f t="shared" si="25"/>
        <v>0</v>
      </c>
      <c r="AM26" s="226">
        <f t="shared" si="17"/>
        <v>0</v>
      </c>
      <c r="AN26" s="462" t="str">
        <f t="shared" si="18"/>
        <v/>
      </c>
      <c r="AO26" s="416" t="str">
        <f t="shared" si="7"/>
        <v/>
      </c>
      <c r="AP26" s="416" t="str">
        <f t="shared" si="8"/>
        <v/>
      </c>
      <c r="AQ26" s="416" t="str">
        <f t="shared" si="9"/>
        <v/>
      </c>
      <c r="AR26" s="416" t="str">
        <f t="shared" si="19"/>
        <v/>
      </c>
      <c r="AT26" s="13">
        <f>様式３職員名簿および各種加算等一覧!C21</f>
        <v>0</v>
      </c>
      <c r="AU26" s="13">
        <f>様式３職員名簿および各種加算等一覧!I21</f>
        <v>0</v>
      </c>
      <c r="AV26" s="13">
        <f>様式３職員名簿および各種加算等一覧!U21</f>
        <v>0</v>
      </c>
    </row>
    <row r="27" spans="1:48" ht="14.25">
      <c r="A27" s="830"/>
      <c r="B27" s="99" t="s">
        <v>274</v>
      </c>
      <c r="C27" s="466" t="s">
        <v>262</v>
      </c>
      <c r="D27" s="125" t="s">
        <v>251</v>
      </c>
      <c r="E27" s="126"/>
      <c r="F27" s="126"/>
      <c r="G27" s="217">
        <f t="shared" si="0"/>
        <v>0</v>
      </c>
      <c r="H27" s="218">
        <f t="shared" si="1"/>
        <v>0</v>
      </c>
      <c r="I27" s="96">
        <f t="shared" si="2"/>
        <v>0</v>
      </c>
      <c r="J27" s="219">
        <f t="shared" si="3"/>
        <v>0</v>
      </c>
      <c r="K27" s="220">
        <f t="shared" si="4"/>
        <v>0</v>
      </c>
      <c r="L27" s="100">
        <f t="shared" si="5"/>
        <v>0</v>
      </c>
      <c r="M27" s="221" t="str">
        <f t="shared" si="10"/>
        <v/>
      </c>
      <c r="N27" s="222">
        <f t="shared" si="6"/>
        <v>0</v>
      </c>
      <c r="O27" s="223">
        <f>IF(N27=0,0,IF(SUM($N$5:N27)&gt;251,1,0))</f>
        <v>0</v>
      </c>
      <c r="P27" s="408"/>
      <c r="Q27" s="409"/>
      <c r="R27" s="224"/>
      <c r="S27" s="411"/>
      <c r="T27" s="225">
        <f t="shared" si="26"/>
        <v>0</v>
      </c>
      <c r="U27" s="226">
        <f t="shared" si="11"/>
        <v>0</v>
      </c>
      <c r="V27" s="413"/>
      <c r="W27" s="225">
        <f t="shared" si="27"/>
        <v>0</v>
      </c>
      <c r="X27" s="226">
        <f t="shared" si="12"/>
        <v>0</v>
      </c>
      <c r="Y27" s="413"/>
      <c r="Z27" s="225">
        <f t="shared" si="28"/>
        <v>0</v>
      </c>
      <c r="AA27" s="226">
        <f t="shared" si="13"/>
        <v>0</v>
      </c>
      <c r="AB27" s="413"/>
      <c r="AC27" s="225">
        <f t="shared" si="22"/>
        <v>0</v>
      </c>
      <c r="AD27" s="226">
        <f t="shared" si="14"/>
        <v>0</v>
      </c>
      <c r="AE27" s="413"/>
      <c r="AF27" s="225">
        <f t="shared" si="23"/>
        <v>0</v>
      </c>
      <c r="AG27" s="226">
        <f t="shared" si="15"/>
        <v>0</v>
      </c>
      <c r="AH27" s="413"/>
      <c r="AI27" s="225">
        <f t="shared" si="24"/>
        <v>0</v>
      </c>
      <c r="AJ27" s="226">
        <f t="shared" si="16"/>
        <v>0</v>
      </c>
      <c r="AK27" s="413"/>
      <c r="AL27" s="225">
        <f t="shared" si="25"/>
        <v>0</v>
      </c>
      <c r="AM27" s="226">
        <f t="shared" si="17"/>
        <v>0</v>
      </c>
      <c r="AN27" s="462" t="str">
        <f t="shared" si="18"/>
        <v/>
      </c>
      <c r="AO27" s="416" t="str">
        <f t="shared" si="7"/>
        <v/>
      </c>
      <c r="AP27" s="416" t="str">
        <f t="shared" si="8"/>
        <v/>
      </c>
      <c r="AQ27" s="416" t="str">
        <f t="shared" si="9"/>
        <v/>
      </c>
      <c r="AR27" s="416" t="str">
        <f t="shared" si="19"/>
        <v/>
      </c>
      <c r="AT27" s="13">
        <f>様式３職員名簿および各種加算等一覧!C22</f>
        <v>0</v>
      </c>
      <c r="AU27" s="13">
        <f>様式３職員名簿および各種加算等一覧!I22</f>
        <v>0</v>
      </c>
      <c r="AV27" s="13">
        <f>様式３職員名簿および各種加算等一覧!U22</f>
        <v>0</v>
      </c>
    </row>
    <row r="28" spans="1:48" ht="14.25">
      <c r="A28" s="830"/>
      <c r="B28" s="99" t="s">
        <v>275</v>
      </c>
      <c r="C28" s="466" t="s">
        <v>182</v>
      </c>
      <c r="D28" s="125" t="s">
        <v>24</v>
      </c>
      <c r="E28" s="126">
        <v>0.58333333333333337</v>
      </c>
      <c r="F28" s="126">
        <v>0.79166666666666663</v>
      </c>
      <c r="G28" s="217">
        <f t="shared" si="0"/>
        <v>0.20833333333333326</v>
      </c>
      <c r="H28" s="218">
        <f t="shared" si="1"/>
        <v>0</v>
      </c>
      <c r="I28" s="96">
        <f t="shared" si="2"/>
        <v>0</v>
      </c>
      <c r="J28" s="219">
        <f t="shared" si="3"/>
        <v>0</v>
      </c>
      <c r="K28" s="220">
        <f t="shared" si="4"/>
        <v>0</v>
      </c>
      <c r="L28" s="100">
        <f t="shared" si="5"/>
        <v>0</v>
      </c>
      <c r="M28" s="221" t="str">
        <f t="shared" si="10"/>
        <v/>
      </c>
      <c r="N28" s="222">
        <f t="shared" si="6"/>
        <v>0</v>
      </c>
      <c r="O28" s="223">
        <f>IF(N28=0,0,IF(SUM($N$5:N28)&gt;251,1,0))</f>
        <v>0</v>
      </c>
      <c r="P28" s="408">
        <v>27</v>
      </c>
      <c r="Q28" s="409">
        <v>1</v>
      </c>
      <c r="R28" s="224"/>
      <c r="S28" s="411" t="s">
        <v>672</v>
      </c>
      <c r="T28" s="225" t="s">
        <v>697</v>
      </c>
      <c r="U28" s="226" t="s">
        <v>698</v>
      </c>
      <c r="V28" s="413" t="s">
        <v>695</v>
      </c>
      <c r="W28" s="225" t="s">
        <v>697</v>
      </c>
      <c r="X28" s="226" t="s">
        <v>698</v>
      </c>
      <c r="Y28" s="413" t="s">
        <v>696</v>
      </c>
      <c r="Z28" s="225" t="s">
        <v>699</v>
      </c>
      <c r="AA28" s="226" t="s">
        <v>698</v>
      </c>
      <c r="AB28" s="413" t="s">
        <v>702</v>
      </c>
      <c r="AC28" s="225" t="str">
        <f t="shared" si="22"/>
        <v>補助員</v>
      </c>
      <c r="AD28" s="226" t="str">
        <f t="shared" si="14"/>
        <v>対象</v>
      </c>
      <c r="AE28" s="413"/>
      <c r="AF28" s="225">
        <f t="shared" si="23"/>
        <v>0</v>
      </c>
      <c r="AG28" s="226">
        <f t="shared" si="15"/>
        <v>0</v>
      </c>
      <c r="AH28" s="413"/>
      <c r="AI28" s="225">
        <f t="shared" si="24"/>
        <v>0</v>
      </c>
      <c r="AJ28" s="226">
        <f t="shared" si="16"/>
        <v>0</v>
      </c>
      <c r="AK28" s="413"/>
      <c r="AL28" s="225">
        <f t="shared" si="25"/>
        <v>0</v>
      </c>
      <c r="AM28" s="226">
        <f t="shared" si="17"/>
        <v>0</v>
      </c>
      <c r="AN28" s="462" t="str">
        <f t="shared" si="18"/>
        <v/>
      </c>
      <c r="AO28" s="416" t="str">
        <f t="shared" si="7"/>
        <v/>
      </c>
      <c r="AP28" s="416" t="str">
        <f t="shared" si="8"/>
        <v/>
      </c>
      <c r="AQ28" s="416" t="str">
        <f t="shared" si="9"/>
        <v/>
      </c>
      <c r="AR28" s="416" t="str">
        <f t="shared" si="19"/>
        <v/>
      </c>
      <c r="AT28" s="13">
        <f>様式３職員名簿および各種加算等一覧!C23</f>
        <v>0</v>
      </c>
      <c r="AU28" s="13">
        <f>様式３職員名簿および各種加算等一覧!I23</f>
        <v>0</v>
      </c>
      <c r="AV28" s="13">
        <f>様式３職員名簿および各種加算等一覧!U23</f>
        <v>0</v>
      </c>
    </row>
    <row r="29" spans="1:48" ht="14.25">
      <c r="A29" s="830"/>
      <c r="B29" s="99" t="s">
        <v>276</v>
      </c>
      <c r="C29" s="466" t="s">
        <v>187</v>
      </c>
      <c r="D29" s="125" t="s">
        <v>24</v>
      </c>
      <c r="E29" s="126">
        <v>0.58333333333333337</v>
      </c>
      <c r="F29" s="126">
        <v>0.79166666666666663</v>
      </c>
      <c r="G29" s="217">
        <f t="shared" si="0"/>
        <v>0.20833333333333326</v>
      </c>
      <c r="H29" s="218">
        <f t="shared" si="1"/>
        <v>0</v>
      </c>
      <c r="I29" s="96">
        <f t="shared" si="2"/>
        <v>0</v>
      </c>
      <c r="J29" s="219">
        <f t="shared" si="3"/>
        <v>0</v>
      </c>
      <c r="K29" s="220">
        <f t="shared" si="4"/>
        <v>0</v>
      </c>
      <c r="L29" s="100">
        <f t="shared" si="5"/>
        <v>0</v>
      </c>
      <c r="M29" s="221" t="str">
        <f t="shared" si="10"/>
        <v/>
      </c>
      <c r="N29" s="222">
        <f t="shared" si="6"/>
        <v>0</v>
      </c>
      <c r="O29" s="223">
        <f>IF(N29=0,0,IF(SUM($N$5:N29)&gt;251,1,0))</f>
        <v>0</v>
      </c>
      <c r="P29" s="408">
        <v>25</v>
      </c>
      <c r="Q29" s="409">
        <v>0</v>
      </c>
      <c r="R29" s="224"/>
      <c r="S29" s="411" t="s">
        <v>672</v>
      </c>
      <c r="T29" s="225" t="s">
        <v>697</v>
      </c>
      <c r="U29" s="226" t="s">
        <v>698</v>
      </c>
      <c r="V29" s="413" t="s">
        <v>695</v>
      </c>
      <c r="W29" s="225" t="s">
        <v>697</v>
      </c>
      <c r="X29" s="226" t="s">
        <v>698</v>
      </c>
      <c r="Y29" s="413" t="s">
        <v>696</v>
      </c>
      <c r="Z29" s="225" t="s">
        <v>699</v>
      </c>
      <c r="AA29" s="226" t="s">
        <v>698</v>
      </c>
      <c r="AB29" s="413"/>
      <c r="AC29" s="225">
        <f t="shared" si="22"/>
        <v>0</v>
      </c>
      <c r="AD29" s="226">
        <f t="shared" si="14"/>
        <v>0</v>
      </c>
      <c r="AE29" s="413"/>
      <c r="AF29" s="225">
        <f t="shared" si="23"/>
        <v>0</v>
      </c>
      <c r="AG29" s="226">
        <f t="shared" si="15"/>
        <v>0</v>
      </c>
      <c r="AH29" s="413"/>
      <c r="AI29" s="225">
        <f t="shared" si="24"/>
        <v>0</v>
      </c>
      <c r="AJ29" s="226">
        <f t="shared" si="16"/>
        <v>0</v>
      </c>
      <c r="AK29" s="413"/>
      <c r="AL29" s="225">
        <f t="shared" si="25"/>
        <v>0</v>
      </c>
      <c r="AM29" s="226">
        <f t="shared" si="17"/>
        <v>0</v>
      </c>
      <c r="AN29" s="462" t="str">
        <f t="shared" si="18"/>
        <v/>
      </c>
      <c r="AO29" s="416" t="str">
        <f t="shared" si="7"/>
        <v/>
      </c>
      <c r="AP29" s="416" t="str">
        <f t="shared" si="8"/>
        <v/>
      </c>
      <c r="AQ29" s="416" t="str">
        <f t="shared" si="9"/>
        <v/>
      </c>
      <c r="AR29" s="416" t="str">
        <f t="shared" si="19"/>
        <v/>
      </c>
      <c r="AT29" s="13">
        <f>様式３職員名簿および各種加算等一覧!C24</f>
        <v>0</v>
      </c>
      <c r="AU29" s="13">
        <f>様式３職員名簿および各種加算等一覧!I24</f>
        <v>0</v>
      </c>
      <c r="AV29" s="13">
        <f>様式３職員名簿および各種加算等一覧!U24</f>
        <v>0</v>
      </c>
    </row>
    <row r="30" spans="1:48" ht="14.25">
      <c r="A30" s="830"/>
      <c r="B30" s="99" t="s">
        <v>277</v>
      </c>
      <c r="C30" s="466" t="s">
        <v>183</v>
      </c>
      <c r="D30" s="125" t="s">
        <v>24</v>
      </c>
      <c r="E30" s="126">
        <v>0.58333333333333337</v>
      </c>
      <c r="F30" s="126">
        <v>0.79166666666666663</v>
      </c>
      <c r="G30" s="217">
        <f t="shared" si="0"/>
        <v>0.20833333333333326</v>
      </c>
      <c r="H30" s="218">
        <f t="shared" si="1"/>
        <v>0</v>
      </c>
      <c r="I30" s="96">
        <f t="shared" si="2"/>
        <v>0</v>
      </c>
      <c r="J30" s="219">
        <f t="shared" si="3"/>
        <v>0</v>
      </c>
      <c r="K30" s="220">
        <f t="shared" si="4"/>
        <v>0</v>
      </c>
      <c r="L30" s="100">
        <f t="shared" si="5"/>
        <v>0</v>
      </c>
      <c r="M30" s="221" t="str">
        <f t="shared" si="10"/>
        <v/>
      </c>
      <c r="N30" s="222">
        <f t="shared" si="6"/>
        <v>0</v>
      </c>
      <c r="O30" s="223">
        <f>IF(N30=0,0,IF(SUM($N$5:N30)&gt;251,1,0))</f>
        <v>0</v>
      </c>
      <c r="P30" s="408">
        <v>26</v>
      </c>
      <c r="Q30" s="409">
        <v>0</v>
      </c>
      <c r="R30" s="224"/>
      <c r="S30" s="411" t="s">
        <v>672</v>
      </c>
      <c r="T30" s="225" t="s">
        <v>697</v>
      </c>
      <c r="U30" s="226" t="s">
        <v>698</v>
      </c>
      <c r="V30" s="413" t="s">
        <v>695</v>
      </c>
      <c r="W30" s="225" t="s">
        <v>697</v>
      </c>
      <c r="X30" s="226" t="s">
        <v>698</v>
      </c>
      <c r="Y30" s="413" t="s">
        <v>696</v>
      </c>
      <c r="Z30" s="225" t="s">
        <v>699</v>
      </c>
      <c r="AA30" s="226" t="s">
        <v>698</v>
      </c>
      <c r="AB30" s="413" t="s">
        <v>701</v>
      </c>
      <c r="AC30" s="225" t="str">
        <f t="shared" si="22"/>
        <v>支援員</v>
      </c>
      <c r="AD30" s="226" t="str">
        <f t="shared" si="14"/>
        <v>対象</v>
      </c>
      <c r="AE30" s="413"/>
      <c r="AF30" s="225">
        <f t="shared" si="23"/>
        <v>0</v>
      </c>
      <c r="AG30" s="226">
        <f t="shared" si="15"/>
        <v>0</v>
      </c>
      <c r="AH30" s="413"/>
      <c r="AI30" s="225">
        <f t="shared" si="24"/>
        <v>0</v>
      </c>
      <c r="AJ30" s="226">
        <f t="shared" si="16"/>
        <v>0</v>
      </c>
      <c r="AK30" s="413"/>
      <c r="AL30" s="225">
        <f t="shared" si="25"/>
        <v>0</v>
      </c>
      <c r="AM30" s="226">
        <f t="shared" si="17"/>
        <v>0</v>
      </c>
      <c r="AN30" s="462" t="str">
        <f t="shared" si="18"/>
        <v/>
      </c>
      <c r="AO30" s="416" t="str">
        <f t="shared" si="7"/>
        <v/>
      </c>
      <c r="AP30" s="416" t="str">
        <f t="shared" si="8"/>
        <v/>
      </c>
      <c r="AQ30" s="416" t="str">
        <f t="shared" si="9"/>
        <v/>
      </c>
      <c r="AR30" s="416" t="str">
        <f t="shared" si="19"/>
        <v/>
      </c>
      <c r="AT30" s="13">
        <f>様式３職員名簿および各種加算等一覧!C25</f>
        <v>0</v>
      </c>
      <c r="AU30" s="13">
        <f>様式３職員名簿および各種加算等一覧!I25</f>
        <v>0</v>
      </c>
      <c r="AV30" s="13">
        <f>様式３職員名簿および各種加算等一覧!U25</f>
        <v>0</v>
      </c>
    </row>
    <row r="31" spans="1:48" ht="14.25">
      <c r="A31" s="830"/>
      <c r="B31" s="99" t="s">
        <v>278</v>
      </c>
      <c r="C31" s="466" t="s">
        <v>184</v>
      </c>
      <c r="D31" s="125" t="s">
        <v>24</v>
      </c>
      <c r="E31" s="126">
        <v>0.58333333333333337</v>
      </c>
      <c r="F31" s="126">
        <v>0.79166666666666663</v>
      </c>
      <c r="G31" s="217">
        <f t="shared" si="0"/>
        <v>0.20833333333333326</v>
      </c>
      <c r="H31" s="218">
        <f t="shared" si="1"/>
        <v>0</v>
      </c>
      <c r="I31" s="96">
        <f t="shared" si="2"/>
        <v>0</v>
      </c>
      <c r="J31" s="219">
        <f t="shared" si="3"/>
        <v>0</v>
      </c>
      <c r="K31" s="220">
        <f t="shared" si="4"/>
        <v>0</v>
      </c>
      <c r="L31" s="100">
        <f t="shared" si="5"/>
        <v>0</v>
      </c>
      <c r="M31" s="221" t="str">
        <f t="shared" si="10"/>
        <v/>
      </c>
      <c r="N31" s="222">
        <f t="shared" si="6"/>
        <v>0</v>
      </c>
      <c r="O31" s="223">
        <f>IF(N31=0,0,IF(SUM($N$5:N31)&gt;251,1,0))</f>
        <v>0</v>
      </c>
      <c r="P31" s="408">
        <v>26</v>
      </c>
      <c r="Q31" s="409">
        <v>0</v>
      </c>
      <c r="R31" s="224"/>
      <c r="S31" s="411" t="s">
        <v>672</v>
      </c>
      <c r="T31" s="225" t="s">
        <v>697</v>
      </c>
      <c r="U31" s="226" t="s">
        <v>698</v>
      </c>
      <c r="V31" s="413" t="s">
        <v>695</v>
      </c>
      <c r="W31" s="225" t="s">
        <v>697</v>
      </c>
      <c r="X31" s="226" t="s">
        <v>698</v>
      </c>
      <c r="Y31" s="413" t="s">
        <v>696</v>
      </c>
      <c r="Z31" s="225" t="s">
        <v>699</v>
      </c>
      <c r="AA31" s="226" t="s">
        <v>698</v>
      </c>
      <c r="AB31" s="413"/>
      <c r="AC31" s="225">
        <f t="shared" si="22"/>
        <v>0</v>
      </c>
      <c r="AD31" s="226">
        <f t="shared" si="14"/>
        <v>0</v>
      </c>
      <c r="AE31" s="413"/>
      <c r="AF31" s="225">
        <f t="shared" si="23"/>
        <v>0</v>
      </c>
      <c r="AG31" s="226">
        <f t="shared" si="15"/>
        <v>0</v>
      </c>
      <c r="AH31" s="413"/>
      <c r="AI31" s="225">
        <f t="shared" si="24"/>
        <v>0</v>
      </c>
      <c r="AJ31" s="226">
        <f t="shared" si="16"/>
        <v>0</v>
      </c>
      <c r="AK31" s="413"/>
      <c r="AL31" s="225">
        <f t="shared" si="25"/>
        <v>0</v>
      </c>
      <c r="AM31" s="226">
        <f t="shared" si="17"/>
        <v>0</v>
      </c>
      <c r="AN31" s="462" t="str">
        <f t="shared" si="18"/>
        <v/>
      </c>
      <c r="AO31" s="416" t="str">
        <f t="shared" si="7"/>
        <v/>
      </c>
      <c r="AP31" s="416" t="str">
        <f t="shared" si="8"/>
        <v/>
      </c>
      <c r="AQ31" s="416" t="str">
        <f t="shared" si="9"/>
        <v/>
      </c>
      <c r="AR31" s="416" t="str">
        <f t="shared" si="19"/>
        <v/>
      </c>
      <c r="AT31" s="13">
        <f>様式３職員名簿および各種加算等一覧!C26</f>
        <v>0</v>
      </c>
      <c r="AU31" s="13">
        <f>様式３職員名簿および各種加算等一覧!I26</f>
        <v>0</v>
      </c>
      <c r="AV31" s="13">
        <f>様式３職員名簿および各種加算等一覧!U26</f>
        <v>0</v>
      </c>
    </row>
    <row r="32" spans="1:48" ht="14.25">
      <c r="A32" s="830"/>
      <c r="B32" s="99" t="s">
        <v>279</v>
      </c>
      <c r="C32" s="466" t="s">
        <v>185</v>
      </c>
      <c r="D32" s="125" t="s">
        <v>24</v>
      </c>
      <c r="E32" s="126">
        <v>0.58333333333333337</v>
      </c>
      <c r="F32" s="126">
        <v>0.79166666666666663</v>
      </c>
      <c r="G32" s="217">
        <f t="shared" si="0"/>
        <v>0.20833333333333326</v>
      </c>
      <c r="H32" s="218">
        <f t="shared" si="1"/>
        <v>0</v>
      </c>
      <c r="I32" s="96">
        <f t="shared" si="2"/>
        <v>0</v>
      </c>
      <c r="J32" s="219">
        <f t="shared" si="3"/>
        <v>0</v>
      </c>
      <c r="K32" s="220">
        <f t="shared" si="4"/>
        <v>0</v>
      </c>
      <c r="L32" s="100">
        <f t="shared" si="5"/>
        <v>0</v>
      </c>
      <c r="M32" s="221" t="str">
        <f t="shared" si="10"/>
        <v/>
      </c>
      <c r="N32" s="222">
        <f t="shared" si="6"/>
        <v>0</v>
      </c>
      <c r="O32" s="223">
        <f>IF(N32=0,0,IF(SUM($N$5:N32)&gt;251,1,0))</f>
        <v>0</v>
      </c>
      <c r="P32" s="408">
        <v>27</v>
      </c>
      <c r="Q32" s="409">
        <v>0</v>
      </c>
      <c r="R32" s="224"/>
      <c r="S32" s="411" t="s">
        <v>672</v>
      </c>
      <c r="T32" s="225" t="s">
        <v>697</v>
      </c>
      <c r="U32" s="226" t="s">
        <v>698</v>
      </c>
      <c r="V32" s="413" t="s">
        <v>695</v>
      </c>
      <c r="W32" s="225" t="s">
        <v>697</v>
      </c>
      <c r="X32" s="226" t="s">
        <v>698</v>
      </c>
      <c r="Y32" s="413" t="s">
        <v>696</v>
      </c>
      <c r="Z32" s="225" t="s">
        <v>699</v>
      </c>
      <c r="AA32" s="226" t="s">
        <v>698</v>
      </c>
      <c r="AB32" s="413" t="s">
        <v>701</v>
      </c>
      <c r="AC32" s="225" t="str">
        <f t="shared" si="22"/>
        <v>支援員</v>
      </c>
      <c r="AD32" s="226" t="str">
        <f t="shared" si="14"/>
        <v>対象</v>
      </c>
      <c r="AE32" s="413"/>
      <c r="AF32" s="225">
        <f t="shared" si="23"/>
        <v>0</v>
      </c>
      <c r="AG32" s="226">
        <f t="shared" si="15"/>
        <v>0</v>
      </c>
      <c r="AH32" s="413"/>
      <c r="AI32" s="225">
        <f t="shared" si="24"/>
        <v>0</v>
      </c>
      <c r="AJ32" s="226">
        <f t="shared" si="16"/>
        <v>0</v>
      </c>
      <c r="AK32" s="413"/>
      <c r="AL32" s="225">
        <f t="shared" si="25"/>
        <v>0</v>
      </c>
      <c r="AM32" s="226">
        <f t="shared" si="17"/>
        <v>0</v>
      </c>
      <c r="AN32" s="462" t="str">
        <f t="shared" si="18"/>
        <v/>
      </c>
      <c r="AO32" s="416" t="str">
        <f t="shared" si="7"/>
        <v/>
      </c>
      <c r="AP32" s="416" t="str">
        <f t="shared" si="8"/>
        <v/>
      </c>
      <c r="AQ32" s="416" t="str">
        <f t="shared" si="9"/>
        <v/>
      </c>
      <c r="AR32" s="416" t="str">
        <f t="shared" si="19"/>
        <v/>
      </c>
    </row>
    <row r="33" spans="1:45" ht="14.25">
      <c r="A33" s="830"/>
      <c r="B33" s="99" t="s">
        <v>280</v>
      </c>
      <c r="C33" s="466" t="s">
        <v>596</v>
      </c>
      <c r="D33" s="125" t="s">
        <v>251</v>
      </c>
      <c r="E33" s="126"/>
      <c r="F33" s="126"/>
      <c r="G33" s="217">
        <f t="shared" si="0"/>
        <v>0</v>
      </c>
      <c r="H33" s="218">
        <f t="shared" si="1"/>
        <v>0</v>
      </c>
      <c r="I33" s="96">
        <f t="shared" si="2"/>
        <v>0</v>
      </c>
      <c r="J33" s="219">
        <f t="shared" si="3"/>
        <v>0</v>
      </c>
      <c r="K33" s="220">
        <f t="shared" si="4"/>
        <v>0</v>
      </c>
      <c r="L33" s="100">
        <f t="shared" si="5"/>
        <v>0</v>
      </c>
      <c r="M33" s="221" t="str">
        <f t="shared" si="10"/>
        <v/>
      </c>
      <c r="N33" s="222">
        <f t="shared" si="6"/>
        <v>0</v>
      </c>
      <c r="O33" s="223">
        <f>IF(N33=0,0,IF(SUM($N$5:N33)&gt;251,1,0))</f>
        <v>0</v>
      </c>
      <c r="P33" s="408">
        <v>25</v>
      </c>
      <c r="Q33" s="409">
        <v>0</v>
      </c>
      <c r="R33" s="224"/>
      <c r="S33" s="411"/>
      <c r="T33" s="225"/>
      <c r="U33" s="226"/>
      <c r="V33" s="413"/>
      <c r="W33" s="225"/>
      <c r="X33" s="226"/>
      <c r="Y33" s="413"/>
      <c r="Z33" s="225"/>
      <c r="AA33" s="226"/>
      <c r="AB33" s="413"/>
      <c r="AC33" s="225">
        <f t="shared" si="22"/>
        <v>0</v>
      </c>
      <c r="AD33" s="226">
        <f t="shared" si="14"/>
        <v>0</v>
      </c>
      <c r="AE33" s="413"/>
      <c r="AF33" s="225">
        <f t="shared" si="23"/>
        <v>0</v>
      </c>
      <c r="AG33" s="226">
        <f t="shared" si="15"/>
        <v>0</v>
      </c>
      <c r="AH33" s="413"/>
      <c r="AI33" s="225">
        <f t="shared" si="24"/>
        <v>0</v>
      </c>
      <c r="AJ33" s="226">
        <f t="shared" si="16"/>
        <v>0</v>
      </c>
      <c r="AK33" s="413"/>
      <c r="AL33" s="225">
        <f t="shared" si="25"/>
        <v>0</v>
      </c>
      <c r="AM33" s="226">
        <f t="shared" si="17"/>
        <v>0</v>
      </c>
      <c r="AN33" s="462" t="str">
        <f t="shared" si="18"/>
        <v/>
      </c>
      <c r="AO33" s="416" t="str">
        <f t="shared" si="7"/>
        <v/>
      </c>
      <c r="AP33" s="416" t="str">
        <f t="shared" si="8"/>
        <v/>
      </c>
      <c r="AQ33" s="416" t="str">
        <f t="shared" si="9"/>
        <v/>
      </c>
      <c r="AR33" s="416" t="str">
        <f t="shared" si="19"/>
        <v/>
      </c>
      <c r="AS33" s="13" t="s">
        <v>593</v>
      </c>
    </row>
    <row r="34" spans="1:45" ht="15" thickBot="1">
      <c r="A34" s="831"/>
      <c r="B34" s="101" t="s">
        <v>281</v>
      </c>
      <c r="C34" s="102" t="s">
        <v>262</v>
      </c>
      <c r="D34" s="125" t="s">
        <v>251</v>
      </c>
      <c r="E34" s="126"/>
      <c r="F34" s="126"/>
      <c r="G34" s="227">
        <f t="shared" si="0"/>
        <v>0</v>
      </c>
      <c r="H34" s="228">
        <f t="shared" si="1"/>
        <v>0</v>
      </c>
      <c r="I34" s="103">
        <f t="shared" si="2"/>
        <v>0</v>
      </c>
      <c r="J34" s="229">
        <f t="shared" si="3"/>
        <v>0</v>
      </c>
      <c r="K34" s="230">
        <f t="shared" si="4"/>
        <v>0</v>
      </c>
      <c r="L34" s="104">
        <f t="shared" si="5"/>
        <v>0</v>
      </c>
      <c r="M34" s="231" t="str">
        <f t="shared" si="10"/>
        <v/>
      </c>
      <c r="N34" s="232">
        <f t="shared" si="6"/>
        <v>0</v>
      </c>
      <c r="O34" s="233">
        <f>IF(N34=0,0,IF(SUM($N$5:N34)&gt;251,1,0))</f>
        <v>0</v>
      </c>
      <c r="P34" s="520">
        <v>28</v>
      </c>
      <c r="Q34" s="521">
        <v>1</v>
      </c>
      <c r="R34" s="234">
        <f>SUM(P5:P34)</f>
        <v>547</v>
      </c>
      <c r="S34" s="411"/>
      <c r="T34" s="225">
        <f t="shared" si="26"/>
        <v>0</v>
      </c>
      <c r="U34" s="235">
        <f t="shared" si="11"/>
        <v>0</v>
      </c>
      <c r="V34" s="414"/>
      <c r="W34" s="225">
        <f t="shared" si="27"/>
        <v>0</v>
      </c>
      <c r="X34" s="235">
        <f t="shared" si="12"/>
        <v>0</v>
      </c>
      <c r="Y34" s="414"/>
      <c r="Z34" s="225">
        <f t="shared" si="28"/>
        <v>0</v>
      </c>
      <c r="AA34" s="235">
        <f t="shared" si="13"/>
        <v>0</v>
      </c>
      <c r="AB34" s="414"/>
      <c r="AC34" s="225">
        <f t="shared" si="22"/>
        <v>0</v>
      </c>
      <c r="AD34" s="235">
        <f t="shared" si="14"/>
        <v>0</v>
      </c>
      <c r="AE34" s="414"/>
      <c r="AF34" s="225">
        <f t="shared" si="23"/>
        <v>0</v>
      </c>
      <c r="AG34" s="235">
        <f t="shared" si="15"/>
        <v>0</v>
      </c>
      <c r="AH34" s="414"/>
      <c r="AI34" s="225">
        <f t="shared" si="24"/>
        <v>0</v>
      </c>
      <c r="AJ34" s="235">
        <f t="shared" si="16"/>
        <v>0</v>
      </c>
      <c r="AK34" s="414"/>
      <c r="AL34" s="225">
        <f t="shared" si="25"/>
        <v>0</v>
      </c>
      <c r="AM34" s="235">
        <f t="shared" si="17"/>
        <v>0</v>
      </c>
      <c r="AN34" s="463" t="str">
        <f t="shared" si="18"/>
        <v/>
      </c>
      <c r="AO34" s="417" t="str">
        <f t="shared" si="7"/>
        <v/>
      </c>
      <c r="AP34" s="417" t="str">
        <f t="shared" si="8"/>
        <v/>
      </c>
      <c r="AQ34" s="417" t="str">
        <f t="shared" si="9"/>
        <v/>
      </c>
      <c r="AR34" s="416" t="str">
        <f t="shared" si="19"/>
        <v/>
      </c>
    </row>
    <row r="35" spans="1:45" ht="14.25">
      <c r="A35" s="829" t="s">
        <v>203</v>
      </c>
      <c r="B35" s="467" t="s">
        <v>248</v>
      </c>
      <c r="C35" s="468" t="s">
        <v>182</v>
      </c>
      <c r="D35" s="125" t="s">
        <v>24</v>
      </c>
      <c r="E35" s="126">
        <v>0.58333333333333337</v>
      </c>
      <c r="F35" s="126">
        <v>0.79166666666666663</v>
      </c>
      <c r="G35" s="207">
        <f t="shared" si="0"/>
        <v>0.20833333333333326</v>
      </c>
      <c r="H35" s="208">
        <f t="shared" si="1"/>
        <v>0</v>
      </c>
      <c r="I35" s="95">
        <f t="shared" si="2"/>
        <v>0</v>
      </c>
      <c r="J35" s="209">
        <f t="shared" si="3"/>
        <v>0</v>
      </c>
      <c r="K35" s="210">
        <f t="shared" si="4"/>
        <v>0</v>
      </c>
      <c r="L35" s="97">
        <f t="shared" si="5"/>
        <v>0</v>
      </c>
      <c r="M35" s="211" t="str">
        <f t="shared" si="10"/>
        <v/>
      </c>
      <c r="N35" s="212">
        <f t="shared" si="6"/>
        <v>0</v>
      </c>
      <c r="O35" s="213">
        <f>IF(N35=0,0,IF(SUM($N$5:N35)&gt;251,1,0))</f>
        <v>0</v>
      </c>
      <c r="P35" s="408">
        <v>30</v>
      </c>
      <c r="Q35" s="409">
        <v>0</v>
      </c>
      <c r="R35" s="214"/>
      <c r="S35" s="411" t="s">
        <v>672</v>
      </c>
      <c r="T35" s="225" t="s">
        <v>697</v>
      </c>
      <c r="U35" s="216" t="s">
        <v>698</v>
      </c>
      <c r="V35" s="412" t="s">
        <v>695</v>
      </c>
      <c r="W35" s="225" t="s">
        <v>697</v>
      </c>
      <c r="X35" s="216" t="s">
        <v>698</v>
      </c>
      <c r="Y35" s="412" t="s">
        <v>696</v>
      </c>
      <c r="Z35" s="225" t="s">
        <v>699</v>
      </c>
      <c r="AA35" s="216" t="s">
        <v>698</v>
      </c>
      <c r="AB35" s="412" t="s">
        <v>696</v>
      </c>
      <c r="AC35" s="225" t="str">
        <f t="shared" si="22"/>
        <v>補助員</v>
      </c>
      <c r="AD35" s="216" t="str">
        <f t="shared" si="14"/>
        <v>対象</v>
      </c>
      <c r="AE35" s="412"/>
      <c r="AF35" s="225">
        <f t="shared" si="23"/>
        <v>0</v>
      </c>
      <c r="AG35" s="216">
        <f t="shared" si="15"/>
        <v>0</v>
      </c>
      <c r="AH35" s="412"/>
      <c r="AI35" s="225">
        <f t="shared" si="24"/>
        <v>0</v>
      </c>
      <c r="AJ35" s="216">
        <f t="shared" si="16"/>
        <v>0</v>
      </c>
      <c r="AK35" s="412"/>
      <c r="AL35" s="225">
        <f t="shared" si="25"/>
        <v>0</v>
      </c>
      <c r="AM35" s="216">
        <f t="shared" si="17"/>
        <v>0</v>
      </c>
      <c r="AN35" s="461" t="str">
        <f t="shared" si="18"/>
        <v/>
      </c>
      <c r="AO35" s="418" t="str">
        <f t="shared" si="7"/>
        <v/>
      </c>
      <c r="AP35" s="418" t="str">
        <f t="shared" si="8"/>
        <v/>
      </c>
      <c r="AQ35" s="415" t="str">
        <f t="shared" si="9"/>
        <v/>
      </c>
      <c r="AR35" s="416" t="str">
        <f t="shared" si="19"/>
        <v/>
      </c>
    </row>
    <row r="36" spans="1:45" ht="14.25">
      <c r="A36" s="830"/>
      <c r="B36" s="99" t="s">
        <v>250</v>
      </c>
      <c r="C36" s="466" t="s">
        <v>187</v>
      </c>
      <c r="D36" s="125" t="s">
        <v>24</v>
      </c>
      <c r="E36" s="126">
        <v>0.58333333333333337</v>
      </c>
      <c r="F36" s="126">
        <v>0.79166666666666663</v>
      </c>
      <c r="G36" s="217">
        <f t="shared" si="0"/>
        <v>0.20833333333333326</v>
      </c>
      <c r="H36" s="218">
        <f t="shared" si="1"/>
        <v>0</v>
      </c>
      <c r="I36" s="96">
        <f t="shared" si="2"/>
        <v>0</v>
      </c>
      <c r="J36" s="219">
        <f t="shared" si="3"/>
        <v>0</v>
      </c>
      <c r="K36" s="220">
        <f t="shared" si="4"/>
        <v>0</v>
      </c>
      <c r="L36" s="100">
        <f t="shared" si="5"/>
        <v>0</v>
      </c>
      <c r="M36" s="221" t="str">
        <f t="shared" si="10"/>
        <v/>
      </c>
      <c r="N36" s="222">
        <f t="shared" si="6"/>
        <v>0</v>
      </c>
      <c r="O36" s="223">
        <f>IF(N36=0,0,IF(SUM($N$5:N36)&gt;251,1,0))</f>
        <v>0</v>
      </c>
      <c r="P36" s="408">
        <v>24</v>
      </c>
      <c r="Q36" s="409">
        <v>1</v>
      </c>
      <c r="R36" s="224"/>
      <c r="S36" s="411" t="s">
        <v>672</v>
      </c>
      <c r="T36" s="225" t="s">
        <v>697</v>
      </c>
      <c r="U36" s="226" t="s">
        <v>698</v>
      </c>
      <c r="V36" s="413" t="s">
        <v>695</v>
      </c>
      <c r="W36" s="225" t="s">
        <v>697</v>
      </c>
      <c r="X36" s="226" t="s">
        <v>698</v>
      </c>
      <c r="Y36" s="413" t="s">
        <v>696</v>
      </c>
      <c r="Z36" s="225" t="s">
        <v>699</v>
      </c>
      <c r="AA36" s="226" t="s">
        <v>698</v>
      </c>
      <c r="AB36" s="413"/>
      <c r="AC36" s="225">
        <f t="shared" si="22"/>
        <v>0</v>
      </c>
      <c r="AD36" s="226">
        <f t="shared" si="14"/>
        <v>0</v>
      </c>
      <c r="AE36" s="413"/>
      <c r="AF36" s="225">
        <f t="shared" si="23"/>
        <v>0</v>
      </c>
      <c r="AG36" s="226">
        <f t="shared" si="15"/>
        <v>0</v>
      </c>
      <c r="AH36" s="413"/>
      <c r="AI36" s="225">
        <f t="shared" si="24"/>
        <v>0</v>
      </c>
      <c r="AJ36" s="226">
        <f t="shared" si="16"/>
        <v>0</v>
      </c>
      <c r="AK36" s="413"/>
      <c r="AL36" s="225">
        <f t="shared" si="25"/>
        <v>0</v>
      </c>
      <c r="AM36" s="226">
        <f t="shared" si="17"/>
        <v>0</v>
      </c>
      <c r="AN36" s="462" t="str">
        <f t="shared" si="18"/>
        <v/>
      </c>
      <c r="AO36" s="416" t="str">
        <f t="shared" si="7"/>
        <v/>
      </c>
      <c r="AP36" s="416" t="str">
        <f t="shared" si="8"/>
        <v/>
      </c>
      <c r="AQ36" s="416" t="str">
        <f t="shared" si="9"/>
        <v/>
      </c>
      <c r="AR36" s="416" t="str">
        <f t="shared" si="19"/>
        <v/>
      </c>
    </row>
    <row r="37" spans="1:45" ht="14.25">
      <c r="A37" s="830"/>
      <c r="B37" s="99" t="s">
        <v>252</v>
      </c>
      <c r="C37" s="466" t="s">
        <v>597</v>
      </c>
      <c r="D37" s="125" t="s">
        <v>249</v>
      </c>
      <c r="E37" s="126">
        <v>0.375</v>
      </c>
      <c r="F37" s="126">
        <v>0.75</v>
      </c>
      <c r="G37" s="217">
        <f t="shared" si="0"/>
        <v>0.375</v>
      </c>
      <c r="H37" s="218">
        <f t="shared" si="1"/>
        <v>0</v>
      </c>
      <c r="I37" s="96">
        <f t="shared" si="2"/>
        <v>0</v>
      </c>
      <c r="J37" s="219">
        <f t="shared" si="3"/>
        <v>0</v>
      </c>
      <c r="K37" s="220">
        <f t="shared" si="4"/>
        <v>4.1666666666666685E-2</v>
      </c>
      <c r="L37" s="100">
        <f t="shared" si="5"/>
        <v>1</v>
      </c>
      <c r="M37" s="221" t="str">
        <f t="shared" si="10"/>
        <v/>
      </c>
      <c r="N37" s="222">
        <f t="shared" si="6"/>
        <v>1</v>
      </c>
      <c r="O37" s="223">
        <f>IF(N37=0,0,IF(SUM($N$5:N37)&gt;251,1,0))</f>
        <v>0</v>
      </c>
      <c r="P37" s="408">
        <v>5</v>
      </c>
      <c r="Q37" s="409">
        <v>0</v>
      </c>
      <c r="R37" s="224"/>
      <c r="S37" s="411" t="s">
        <v>672</v>
      </c>
      <c r="T37" s="225" t="s">
        <v>697</v>
      </c>
      <c r="U37" s="226" t="s">
        <v>698</v>
      </c>
      <c r="V37" s="413" t="s">
        <v>695</v>
      </c>
      <c r="W37" s="225" t="s">
        <v>697</v>
      </c>
      <c r="X37" s="226" t="s">
        <v>698</v>
      </c>
      <c r="Y37" s="413" t="s">
        <v>696</v>
      </c>
      <c r="Z37" s="225" t="s">
        <v>699</v>
      </c>
      <c r="AA37" s="226" t="s">
        <v>698</v>
      </c>
      <c r="AB37" s="413"/>
      <c r="AC37" s="225">
        <f t="shared" si="22"/>
        <v>0</v>
      </c>
      <c r="AD37" s="226">
        <f t="shared" si="14"/>
        <v>0</v>
      </c>
      <c r="AE37" s="413"/>
      <c r="AF37" s="225">
        <f t="shared" si="23"/>
        <v>0</v>
      </c>
      <c r="AG37" s="226">
        <f t="shared" si="15"/>
        <v>0</v>
      </c>
      <c r="AH37" s="413"/>
      <c r="AI37" s="225">
        <f t="shared" si="24"/>
        <v>0</v>
      </c>
      <c r="AJ37" s="226">
        <f t="shared" si="16"/>
        <v>0</v>
      </c>
      <c r="AK37" s="413"/>
      <c r="AL37" s="225">
        <f t="shared" si="25"/>
        <v>0</v>
      </c>
      <c r="AM37" s="226">
        <f t="shared" si="17"/>
        <v>0</v>
      </c>
      <c r="AN37" s="462" t="str">
        <f t="shared" si="18"/>
        <v/>
      </c>
      <c r="AO37" s="416" t="str">
        <f t="shared" si="7"/>
        <v/>
      </c>
      <c r="AP37" s="416" t="str">
        <f t="shared" si="8"/>
        <v/>
      </c>
      <c r="AQ37" s="416" t="str">
        <f t="shared" si="9"/>
        <v/>
      </c>
      <c r="AR37" s="416" t="str">
        <f t="shared" si="19"/>
        <v/>
      </c>
    </row>
    <row r="38" spans="1:45" ht="14.25">
      <c r="A38" s="830"/>
      <c r="B38" s="99" t="s">
        <v>254</v>
      </c>
      <c r="C38" s="466" t="s">
        <v>598</v>
      </c>
      <c r="D38" s="125" t="s">
        <v>249</v>
      </c>
      <c r="E38" s="126">
        <v>0.375</v>
      </c>
      <c r="F38" s="126">
        <v>0.75</v>
      </c>
      <c r="G38" s="217">
        <f t="shared" si="0"/>
        <v>0.375</v>
      </c>
      <c r="H38" s="218">
        <f t="shared" si="1"/>
        <v>0</v>
      </c>
      <c r="I38" s="96">
        <f t="shared" si="2"/>
        <v>0</v>
      </c>
      <c r="J38" s="219">
        <f t="shared" si="3"/>
        <v>0</v>
      </c>
      <c r="K38" s="220">
        <f t="shared" si="4"/>
        <v>4.1666666666666685E-2</v>
      </c>
      <c r="L38" s="100">
        <f t="shared" si="5"/>
        <v>1</v>
      </c>
      <c r="M38" s="221" t="str">
        <f t="shared" si="10"/>
        <v/>
      </c>
      <c r="N38" s="222">
        <f t="shared" si="6"/>
        <v>1</v>
      </c>
      <c r="O38" s="223">
        <f>IF(N38=0,0,IF(SUM($N$5:N38)&gt;251,1,0))</f>
        <v>0</v>
      </c>
      <c r="P38" s="408">
        <v>5</v>
      </c>
      <c r="Q38" s="409">
        <v>1</v>
      </c>
      <c r="R38" s="224"/>
      <c r="S38" s="411" t="s">
        <v>672</v>
      </c>
      <c r="T38" s="225" t="s">
        <v>697</v>
      </c>
      <c r="U38" s="226" t="s">
        <v>698</v>
      </c>
      <c r="V38" s="413" t="s">
        <v>695</v>
      </c>
      <c r="W38" s="225" t="s">
        <v>697</v>
      </c>
      <c r="X38" s="226" t="s">
        <v>698</v>
      </c>
      <c r="Y38" s="413" t="s">
        <v>696</v>
      </c>
      <c r="Z38" s="225" t="s">
        <v>699</v>
      </c>
      <c r="AA38" s="226" t="s">
        <v>698</v>
      </c>
      <c r="AB38" s="413" t="s">
        <v>702</v>
      </c>
      <c r="AC38" s="225" t="str">
        <f t="shared" si="22"/>
        <v>補助員</v>
      </c>
      <c r="AD38" s="226" t="str">
        <f t="shared" si="14"/>
        <v>対象</v>
      </c>
      <c r="AE38" s="413"/>
      <c r="AF38" s="225">
        <f t="shared" si="23"/>
        <v>0</v>
      </c>
      <c r="AG38" s="226">
        <f t="shared" si="15"/>
        <v>0</v>
      </c>
      <c r="AH38" s="413"/>
      <c r="AI38" s="225">
        <f t="shared" si="24"/>
        <v>0</v>
      </c>
      <c r="AJ38" s="226">
        <f t="shared" si="16"/>
        <v>0</v>
      </c>
      <c r="AK38" s="413"/>
      <c r="AL38" s="225">
        <f t="shared" si="25"/>
        <v>0</v>
      </c>
      <c r="AM38" s="226">
        <f t="shared" si="17"/>
        <v>0</v>
      </c>
      <c r="AN38" s="462" t="str">
        <f t="shared" si="18"/>
        <v/>
      </c>
      <c r="AO38" s="416" t="str">
        <f t="shared" si="7"/>
        <v/>
      </c>
      <c r="AP38" s="416" t="str">
        <f t="shared" si="8"/>
        <v/>
      </c>
      <c r="AQ38" s="416" t="str">
        <f t="shared" si="9"/>
        <v/>
      </c>
      <c r="AR38" s="416" t="str">
        <f t="shared" si="19"/>
        <v/>
      </c>
    </row>
    <row r="39" spans="1:45" ht="14.25">
      <c r="A39" s="830"/>
      <c r="B39" s="99" t="s">
        <v>255</v>
      </c>
      <c r="C39" s="466" t="s">
        <v>599</v>
      </c>
      <c r="D39" s="125" t="s">
        <v>249</v>
      </c>
      <c r="E39" s="126">
        <v>0.375</v>
      </c>
      <c r="F39" s="126">
        <v>0.75</v>
      </c>
      <c r="G39" s="217">
        <f t="shared" si="0"/>
        <v>0.375</v>
      </c>
      <c r="H39" s="218">
        <f t="shared" si="1"/>
        <v>0</v>
      </c>
      <c r="I39" s="96">
        <f t="shared" si="2"/>
        <v>0</v>
      </c>
      <c r="J39" s="219">
        <f t="shared" si="3"/>
        <v>0</v>
      </c>
      <c r="K39" s="220">
        <f t="shared" si="4"/>
        <v>4.1666666666666685E-2</v>
      </c>
      <c r="L39" s="100">
        <f t="shared" si="5"/>
        <v>1</v>
      </c>
      <c r="M39" s="221" t="str">
        <f t="shared" si="10"/>
        <v/>
      </c>
      <c r="N39" s="222">
        <f t="shared" si="6"/>
        <v>1</v>
      </c>
      <c r="O39" s="223">
        <f>IF(N39=0,0,IF(SUM($N$5:N39)&gt;251,1,0))</f>
        <v>0</v>
      </c>
      <c r="P39" s="408">
        <v>1</v>
      </c>
      <c r="Q39" s="409">
        <v>0</v>
      </c>
      <c r="R39" s="224"/>
      <c r="S39" s="411" t="s">
        <v>672</v>
      </c>
      <c r="T39" s="225" t="s">
        <v>697</v>
      </c>
      <c r="U39" s="226" t="s">
        <v>698</v>
      </c>
      <c r="V39" s="413" t="s">
        <v>695</v>
      </c>
      <c r="W39" s="225" t="s">
        <v>697</v>
      </c>
      <c r="X39" s="226" t="s">
        <v>698</v>
      </c>
      <c r="Y39" s="413" t="s">
        <v>696</v>
      </c>
      <c r="Z39" s="225" t="s">
        <v>699</v>
      </c>
      <c r="AA39" s="226" t="s">
        <v>698</v>
      </c>
      <c r="AB39" s="413"/>
      <c r="AC39" s="225">
        <f t="shared" si="22"/>
        <v>0</v>
      </c>
      <c r="AD39" s="226">
        <f t="shared" si="14"/>
        <v>0</v>
      </c>
      <c r="AE39" s="413"/>
      <c r="AF39" s="225">
        <f t="shared" si="23"/>
        <v>0</v>
      </c>
      <c r="AG39" s="226">
        <f t="shared" si="15"/>
        <v>0</v>
      </c>
      <c r="AH39" s="413"/>
      <c r="AI39" s="225">
        <f t="shared" si="24"/>
        <v>0</v>
      </c>
      <c r="AJ39" s="226">
        <f t="shared" si="16"/>
        <v>0</v>
      </c>
      <c r="AK39" s="413"/>
      <c r="AL39" s="225">
        <f t="shared" si="25"/>
        <v>0</v>
      </c>
      <c r="AM39" s="226">
        <f t="shared" si="17"/>
        <v>0</v>
      </c>
      <c r="AN39" s="462" t="str">
        <f t="shared" si="18"/>
        <v/>
      </c>
      <c r="AO39" s="416" t="str">
        <f t="shared" si="7"/>
        <v/>
      </c>
      <c r="AP39" s="416" t="str">
        <f t="shared" si="8"/>
        <v/>
      </c>
      <c r="AQ39" s="416" t="str">
        <f t="shared" si="9"/>
        <v/>
      </c>
      <c r="AR39" s="416" t="str">
        <f t="shared" si="19"/>
        <v/>
      </c>
    </row>
    <row r="40" spans="1:45" ht="14.25">
      <c r="A40" s="830"/>
      <c r="B40" s="99" t="s">
        <v>256</v>
      </c>
      <c r="C40" s="466" t="s">
        <v>186</v>
      </c>
      <c r="D40" s="125" t="s">
        <v>249</v>
      </c>
      <c r="E40" s="126">
        <v>0.375</v>
      </c>
      <c r="F40" s="126">
        <v>0.75</v>
      </c>
      <c r="G40" s="217">
        <f t="shared" si="0"/>
        <v>0.375</v>
      </c>
      <c r="H40" s="218">
        <f t="shared" si="1"/>
        <v>0</v>
      </c>
      <c r="I40" s="96">
        <f t="shared" si="2"/>
        <v>0</v>
      </c>
      <c r="J40" s="219">
        <f t="shared" si="3"/>
        <v>0</v>
      </c>
      <c r="K40" s="220">
        <f t="shared" si="4"/>
        <v>4.1666666666666685E-2</v>
      </c>
      <c r="L40" s="100">
        <f t="shared" si="5"/>
        <v>1</v>
      </c>
      <c r="M40" s="221" t="str">
        <f t="shared" si="10"/>
        <v/>
      </c>
      <c r="N40" s="222">
        <f t="shared" si="6"/>
        <v>1</v>
      </c>
      <c r="O40" s="223">
        <f>IF(N40=0,0,IF(SUM($N$5:N40)&gt;251,1,0))</f>
        <v>0</v>
      </c>
      <c r="P40" s="408">
        <v>2</v>
      </c>
      <c r="Q40" s="409">
        <v>1</v>
      </c>
      <c r="R40" s="224"/>
      <c r="S40" s="411" t="s">
        <v>672</v>
      </c>
      <c r="T40" s="225" t="s">
        <v>697</v>
      </c>
      <c r="U40" s="226" t="s">
        <v>698</v>
      </c>
      <c r="V40" s="413" t="s">
        <v>695</v>
      </c>
      <c r="W40" s="225" t="s">
        <v>697</v>
      </c>
      <c r="X40" s="226" t="s">
        <v>698</v>
      </c>
      <c r="Y40" s="413" t="s">
        <v>696</v>
      </c>
      <c r="Z40" s="225" t="s">
        <v>699</v>
      </c>
      <c r="AA40" s="226" t="s">
        <v>698</v>
      </c>
      <c r="AB40" s="413"/>
      <c r="AC40" s="225">
        <f t="shared" si="22"/>
        <v>0</v>
      </c>
      <c r="AD40" s="226">
        <f t="shared" si="14"/>
        <v>0</v>
      </c>
      <c r="AE40" s="413"/>
      <c r="AF40" s="225">
        <f t="shared" si="23"/>
        <v>0</v>
      </c>
      <c r="AG40" s="226">
        <f t="shared" si="15"/>
        <v>0</v>
      </c>
      <c r="AH40" s="413"/>
      <c r="AI40" s="225">
        <f t="shared" si="24"/>
        <v>0</v>
      </c>
      <c r="AJ40" s="226">
        <f t="shared" si="16"/>
        <v>0</v>
      </c>
      <c r="AK40" s="413"/>
      <c r="AL40" s="225">
        <f t="shared" si="25"/>
        <v>0</v>
      </c>
      <c r="AM40" s="226">
        <f t="shared" si="17"/>
        <v>0</v>
      </c>
      <c r="AN40" s="462" t="str">
        <f t="shared" si="18"/>
        <v/>
      </c>
      <c r="AO40" s="416" t="str">
        <f t="shared" si="7"/>
        <v/>
      </c>
      <c r="AP40" s="416" t="str">
        <f t="shared" si="8"/>
        <v/>
      </c>
      <c r="AQ40" s="416" t="str">
        <f t="shared" si="9"/>
        <v/>
      </c>
      <c r="AR40" s="416" t="str">
        <f t="shared" si="19"/>
        <v/>
      </c>
    </row>
    <row r="41" spans="1:45" ht="14.25">
      <c r="A41" s="830"/>
      <c r="B41" s="99" t="s">
        <v>257</v>
      </c>
      <c r="C41" s="466" t="s">
        <v>262</v>
      </c>
      <c r="D41" s="125" t="s">
        <v>251</v>
      </c>
      <c r="E41" s="126"/>
      <c r="F41" s="126"/>
      <c r="G41" s="217">
        <f t="shared" si="0"/>
        <v>0</v>
      </c>
      <c r="H41" s="218">
        <f t="shared" si="1"/>
        <v>0</v>
      </c>
      <c r="I41" s="96">
        <f t="shared" si="2"/>
        <v>0</v>
      </c>
      <c r="J41" s="219">
        <f t="shared" si="3"/>
        <v>0</v>
      </c>
      <c r="K41" s="220">
        <f t="shared" si="4"/>
        <v>0</v>
      </c>
      <c r="L41" s="100">
        <f t="shared" si="5"/>
        <v>0</v>
      </c>
      <c r="M41" s="221" t="str">
        <f t="shared" si="10"/>
        <v/>
      </c>
      <c r="N41" s="222">
        <f t="shared" si="6"/>
        <v>0</v>
      </c>
      <c r="O41" s="223">
        <f>IF(N41=0,0,IF(SUM($N$5:N41)&gt;251,1,0))</f>
        <v>0</v>
      </c>
      <c r="P41" s="408">
        <v>0</v>
      </c>
      <c r="Q41" s="409">
        <v>0</v>
      </c>
      <c r="R41" s="224"/>
      <c r="S41" s="411"/>
      <c r="T41" s="225">
        <f t="shared" si="26"/>
        <v>0</v>
      </c>
      <c r="U41" s="226">
        <f t="shared" si="11"/>
        <v>0</v>
      </c>
      <c r="V41" s="413"/>
      <c r="W41" s="225">
        <f t="shared" si="27"/>
        <v>0</v>
      </c>
      <c r="X41" s="226">
        <f t="shared" si="12"/>
        <v>0</v>
      </c>
      <c r="Y41" s="413"/>
      <c r="Z41" s="225">
        <f t="shared" si="28"/>
        <v>0</v>
      </c>
      <c r="AA41" s="226">
        <f t="shared" si="13"/>
        <v>0</v>
      </c>
      <c r="AB41" s="413"/>
      <c r="AC41" s="225">
        <f t="shared" si="22"/>
        <v>0</v>
      </c>
      <c r="AD41" s="226">
        <f t="shared" si="14"/>
        <v>0</v>
      </c>
      <c r="AE41" s="413"/>
      <c r="AF41" s="225">
        <f t="shared" si="23"/>
        <v>0</v>
      </c>
      <c r="AG41" s="226">
        <f t="shared" si="15"/>
        <v>0</v>
      </c>
      <c r="AH41" s="413"/>
      <c r="AI41" s="225">
        <f t="shared" si="24"/>
        <v>0</v>
      </c>
      <c r="AJ41" s="226">
        <f t="shared" si="16"/>
        <v>0</v>
      </c>
      <c r="AK41" s="413"/>
      <c r="AL41" s="225">
        <f t="shared" si="25"/>
        <v>0</v>
      </c>
      <c r="AM41" s="226">
        <f t="shared" si="17"/>
        <v>0</v>
      </c>
      <c r="AN41" s="462" t="str">
        <f t="shared" si="18"/>
        <v/>
      </c>
      <c r="AO41" s="416" t="str">
        <f t="shared" si="7"/>
        <v/>
      </c>
      <c r="AP41" s="416" t="str">
        <f t="shared" si="8"/>
        <v/>
      </c>
      <c r="AQ41" s="416" t="str">
        <f t="shared" si="9"/>
        <v/>
      </c>
      <c r="AR41" s="416" t="str">
        <f t="shared" si="19"/>
        <v/>
      </c>
    </row>
    <row r="42" spans="1:45" ht="14.25">
      <c r="A42" s="830"/>
      <c r="B42" s="99" t="s">
        <v>258</v>
      </c>
      <c r="C42" s="466" t="s">
        <v>182</v>
      </c>
      <c r="D42" s="125" t="s">
        <v>24</v>
      </c>
      <c r="E42" s="126">
        <v>0.58333333333333337</v>
      </c>
      <c r="F42" s="126">
        <v>0.79166666666666663</v>
      </c>
      <c r="G42" s="217">
        <f t="shared" si="0"/>
        <v>0.20833333333333326</v>
      </c>
      <c r="H42" s="218">
        <f t="shared" si="1"/>
        <v>0</v>
      </c>
      <c r="I42" s="96">
        <f t="shared" si="2"/>
        <v>0</v>
      </c>
      <c r="J42" s="219">
        <f t="shared" si="3"/>
        <v>0</v>
      </c>
      <c r="K42" s="220">
        <f t="shared" si="4"/>
        <v>0</v>
      </c>
      <c r="L42" s="100">
        <f t="shared" si="5"/>
        <v>0</v>
      </c>
      <c r="M42" s="221" t="str">
        <f t="shared" si="10"/>
        <v/>
      </c>
      <c r="N42" s="222">
        <f t="shared" si="6"/>
        <v>0</v>
      </c>
      <c r="O42" s="223">
        <f>IF(N42=0,0,IF(SUM($N$5:N42)&gt;251,1,0))</f>
        <v>0</v>
      </c>
      <c r="P42" s="408">
        <v>25</v>
      </c>
      <c r="Q42" s="409">
        <v>0</v>
      </c>
      <c r="R42" s="224"/>
      <c r="S42" s="411" t="s">
        <v>672</v>
      </c>
      <c r="T42" s="225" t="s">
        <v>697</v>
      </c>
      <c r="U42" s="226" t="s">
        <v>698</v>
      </c>
      <c r="V42" s="413" t="s">
        <v>695</v>
      </c>
      <c r="W42" s="225" t="s">
        <v>697</v>
      </c>
      <c r="X42" s="226" t="s">
        <v>698</v>
      </c>
      <c r="Y42" s="413" t="s">
        <v>696</v>
      </c>
      <c r="Z42" s="225" t="s">
        <v>699</v>
      </c>
      <c r="AA42" s="226" t="s">
        <v>698</v>
      </c>
      <c r="AB42" s="413"/>
      <c r="AC42" s="225">
        <f t="shared" si="22"/>
        <v>0</v>
      </c>
      <c r="AD42" s="226">
        <f t="shared" si="14"/>
        <v>0</v>
      </c>
      <c r="AE42" s="413"/>
      <c r="AF42" s="225">
        <f t="shared" si="23"/>
        <v>0</v>
      </c>
      <c r="AG42" s="226">
        <f t="shared" si="15"/>
        <v>0</v>
      </c>
      <c r="AH42" s="413"/>
      <c r="AI42" s="225">
        <f t="shared" si="24"/>
        <v>0</v>
      </c>
      <c r="AJ42" s="226">
        <f t="shared" si="16"/>
        <v>0</v>
      </c>
      <c r="AK42" s="413"/>
      <c r="AL42" s="225">
        <f t="shared" si="25"/>
        <v>0</v>
      </c>
      <c r="AM42" s="226">
        <f t="shared" si="17"/>
        <v>0</v>
      </c>
      <c r="AN42" s="462" t="str">
        <f t="shared" si="18"/>
        <v/>
      </c>
      <c r="AO42" s="416" t="str">
        <f t="shared" si="7"/>
        <v/>
      </c>
      <c r="AP42" s="416" t="str">
        <f t="shared" si="8"/>
        <v/>
      </c>
      <c r="AQ42" s="416" t="str">
        <f t="shared" si="9"/>
        <v/>
      </c>
      <c r="AR42" s="416" t="str">
        <f t="shared" si="19"/>
        <v/>
      </c>
    </row>
    <row r="43" spans="1:45" ht="14.25">
      <c r="A43" s="830"/>
      <c r="B43" s="99" t="s">
        <v>259</v>
      </c>
      <c r="C43" s="466" t="s">
        <v>187</v>
      </c>
      <c r="D43" s="125" t="s">
        <v>24</v>
      </c>
      <c r="E43" s="126">
        <v>0.58333333333333337</v>
      </c>
      <c r="F43" s="126">
        <v>0.79166666666666663</v>
      </c>
      <c r="G43" s="217">
        <f t="shared" si="0"/>
        <v>0.20833333333333326</v>
      </c>
      <c r="H43" s="218">
        <f t="shared" si="1"/>
        <v>0</v>
      </c>
      <c r="I43" s="96">
        <f t="shared" si="2"/>
        <v>0</v>
      </c>
      <c r="J43" s="219">
        <f t="shared" si="3"/>
        <v>0</v>
      </c>
      <c r="K43" s="220">
        <f t="shared" si="4"/>
        <v>0</v>
      </c>
      <c r="L43" s="100">
        <f t="shared" si="5"/>
        <v>0</v>
      </c>
      <c r="M43" s="221" t="str">
        <f t="shared" si="10"/>
        <v/>
      </c>
      <c r="N43" s="222">
        <f t="shared" si="6"/>
        <v>0</v>
      </c>
      <c r="O43" s="223">
        <f>IF(N43=0,0,IF(SUM($N$5:N43)&gt;251,1,0))</f>
        <v>0</v>
      </c>
      <c r="P43" s="408">
        <v>25</v>
      </c>
      <c r="Q43" s="409">
        <v>1</v>
      </c>
      <c r="R43" s="224"/>
      <c r="S43" s="411" t="s">
        <v>672</v>
      </c>
      <c r="T43" s="225" t="s">
        <v>697</v>
      </c>
      <c r="U43" s="226" t="s">
        <v>698</v>
      </c>
      <c r="V43" s="413" t="s">
        <v>695</v>
      </c>
      <c r="W43" s="225" t="s">
        <v>697</v>
      </c>
      <c r="X43" s="226" t="s">
        <v>698</v>
      </c>
      <c r="Y43" s="413" t="s">
        <v>696</v>
      </c>
      <c r="Z43" s="225" t="s">
        <v>699</v>
      </c>
      <c r="AA43" s="226" t="s">
        <v>698</v>
      </c>
      <c r="AB43" s="413" t="s">
        <v>700</v>
      </c>
      <c r="AC43" s="225" t="str">
        <f t="shared" si="22"/>
        <v>事務員等</v>
      </c>
      <c r="AD43" s="226" t="str">
        <f t="shared" si="14"/>
        <v>対象</v>
      </c>
      <c r="AE43" s="413"/>
      <c r="AF43" s="225">
        <f t="shared" si="23"/>
        <v>0</v>
      </c>
      <c r="AG43" s="226">
        <f t="shared" si="15"/>
        <v>0</v>
      </c>
      <c r="AH43" s="413"/>
      <c r="AI43" s="225">
        <f t="shared" si="24"/>
        <v>0</v>
      </c>
      <c r="AJ43" s="226">
        <f t="shared" si="16"/>
        <v>0</v>
      </c>
      <c r="AK43" s="413"/>
      <c r="AL43" s="225">
        <f t="shared" si="25"/>
        <v>0</v>
      </c>
      <c r="AM43" s="226">
        <f t="shared" si="17"/>
        <v>0</v>
      </c>
      <c r="AN43" s="462" t="str">
        <f t="shared" si="18"/>
        <v/>
      </c>
      <c r="AO43" s="416" t="str">
        <f t="shared" si="7"/>
        <v/>
      </c>
      <c r="AP43" s="416" t="str">
        <f t="shared" si="8"/>
        <v/>
      </c>
      <c r="AQ43" s="416" t="str">
        <f t="shared" si="9"/>
        <v/>
      </c>
      <c r="AR43" s="416" t="str">
        <f t="shared" si="19"/>
        <v/>
      </c>
    </row>
    <row r="44" spans="1:45" ht="14.25">
      <c r="A44" s="830"/>
      <c r="B44" s="99" t="s">
        <v>260</v>
      </c>
      <c r="C44" s="466" t="s">
        <v>183</v>
      </c>
      <c r="D44" s="125" t="s">
        <v>24</v>
      </c>
      <c r="E44" s="126">
        <v>0.58333333333333337</v>
      </c>
      <c r="F44" s="126">
        <v>0.79166666666666663</v>
      </c>
      <c r="G44" s="217">
        <f t="shared" si="0"/>
        <v>0.20833333333333326</v>
      </c>
      <c r="H44" s="218">
        <f t="shared" si="1"/>
        <v>0</v>
      </c>
      <c r="I44" s="96">
        <f t="shared" si="2"/>
        <v>0</v>
      </c>
      <c r="J44" s="219">
        <f t="shared" si="3"/>
        <v>0</v>
      </c>
      <c r="K44" s="220">
        <f t="shared" si="4"/>
        <v>0</v>
      </c>
      <c r="L44" s="100">
        <f t="shared" si="5"/>
        <v>0</v>
      </c>
      <c r="M44" s="221" t="str">
        <f t="shared" si="10"/>
        <v/>
      </c>
      <c r="N44" s="222">
        <f t="shared" si="6"/>
        <v>0</v>
      </c>
      <c r="O44" s="223">
        <f>IF(N44=0,0,IF(SUM($N$5:N44)&gt;251,1,0))</f>
        <v>0</v>
      </c>
      <c r="P44" s="408">
        <v>25</v>
      </c>
      <c r="Q44" s="409">
        <v>0</v>
      </c>
      <c r="R44" s="224"/>
      <c r="S44" s="411" t="s">
        <v>672</v>
      </c>
      <c r="T44" s="225" t="s">
        <v>697</v>
      </c>
      <c r="U44" s="226" t="s">
        <v>698</v>
      </c>
      <c r="V44" s="413" t="s">
        <v>695</v>
      </c>
      <c r="W44" s="225" t="s">
        <v>697</v>
      </c>
      <c r="X44" s="226" t="s">
        <v>698</v>
      </c>
      <c r="Y44" s="413" t="s">
        <v>696</v>
      </c>
      <c r="Z44" s="225" t="s">
        <v>699</v>
      </c>
      <c r="AA44" s="226" t="s">
        <v>698</v>
      </c>
      <c r="AB44" s="413"/>
      <c r="AC44" s="225">
        <f t="shared" si="22"/>
        <v>0</v>
      </c>
      <c r="AD44" s="226">
        <f t="shared" si="14"/>
        <v>0</v>
      </c>
      <c r="AE44" s="413"/>
      <c r="AF44" s="225">
        <f t="shared" si="23"/>
        <v>0</v>
      </c>
      <c r="AG44" s="226">
        <f t="shared" si="15"/>
        <v>0</v>
      </c>
      <c r="AH44" s="413"/>
      <c r="AI44" s="225">
        <f t="shared" si="24"/>
        <v>0</v>
      </c>
      <c r="AJ44" s="226">
        <f t="shared" si="16"/>
        <v>0</v>
      </c>
      <c r="AK44" s="413"/>
      <c r="AL44" s="225">
        <f t="shared" si="25"/>
        <v>0</v>
      </c>
      <c r="AM44" s="226">
        <f t="shared" si="17"/>
        <v>0</v>
      </c>
      <c r="AN44" s="462" t="str">
        <f t="shared" si="18"/>
        <v/>
      </c>
      <c r="AO44" s="416" t="str">
        <f t="shared" si="7"/>
        <v/>
      </c>
      <c r="AP44" s="416" t="str">
        <f t="shared" si="8"/>
        <v/>
      </c>
      <c r="AQ44" s="416" t="str">
        <f t="shared" si="9"/>
        <v/>
      </c>
      <c r="AR44" s="416" t="str">
        <f t="shared" si="19"/>
        <v/>
      </c>
    </row>
    <row r="45" spans="1:45" ht="14.25">
      <c r="A45" s="830"/>
      <c r="B45" s="99" t="s">
        <v>261</v>
      </c>
      <c r="C45" s="466" t="s">
        <v>184</v>
      </c>
      <c r="D45" s="125" t="s">
        <v>24</v>
      </c>
      <c r="E45" s="126">
        <v>0.58333333333333337</v>
      </c>
      <c r="F45" s="126">
        <v>0.79166666666666663</v>
      </c>
      <c r="G45" s="217">
        <f t="shared" si="0"/>
        <v>0.20833333333333326</v>
      </c>
      <c r="H45" s="218">
        <f t="shared" si="1"/>
        <v>0</v>
      </c>
      <c r="I45" s="96">
        <f t="shared" si="2"/>
        <v>0</v>
      </c>
      <c r="J45" s="219">
        <f t="shared" si="3"/>
        <v>0</v>
      </c>
      <c r="K45" s="220">
        <f t="shared" si="4"/>
        <v>0</v>
      </c>
      <c r="L45" s="100">
        <f t="shared" si="5"/>
        <v>0</v>
      </c>
      <c r="M45" s="221" t="str">
        <f t="shared" si="10"/>
        <v/>
      </c>
      <c r="N45" s="222">
        <f t="shared" si="6"/>
        <v>0</v>
      </c>
      <c r="O45" s="223">
        <f>IF(N45=0,0,IF(SUM($N$5:N45)&gt;251,1,0))</f>
        <v>0</v>
      </c>
      <c r="P45" s="408">
        <v>24</v>
      </c>
      <c r="Q45" s="409">
        <v>1</v>
      </c>
      <c r="R45" s="224"/>
      <c r="S45" s="411" t="s">
        <v>672</v>
      </c>
      <c r="T45" s="225" t="s">
        <v>697</v>
      </c>
      <c r="U45" s="226" t="s">
        <v>698</v>
      </c>
      <c r="V45" s="413" t="s">
        <v>695</v>
      </c>
      <c r="W45" s="225" t="s">
        <v>697</v>
      </c>
      <c r="X45" s="226" t="s">
        <v>698</v>
      </c>
      <c r="Y45" s="413" t="s">
        <v>696</v>
      </c>
      <c r="Z45" s="225" t="s">
        <v>699</v>
      </c>
      <c r="AA45" s="226" t="s">
        <v>698</v>
      </c>
      <c r="AB45" s="413"/>
      <c r="AC45" s="225">
        <f t="shared" si="22"/>
        <v>0</v>
      </c>
      <c r="AD45" s="226">
        <f t="shared" si="14"/>
        <v>0</v>
      </c>
      <c r="AE45" s="413"/>
      <c r="AF45" s="225">
        <f t="shared" si="23"/>
        <v>0</v>
      </c>
      <c r="AG45" s="226">
        <f t="shared" si="15"/>
        <v>0</v>
      </c>
      <c r="AH45" s="413"/>
      <c r="AI45" s="225">
        <f t="shared" si="24"/>
        <v>0</v>
      </c>
      <c r="AJ45" s="226">
        <f t="shared" si="16"/>
        <v>0</v>
      </c>
      <c r="AK45" s="413"/>
      <c r="AL45" s="225">
        <f t="shared" si="25"/>
        <v>0</v>
      </c>
      <c r="AM45" s="226">
        <f t="shared" si="17"/>
        <v>0</v>
      </c>
      <c r="AN45" s="462" t="str">
        <f t="shared" si="18"/>
        <v/>
      </c>
      <c r="AO45" s="416" t="str">
        <f t="shared" si="7"/>
        <v/>
      </c>
      <c r="AP45" s="416" t="str">
        <f t="shared" si="8"/>
        <v/>
      </c>
      <c r="AQ45" s="416" t="str">
        <f t="shared" si="9"/>
        <v/>
      </c>
      <c r="AR45" s="416" t="str">
        <f t="shared" si="19"/>
        <v/>
      </c>
    </row>
    <row r="46" spans="1:45" ht="14.25">
      <c r="A46" s="830"/>
      <c r="B46" s="99" t="s">
        <v>263</v>
      </c>
      <c r="C46" s="466" t="s">
        <v>185</v>
      </c>
      <c r="D46" s="125" t="s">
        <v>24</v>
      </c>
      <c r="E46" s="126">
        <v>0.58333333333333337</v>
      </c>
      <c r="F46" s="126">
        <v>0.79166666666666663</v>
      </c>
      <c r="G46" s="217">
        <f t="shared" si="0"/>
        <v>0.20833333333333326</v>
      </c>
      <c r="H46" s="218">
        <f t="shared" si="1"/>
        <v>0</v>
      </c>
      <c r="I46" s="96">
        <f t="shared" si="2"/>
        <v>0</v>
      </c>
      <c r="J46" s="219">
        <f t="shared" si="3"/>
        <v>0</v>
      </c>
      <c r="K46" s="220">
        <f t="shared" si="4"/>
        <v>0</v>
      </c>
      <c r="L46" s="100">
        <f t="shared" si="5"/>
        <v>0</v>
      </c>
      <c r="M46" s="221" t="str">
        <f t="shared" si="10"/>
        <v/>
      </c>
      <c r="N46" s="222">
        <f t="shared" si="6"/>
        <v>0</v>
      </c>
      <c r="O46" s="223">
        <f>IF(N46=0,0,IF(SUM($N$5:N46)&gt;251,1,0))</f>
        <v>0</v>
      </c>
      <c r="P46" s="408">
        <v>19</v>
      </c>
      <c r="Q46" s="409">
        <v>1</v>
      </c>
      <c r="R46" s="224"/>
      <c r="S46" s="411" t="s">
        <v>672</v>
      </c>
      <c r="T46" s="225" t="s">
        <v>697</v>
      </c>
      <c r="U46" s="226" t="s">
        <v>698</v>
      </c>
      <c r="V46" s="413" t="s">
        <v>695</v>
      </c>
      <c r="W46" s="225" t="s">
        <v>697</v>
      </c>
      <c r="X46" s="226" t="s">
        <v>698</v>
      </c>
      <c r="Y46" s="413" t="s">
        <v>696</v>
      </c>
      <c r="Z46" s="225" t="s">
        <v>699</v>
      </c>
      <c r="AA46" s="226" t="s">
        <v>698</v>
      </c>
      <c r="AB46" s="413"/>
      <c r="AC46" s="225">
        <f t="shared" si="22"/>
        <v>0</v>
      </c>
      <c r="AD46" s="226">
        <f t="shared" si="14"/>
        <v>0</v>
      </c>
      <c r="AE46" s="413"/>
      <c r="AF46" s="225">
        <f t="shared" si="23"/>
        <v>0</v>
      </c>
      <c r="AG46" s="226">
        <f t="shared" si="15"/>
        <v>0</v>
      </c>
      <c r="AH46" s="413"/>
      <c r="AI46" s="225">
        <f t="shared" si="24"/>
        <v>0</v>
      </c>
      <c r="AJ46" s="226">
        <f t="shared" si="16"/>
        <v>0</v>
      </c>
      <c r="AK46" s="413"/>
      <c r="AL46" s="225">
        <f t="shared" si="25"/>
        <v>0</v>
      </c>
      <c r="AM46" s="226">
        <f t="shared" si="17"/>
        <v>0</v>
      </c>
      <c r="AN46" s="462" t="str">
        <f t="shared" si="18"/>
        <v/>
      </c>
      <c r="AO46" s="416" t="str">
        <f t="shared" si="7"/>
        <v/>
      </c>
      <c r="AP46" s="416" t="str">
        <f t="shared" si="8"/>
        <v/>
      </c>
      <c r="AQ46" s="416" t="str">
        <f t="shared" si="9"/>
        <v/>
      </c>
      <c r="AR46" s="416" t="str">
        <f t="shared" si="19"/>
        <v/>
      </c>
    </row>
    <row r="47" spans="1:45" ht="14.25">
      <c r="A47" s="830"/>
      <c r="B47" s="99" t="s">
        <v>264</v>
      </c>
      <c r="C47" s="466" t="s">
        <v>186</v>
      </c>
      <c r="D47" s="125" t="s">
        <v>249</v>
      </c>
      <c r="E47" s="126">
        <v>0.375</v>
      </c>
      <c r="F47" s="126">
        <v>0.75</v>
      </c>
      <c r="G47" s="217">
        <f t="shared" si="0"/>
        <v>0.375</v>
      </c>
      <c r="H47" s="218">
        <f t="shared" si="1"/>
        <v>0</v>
      </c>
      <c r="I47" s="96">
        <f t="shared" si="2"/>
        <v>0</v>
      </c>
      <c r="J47" s="219">
        <f t="shared" si="3"/>
        <v>0</v>
      </c>
      <c r="K47" s="220">
        <f t="shared" si="4"/>
        <v>4.1666666666666685E-2</v>
      </c>
      <c r="L47" s="100">
        <f t="shared" si="5"/>
        <v>1</v>
      </c>
      <c r="M47" s="221" t="str">
        <f t="shared" si="10"/>
        <v/>
      </c>
      <c r="N47" s="222">
        <f t="shared" si="6"/>
        <v>1</v>
      </c>
      <c r="O47" s="223">
        <f>IF(N47=0,0,IF(SUM($N$5:N47)&gt;251,1,0))</f>
        <v>0</v>
      </c>
      <c r="P47" s="408">
        <v>1</v>
      </c>
      <c r="Q47" s="409">
        <v>0</v>
      </c>
      <c r="R47" s="224"/>
      <c r="S47" s="411" t="s">
        <v>672</v>
      </c>
      <c r="T47" s="225" t="s">
        <v>697</v>
      </c>
      <c r="U47" s="226" t="s">
        <v>698</v>
      </c>
      <c r="V47" s="413" t="s">
        <v>695</v>
      </c>
      <c r="W47" s="225" t="s">
        <v>697</v>
      </c>
      <c r="X47" s="226" t="s">
        <v>698</v>
      </c>
      <c r="Y47" s="413" t="s">
        <v>696</v>
      </c>
      <c r="Z47" s="225" t="s">
        <v>699</v>
      </c>
      <c r="AA47" s="226" t="s">
        <v>698</v>
      </c>
      <c r="AB47" s="413"/>
      <c r="AC47" s="225">
        <f t="shared" si="22"/>
        <v>0</v>
      </c>
      <c r="AD47" s="226">
        <f t="shared" si="14"/>
        <v>0</v>
      </c>
      <c r="AE47" s="413"/>
      <c r="AF47" s="225">
        <f t="shared" si="23"/>
        <v>0</v>
      </c>
      <c r="AG47" s="226">
        <f t="shared" si="15"/>
        <v>0</v>
      </c>
      <c r="AH47" s="413"/>
      <c r="AI47" s="225">
        <f t="shared" si="24"/>
        <v>0</v>
      </c>
      <c r="AJ47" s="226">
        <f t="shared" si="16"/>
        <v>0</v>
      </c>
      <c r="AK47" s="413"/>
      <c r="AL47" s="225">
        <f t="shared" si="25"/>
        <v>0</v>
      </c>
      <c r="AM47" s="226">
        <f t="shared" si="17"/>
        <v>0</v>
      </c>
      <c r="AN47" s="462" t="str">
        <f t="shared" si="18"/>
        <v/>
      </c>
      <c r="AO47" s="416" t="str">
        <f t="shared" si="7"/>
        <v/>
      </c>
      <c r="AP47" s="416" t="str">
        <f t="shared" si="8"/>
        <v/>
      </c>
      <c r="AQ47" s="416" t="str">
        <f t="shared" si="9"/>
        <v/>
      </c>
      <c r="AR47" s="416" t="str">
        <f t="shared" si="19"/>
        <v/>
      </c>
    </row>
    <row r="48" spans="1:45" ht="14.25">
      <c r="A48" s="830"/>
      <c r="B48" s="99" t="s">
        <v>265</v>
      </c>
      <c r="C48" s="466" t="s">
        <v>262</v>
      </c>
      <c r="D48" s="125" t="s">
        <v>251</v>
      </c>
      <c r="E48" s="126"/>
      <c r="F48" s="126"/>
      <c r="G48" s="217">
        <f t="shared" si="0"/>
        <v>0</v>
      </c>
      <c r="H48" s="218">
        <f t="shared" si="1"/>
        <v>0</v>
      </c>
      <c r="I48" s="96">
        <f t="shared" si="2"/>
        <v>0</v>
      </c>
      <c r="J48" s="219">
        <f t="shared" si="3"/>
        <v>0</v>
      </c>
      <c r="K48" s="220">
        <f t="shared" si="4"/>
        <v>0</v>
      </c>
      <c r="L48" s="100">
        <f t="shared" si="5"/>
        <v>0</v>
      </c>
      <c r="M48" s="221" t="str">
        <f t="shared" si="10"/>
        <v/>
      </c>
      <c r="N48" s="222">
        <f t="shared" si="6"/>
        <v>0</v>
      </c>
      <c r="O48" s="223">
        <f>IF(N48=0,0,IF(SUM($N$5:N48)&gt;251,1,0))</f>
        <v>0</v>
      </c>
      <c r="P48" s="408"/>
      <c r="Q48" s="409"/>
      <c r="R48" s="224"/>
      <c r="S48" s="411"/>
      <c r="T48" s="225">
        <f t="shared" si="26"/>
        <v>0</v>
      </c>
      <c r="U48" s="226">
        <f t="shared" si="11"/>
        <v>0</v>
      </c>
      <c r="V48" s="413"/>
      <c r="W48" s="225">
        <f t="shared" si="27"/>
        <v>0</v>
      </c>
      <c r="X48" s="226">
        <f t="shared" si="12"/>
        <v>0</v>
      </c>
      <c r="Y48" s="413"/>
      <c r="Z48" s="225">
        <f t="shared" si="28"/>
        <v>0</v>
      </c>
      <c r="AA48" s="226">
        <f t="shared" si="13"/>
        <v>0</v>
      </c>
      <c r="AB48" s="413"/>
      <c r="AC48" s="225">
        <f t="shared" si="22"/>
        <v>0</v>
      </c>
      <c r="AD48" s="226">
        <f t="shared" si="14"/>
        <v>0</v>
      </c>
      <c r="AE48" s="413"/>
      <c r="AF48" s="225">
        <f t="shared" si="23"/>
        <v>0</v>
      </c>
      <c r="AG48" s="226">
        <f t="shared" si="15"/>
        <v>0</v>
      </c>
      <c r="AH48" s="413"/>
      <c r="AI48" s="225">
        <f t="shared" si="24"/>
        <v>0</v>
      </c>
      <c r="AJ48" s="226">
        <f t="shared" si="16"/>
        <v>0</v>
      </c>
      <c r="AK48" s="413"/>
      <c r="AL48" s="225">
        <f t="shared" si="25"/>
        <v>0</v>
      </c>
      <c r="AM48" s="226">
        <f t="shared" si="17"/>
        <v>0</v>
      </c>
      <c r="AN48" s="462" t="str">
        <f t="shared" si="18"/>
        <v/>
      </c>
      <c r="AO48" s="416" t="str">
        <f t="shared" si="7"/>
        <v/>
      </c>
      <c r="AP48" s="416" t="str">
        <f t="shared" si="8"/>
        <v/>
      </c>
      <c r="AQ48" s="416" t="str">
        <f t="shared" si="9"/>
        <v/>
      </c>
      <c r="AR48" s="416" t="str">
        <f t="shared" si="19"/>
        <v/>
      </c>
    </row>
    <row r="49" spans="1:44" ht="14.25">
      <c r="A49" s="830"/>
      <c r="B49" s="99" t="s">
        <v>266</v>
      </c>
      <c r="C49" s="466" t="s">
        <v>182</v>
      </c>
      <c r="D49" s="125" t="s">
        <v>24</v>
      </c>
      <c r="E49" s="126">
        <v>0.58333333333333337</v>
      </c>
      <c r="F49" s="126">
        <v>0.79166666666666663</v>
      </c>
      <c r="G49" s="217">
        <f t="shared" si="0"/>
        <v>0.20833333333333326</v>
      </c>
      <c r="H49" s="218">
        <f t="shared" si="1"/>
        <v>0</v>
      </c>
      <c r="I49" s="96">
        <f t="shared" si="2"/>
        <v>0</v>
      </c>
      <c r="J49" s="219">
        <f t="shared" si="3"/>
        <v>0</v>
      </c>
      <c r="K49" s="220">
        <f t="shared" si="4"/>
        <v>0</v>
      </c>
      <c r="L49" s="100">
        <f t="shared" si="5"/>
        <v>0</v>
      </c>
      <c r="M49" s="221" t="str">
        <f t="shared" si="10"/>
        <v/>
      </c>
      <c r="N49" s="222">
        <f t="shared" si="6"/>
        <v>0</v>
      </c>
      <c r="O49" s="223">
        <f>IF(N49=0,0,IF(SUM($N$5:N49)&gt;251,1,0))</f>
        <v>0</v>
      </c>
      <c r="P49" s="408">
        <v>21</v>
      </c>
      <c r="Q49" s="409">
        <v>0</v>
      </c>
      <c r="R49" s="224"/>
      <c r="S49" s="411" t="s">
        <v>672</v>
      </c>
      <c r="T49" s="225" t="s">
        <v>697</v>
      </c>
      <c r="U49" s="226" t="s">
        <v>698</v>
      </c>
      <c r="V49" s="413" t="s">
        <v>695</v>
      </c>
      <c r="W49" s="225" t="s">
        <v>697</v>
      </c>
      <c r="X49" s="226" t="s">
        <v>698</v>
      </c>
      <c r="Y49" s="413" t="s">
        <v>696</v>
      </c>
      <c r="Z49" s="225" t="s">
        <v>699</v>
      </c>
      <c r="AA49" s="226" t="s">
        <v>698</v>
      </c>
      <c r="AB49" s="413" t="s">
        <v>696</v>
      </c>
      <c r="AC49" s="225" t="str">
        <f t="shared" si="22"/>
        <v>補助員</v>
      </c>
      <c r="AD49" s="226" t="str">
        <f t="shared" si="14"/>
        <v>対象</v>
      </c>
      <c r="AE49" s="413"/>
      <c r="AF49" s="225">
        <f t="shared" si="23"/>
        <v>0</v>
      </c>
      <c r="AG49" s="226">
        <f t="shared" si="15"/>
        <v>0</v>
      </c>
      <c r="AH49" s="413"/>
      <c r="AI49" s="225">
        <f t="shared" si="24"/>
        <v>0</v>
      </c>
      <c r="AJ49" s="226">
        <f t="shared" si="16"/>
        <v>0</v>
      </c>
      <c r="AK49" s="413"/>
      <c r="AL49" s="225">
        <f t="shared" si="25"/>
        <v>0</v>
      </c>
      <c r="AM49" s="226">
        <f t="shared" si="17"/>
        <v>0</v>
      </c>
      <c r="AN49" s="462" t="str">
        <f t="shared" si="18"/>
        <v/>
      </c>
      <c r="AO49" s="416" t="str">
        <f t="shared" si="7"/>
        <v/>
      </c>
      <c r="AP49" s="416" t="str">
        <f t="shared" si="8"/>
        <v/>
      </c>
      <c r="AQ49" s="416" t="str">
        <f t="shared" si="9"/>
        <v/>
      </c>
      <c r="AR49" s="416" t="str">
        <f t="shared" si="19"/>
        <v/>
      </c>
    </row>
    <row r="50" spans="1:44" ht="14.25">
      <c r="A50" s="830"/>
      <c r="B50" s="99" t="s">
        <v>267</v>
      </c>
      <c r="C50" s="466" t="s">
        <v>187</v>
      </c>
      <c r="D50" s="125" t="s">
        <v>24</v>
      </c>
      <c r="E50" s="126">
        <v>0.58333333333333337</v>
      </c>
      <c r="F50" s="126">
        <v>0.79166666666666663</v>
      </c>
      <c r="G50" s="217">
        <f t="shared" si="0"/>
        <v>0.20833333333333326</v>
      </c>
      <c r="H50" s="218">
        <f t="shared" si="1"/>
        <v>0</v>
      </c>
      <c r="I50" s="96">
        <f t="shared" si="2"/>
        <v>0</v>
      </c>
      <c r="J50" s="219">
        <f t="shared" si="3"/>
        <v>0</v>
      </c>
      <c r="K50" s="220">
        <f t="shared" si="4"/>
        <v>0</v>
      </c>
      <c r="L50" s="100">
        <f t="shared" si="5"/>
        <v>0</v>
      </c>
      <c r="M50" s="221" t="str">
        <f t="shared" si="10"/>
        <v/>
      </c>
      <c r="N50" s="222">
        <f t="shared" si="6"/>
        <v>0</v>
      </c>
      <c r="O50" s="223">
        <f>IF(N50=0,0,IF(SUM($N$5:N50)&gt;251,1,0))</f>
        <v>0</v>
      </c>
      <c r="P50" s="408">
        <v>23</v>
      </c>
      <c r="Q50" s="409">
        <v>0</v>
      </c>
      <c r="R50" s="224"/>
      <c r="S50" s="411" t="s">
        <v>672</v>
      </c>
      <c r="T50" s="225" t="s">
        <v>697</v>
      </c>
      <c r="U50" s="226" t="s">
        <v>698</v>
      </c>
      <c r="V50" s="413" t="s">
        <v>695</v>
      </c>
      <c r="W50" s="225" t="s">
        <v>697</v>
      </c>
      <c r="X50" s="226" t="s">
        <v>698</v>
      </c>
      <c r="Y50" s="413" t="s">
        <v>696</v>
      </c>
      <c r="Z50" s="225" t="s">
        <v>699</v>
      </c>
      <c r="AA50" s="226" t="s">
        <v>698</v>
      </c>
      <c r="AB50" s="413"/>
      <c r="AC50" s="225">
        <f t="shared" si="22"/>
        <v>0</v>
      </c>
      <c r="AD50" s="226">
        <f t="shared" si="14"/>
        <v>0</v>
      </c>
      <c r="AE50" s="413"/>
      <c r="AF50" s="225">
        <f t="shared" si="23"/>
        <v>0</v>
      </c>
      <c r="AG50" s="226">
        <f t="shared" si="15"/>
        <v>0</v>
      </c>
      <c r="AH50" s="413"/>
      <c r="AI50" s="225">
        <f t="shared" si="24"/>
        <v>0</v>
      </c>
      <c r="AJ50" s="226">
        <f t="shared" si="16"/>
        <v>0</v>
      </c>
      <c r="AK50" s="413"/>
      <c r="AL50" s="225">
        <f t="shared" si="25"/>
        <v>0</v>
      </c>
      <c r="AM50" s="226">
        <f t="shared" si="17"/>
        <v>0</v>
      </c>
      <c r="AN50" s="462" t="str">
        <f t="shared" si="18"/>
        <v/>
      </c>
      <c r="AO50" s="416" t="str">
        <f t="shared" si="7"/>
        <v/>
      </c>
      <c r="AP50" s="416" t="str">
        <f t="shared" si="8"/>
        <v/>
      </c>
      <c r="AQ50" s="416" t="str">
        <f t="shared" si="9"/>
        <v/>
      </c>
      <c r="AR50" s="416" t="str">
        <f t="shared" si="19"/>
        <v/>
      </c>
    </row>
    <row r="51" spans="1:44" ht="14.25">
      <c r="A51" s="830"/>
      <c r="B51" s="99" t="s">
        <v>268</v>
      </c>
      <c r="C51" s="466" t="s">
        <v>183</v>
      </c>
      <c r="D51" s="125" t="s">
        <v>24</v>
      </c>
      <c r="E51" s="126">
        <v>0.58333333333333337</v>
      </c>
      <c r="F51" s="126">
        <v>0.79166666666666663</v>
      </c>
      <c r="G51" s="217">
        <f t="shared" si="0"/>
        <v>0.20833333333333326</v>
      </c>
      <c r="H51" s="218">
        <f t="shared" si="1"/>
        <v>0</v>
      </c>
      <c r="I51" s="96">
        <f t="shared" si="2"/>
        <v>0</v>
      </c>
      <c r="J51" s="219">
        <f t="shared" si="3"/>
        <v>0</v>
      </c>
      <c r="K51" s="220">
        <f t="shared" si="4"/>
        <v>0</v>
      </c>
      <c r="L51" s="100">
        <f t="shared" si="5"/>
        <v>0</v>
      </c>
      <c r="M51" s="221" t="str">
        <f t="shared" si="10"/>
        <v/>
      </c>
      <c r="N51" s="222">
        <f t="shared" si="6"/>
        <v>0</v>
      </c>
      <c r="O51" s="223">
        <f>IF(N51=0,0,IF(SUM($N$5:N51)&gt;251,1,0))</f>
        <v>0</v>
      </c>
      <c r="P51" s="408">
        <v>29</v>
      </c>
      <c r="Q51" s="409">
        <v>1</v>
      </c>
      <c r="R51" s="224"/>
      <c r="S51" s="411" t="s">
        <v>672</v>
      </c>
      <c r="T51" s="225" t="s">
        <v>697</v>
      </c>
      <c r="U51" s="226" t="s">
        <v>698</v>
      </c>
      <c r="V51" s="413" t="s">
        <v>695</v>
      </c>
      <c r="W51" s="225" t="s">
        <v>697</v>
      </c>
      <c r="X51" s="226" t="s">
        <v>698</v>
      </c>
      <c r="Y51" s="413" t="s">
        <v>696</v>
      </c>
      <c r="Z51" s="225" t="s">
        <v>699</v>
      </c>
      <c r="AA51" s="226" t="s">
        <v>698</v>
      </c>
      <c r="AB51" s="413"/>
      <c r="AC51" s="225">
        <f t="shared" si="22"/>
        <v>0</v>
      </c>
      <c r="AD51" s="226">
        <f t="shared" si="14"/>
        <v>0</v>
      </c>
      <c r="AE51" s="413"/>
      <c r="AF51" s="225">
        <f t="shared" si="23"/>
        <v>0</v>
      </c>
      <c r="AG51" s="226">
        <f t="shared" si="15"/>
        <v>0</v>
      </c>
      <c r="AH51" s="413"/>
      <c r="AI51" s="225">
        <f t="shared" si="24"/>
        <v>0</v>
      </c>
      <c r="AJ51" s="226">
        <f t="shared" si="16"/>
        <v>0</v>
      </c>
      <c r="AK51" s="413"/>
      <c r="AL51" s="225">
        <f t="shared" si="25"/>
        <v>0</v>
      </c>
      <c r="AM51" s="226">
        <f t="shared" si="17"/>
        <v>0</v>
      </c>
      <c r="AN51" s="462" t="str">
        <f t="shared" si="18"/>
        <v/>
      </c>
      <c r="AO51" s="416" t="str">
        <f t="shared" si="7"/>
        <v/>
      </c>
      <c r="AP51" s="416" t="str">
        <f t="shared" si="8"/>
        <v/>
      </c>
      <c r="AQ51" s="416" t="str">
        <f t="shared" si="9"/>
        <v/>
      </c>
      <c r="AR51" s="416" t="str">
        <f t="shared" si="19"/>
        <v/>
      </c>
    </row>
    <row r="52" spans="1:44" ht="14.25">
      <c r="A52" s="830"/>
      <c r="B52" s="99" t="s">
        <v>269</v>
      </c>
      <c r="C52" s="466" t="s">
        <v>184</v>
      </c>
      <c r="D52" s="125" t="s">
        <v>24</v>
      </c>
      <c r="E52" s="126">
        <v>0.58333333333333337</v>
      </c>
      <c r="F52" s="126">
        <v>0.79166666666666663</v>
      </c>
      <c r="G52" s="217">
        <f t="shared" si="0"/>
        <v>0.20833333333333326</v>
      </c>
      <c r="H52" s="218">
        <f t="shared" si="1"/>
        <v>0</v>
      </c>
      <c r="I52" s="96">
        <f t="shared" si="2"/>
        <v>0</v>
      </c>
      <c r="J52" s="219">
        <f t="shared" si="3"/>
        <v>0</v>
      </c>
      <c r="K52" s="220">
        <f t="shared" si="4"/>
        <v>0</v>
      </c>
      <c r="L52" s="100">
        <f t="shared" si="5"/>
        <v>0</v>
      </c>
      <c r="M52" s="221" t="str">
        <f t="shared" si="10"/>
        <v/>
      </c>
      <c r="N52" s="222">
        <f t="shared" si="6"/>
        <v>0</v>
      </c>
      <c r="O52" s="223">
        <f>IF(N52=0,0,IF(SUM($N$5:N52)&gt;251,1,0))</f>
        <v>0</v>
      </c>
      <c r="P52" s="408">
        <v>27</v>
      </c>
      <c r="Q52" s="409">
        <v>0</v>
      </c>
      <c r="R52" s="224"/>
      <c r="S52" s="411" t="s">
        <v>672</v>
      </c>
      <c r="T52" s="225" t="s">
        <v>697</v>
      </c>
      <c r="U52" s="226" t="s">
        <v>698</v>
      </c>
      <c r="V52" s="413" t="s">
        <v>695</v>
      </c>
      <c r="W52" s="225" t="s">
        <v>697</v>
      </c>
      <c r="X52" s="226" t="s">
        <v>698</v>
      </c>
      <c r="Y52" s="413" t="s">
        <v>696</v>
      </c>
      <c r="Z52" s="225" t="s">
        <v>699</v>
      </c>
      <c r="AA52" s="226" t="s">
        <v>698</v>
      </c>
      <c r="AB52" s="413"/>
      <c r="AC52" s="225">
        <f t="shared" si="22"/>
        <v>0</v>
      </c>
      <c r="AD52" s="226">
        <f t="shared" si="14"/>
        <v>0</v>
      </c>
      <c r="AE52" s="413"/>
      <c r="AF52" s="225">
        <f t="shared" si="23"/>
        <v>0</v>
      </c>
      <c r="AG52" s="226">
        <f t="shared" si="15"/>
        <v>0</v>
      </c>
      <c r="AH52" s="413"/>
      <c r="AI52" s="225">
        <f t="shared" si="24"/>
        <v>0</v>
      </c>
      <c r="AJ52" s="226">
        <f t="shared" si="16"/>
        <v>0</v>
      </c>
      <c r="AK52" s="413"/>
      <c r="AL52" s="225">
        <f t="shared" si="25"/>
        <v>0</v>
      </c>
      <c r="AM52" s="226">
        <f t="shared" si="17"/>
        <v>0</v>
      </c>
      <c r="AN52" s="462" t="str">
        <f t="shared" si="18"/>
        <v/>
      </c>
      <c r="AO52" s="416" t="str">
        <f t="shared" si="7"/>
        <v/>
      </c>
      <c r="AP52" s="416" t="str">
        <f t="shared" si="8"/>
        <v/>
      </c>
      <c r="AQ52" s="416" t="str">
        <f t="shared" si="9"/>
        <v/>
      </c>
      <c r="AR52" s="416" t="str">
        <f t="shared" si="19"/>
        <v/>
      </c>
    </row>
    <row r="53" spans="1:44" ht="14.25">
      <c r="A53" s="830"/>
      <c r="B53" s="99" t="s">
        <v>270</v>
      </c>
      <c r="C53" s="466" t="s">
        <v>185</v>
      </c>
      <c r="D53" s="125" t="s">
        <v>24</v>
      </c>
      <c r="E53" s="126">
        <v>0.58333333333333337</v>
      </c>
      <c r="F53" s="126">
        <v>0.79166666666666663</v>
      </c>
      <c r="G53" s="217">
        <f t="shared" si="0"/>
        <v>0.20833333333333326</v>
      </c>
      <c r="H53" s="218">
        <f t="shared" si="1"/>
        <v>0</v>
      </c>
      <c r="I53" s="96">
        <f t="shared" si="2"/>
        <v>0</v>
      </c>
      <c r="J53" s="219">
        <f t="shared" si="3"/>
        <v>0</v>
      </c>
      <c r="K53" s="220">
        <f t="shared" si="4"/>
        <v>0</v>
      </c>
      <c r="L53" s="100">
        <f t="shared" si="5"/>
        <v>0</v>
      </c>
      <c r="M53" s="221" t="str">
        <f t="shared" si="10"/>
        <v/>
      </c>
      <c r="N53" s="222">
        <f t="shared" si="6"/>
        <v>0</v>
      </c>
      <c r="O53" s="223">
        <f>IF(N53=0,0,IF(SUM($N$5:N53)&gt;251,1,0))</f>
        <v>0</v>
      </c>
      <c r="P53" s="408">
        <v>21</v>
      </c>
      <c r="Q53" s="409">
        <v>1</v>
      </c>
      <c r="R53" s="224"/>
      <c r="S53" s="411" t="s">
        <v>672</v>
      </c>
      <c r="T53" s="225" t="s">
        <v>697</v>
      </c>
      <c r="U53" s="226" t="s">
        <v>698</v>
      </c>
      <c r="V53" s="413" t="s">
        <v>695</v>
      </c>
      <c r="W53" s="225" t="s">
        <v>697</v>
      </c>
      <c r="X53" s="226" t="s">
        <v>698</v>
      </c>
      <c r="Y53" s="413" t="s">
        <v>696</v>
      </c>
      <c r="Z53" s="225" t="s">
        <v>699</v>
      </c>
      <c r="AA53" s="226" t="s">
        <v>698</v>
      </c>
      <c r="AB53" s="413"/>
      <c r="AC53" s="225">
        <f t="shared" si="22"/>
        <v>0</v>
      </c>
      <c r="AD53" s="226">
        <f t="shared" si="14"/>
        <v>0</v>
      </c>
      <c r="AE53" s="413"/>
      <c r="AF53" s="225">
        <f t="shared" si="23"/>
        <v>0</v>
      </c>
      <c r="AG53" s="226">
        <f t="shared" si="15"/>
        <v>0</v>
      </c>
      <c r="AH53" s="413"/>
      <c r="AI53" s="225">
        <f t="shared" si="24"/>
        <v>0</v>
      </c>
      <c r="AJ53" s="226">
        <f t="shared" si="16"/>
        <v>0</v>
      </c>
      <c r="AK53" s="413"/>
      <c r="AL53" s="225">
        <f t="shared" si="25"/>
        <v>0</v>
      </c>
      <c r="AM53" s="226">
        <f t="shared" si="17"/>
        <v>0</v>
      </c>
      <c r="AN53" s="462" t="str">
        <f t="shared" si="18"/>
        <v/>
      </c>
      <c r="AO53" s="416" t="str">
        <f t="shared" si="7"/>
        <v/>
      </c>
      <c r="AP53" s="416" t="str">
        <f t="shared" si="8"/>
        <v/>
      </c>
      <c r="AQ53" s="416" t="str">
        <f t="shared" si="9"/>
        <v/>
      </c>
      <c r="AR53" s="416" t="str">
        <f t="shared" si="19"/>
        <v/>
      </c>
    </row>
    <row r="54" spans="1:44" ht="14.25">
      <c r="A54" s="830"/>
      <c r="B54" s="99" t="s">
        <v>271</v>
      </c>
      <c r="C54" s="466" t="s">
        <v>186</v>
      </c>
      <c r="D54" s="125" t="s">
        <v>249</v>
      </c>
      <c r="E54" s="126">
        <v>0.375</v>
      </c>
      <c r="F54" s="126">
        <v>0.75</v>
      </c>
      <c r="G54" s="217">
        <f t="shared" si="0"/>
        <v>0.375</v>
      </c>
      <c r="H54" s="218">
        <f t="shared" si="1"/>
        <v>0</v>
      </c>
      <c r="I54" s="96">
        <f t="shared" si="2"/>
        <v>0</v>
      </c>
      <c r="J54" s="219">
        <f t="shared" si="3"/>
        <v>0</v>
      </c>
      <c r="K54" s="220">
        <f t="shared" si="4"/>
        <v>4.1666666666666685E-2</v>
      </c>
      <c r="L54" s="100">
        <f t="shared" si="5"/>
        <v>1</v>
      </c>
      <c r="M54" s="221" t="str">
        <f t="shared" si="10"/>
        <v/>
      </c>
      <c r="N54" s="222">
        <f t="shared" si="6"/>
        <v>1</v>
      </c>
      <c r="O54" s="223">
        <f>IF(N54=0,0,IF(SUM($N$5:N54)&gt;251,1,0))</f>
        <v>0</v>
      </c>
      <c r="P54" s="408">
        <v>5</v>
      </c>
      <c r="Q54" s="409">
        <v>1</v>
      </c>
      <c r="R54" s="224"/>
      <c r="S54" s="411" t="s">
        <v>672</v>
      </c>
      <c r="T54" s="225" t="s">
        <v>697</v>
      </c>
      <c r="U54" s="226" t="s">
        <v>698</v>
      </c>
      <c r="V54" s="413" t="s">
        <v>695</v>
      </c>
      <c r="W54" s="225" t="s">
        <v>697</v>
      </c>
      <c r="X54" s="226" t="s">
        <v>698</v>
      </c>
      <c r="Y54" s="413" t="s">
        <v>696</v>
      </c>
      <c r="Z54" s="225" t="s">
        <v>699</v>
      </c>
      <c r="AA54" s="226" t="s">
        <v>698</v>
      </c>
      <c r="AB54" s="413"/>
      <c r="AC54" s="225">
        <f t="shared" si="22"/>
        <v>0</v>
      </c>
      <c r="AD54" s="226">
        <f t="shared" si="14"/>
        <v>0</v>
      </c>
      <c r="AE54" s="413"/>
      <c r="AF54" s="225">
        <f t="shared" si="23"/>
        <v>0</v>
      </c>
      <c r="AG54" s="226">
        <f t="shared" si="15"/>
        <v>0</v>
      </c>
      <c r="AH54" s="413"/>
      <c r="AI54" s="225">
        <f t="shared" si="24"/>
        <v>0</v>
      </c>
      <c r="AJ54" s="226">
        <f t="shared" si="16"/>
        <v>0</v>
      </c>
      <c r="AK54" s="413"/>
      <c r="AL54" s="225">
        <f t="shared" si="25"/>
        <v>0</v>
      </c>
      <c r="AM54" s="226">
        <f t="shared" si="17"/>
        <v>0</v>
      </c>
      <c r="AN54" s="462" t="str">
        <f t="shared" si="18"/>
        <v/>
      </c>
      <c r="AO54" s="416" t="str">
        <f t="shared" si="7"/>
        <v/>
      </c>
      <c r="AP54" s="416" t="str">
        <f t="shared" si="8"/>
        <v/>
      </c>
      <c r="AQ54" s="416" t="str">
        <f t="shared" si="9"/>
        <v/>
      </c>
      <c r="AR54" s="416" t="str">
        <f t="shared" si="19"/>
        <v/>
      </c>
    </row>
    <row r="55" spans="1:44" ht="14.25">
      <c r="A55" s="830"/>
      <c r="B55" s="99" t="s">
        <v>272</v>
      </c>
      <c r="C55" s="466" t="s">
        <v>262</v>
      </c>
      <c r="D55" s="125" t="s">
        <v>251</v>
      </c>
      <c r="E55" s="126"/>
      <c r="F55" s="126"/>
      <c r="G55" s="217">
        <f t="shared" si="0"/>
        <v>0</v>
      </c>
      <c r="H55" s="218">
        <f t="shared" si="1"/>
        <v>0</v>
      </c>
      <c r="I55" s="96">
        <f t="shared" si="2"/>
        <v>0</v>
      </c>
      <c r="J55" s="219">
        <f t="shared" si="3"/>
        <v>0</v>
      </c>
      <c r="K55" s="220">
        <f t="shared" si="4"/>
        <v>0</v>
      </c>
      <c r="L55" s="100">
        <f t="shared" si="5"/>
        <v>0</v>
      </c>
      <c r="M55" s="221" t="str">
        <f t="shared" si="10"/>
        <v/>
      </c>
      <c r="N55" s="222">
        <f t="shared" si="6"/>
        <v>0</v>
      </c>
      <c r="O55" s="223">
        <f>IF(N55=0,0,IF(SUM($N$5:N55)&gt;251,1,0))</f>
        <v>0</v>
      </c>
      <c r="P55" s="408"/>
      <c r="Q55" s="409"/>
      <c r="R55" s="224"/>
      <c r="S55" s="411"/>
      <c r="T55" s="225">
        <f t="shared" si="26"/>
        <v>0</v>
      </c>
      <c r="U55" s="226">
        <f t="shared" si="11"/>
        <v>0</v>
      </c>
      <c r="V55" s="413"/>
      <c r="W55" s="225">
        <f t="shared" si="27"/>
        <v>0</v>
      </c>
      <c r="X55" s="226">
        <f t="shared" si="12"/>
        <v>0</v>
      </c>
      <c r="Y55" s="413"/>
      <c r="Z55" s="225">
        <f t="shared" si="28"/>
        <v>0</v>
      </c>
      <c r="AA55" s="226">
        <f t="shared" si="13"/>
        <v>0</v>
      </c>
      <c r="AB55" s="413"/>
      <c r="AC55" s="225">
        <f t="shared" si="22"/>
        <v>0</v>
      </c>
      <c r="AD55" s="226">
        <f t="shared" si="14"/>
        <v>0</v>
      </c>
      <c r="AE55" s="413"/>
      <c r="AF55" s="225">
        <f t="shared" si="23"/>
        <v>0</v>
      </c>
      <c r="AG55" s="226">
        <f t="shared" si="15"/>
        <v>0</v>
      </c>
      <c r="AH55" s="413"/>
      <c r="AI55" s="225">
        <f t="shared" si="24"/>
        <v>0</v>
      </c>
      <c r="AJ55" s="226">
        <f t="shared" si="16"/>
        <v>0</v>
      </c>
      <c r="AK55" s="413"/>
      <c r="AL55" s="225">
        <f t="shared" si="25"/>
        <v>0</v>
      </c>
      <c r="AM55" s="226">
        <f t="shared" si="17"/>
        <v>0</v>
      </c>
      <c r="AN55" s="462" t="str">
        <f t="shared" si="18"/>
        <v/>
      </c>
      <c r="AO55" s="416" t="str">
        <f t="shared" si="7"/>
        <v/>
      </c>
      <c r="AP55" s="416" t="str">
        <f t="shared" si="8"/>
        <v/>
      </c>
      <c r="AQ55" s="416" t="str">
        <f t="shared" si="9"/>
        <v/>
      </c>
      <c r="AR55" s="416" t="str">
        <f t="shared" si="19"/>
        <v/>
      </c>
    </row>
    <row r="56" spans="1:44" ht="14.25">
      <c r="A56" s="830"/>
      <c r="B56" s="99" t="s">
        <v>273</v>
      </c>
      <c r="C56" s="466" t="s">
        <v>182</v>
      </c>
      <c r="D56" s="125" t="s">
        <v>24</v>
      </c>
      <c r="E56" s="126">
        <v>0.58333333333333337</v>
      </c>
      <c r="F56" s="126">
        <v>0.79166666666666663</v>
      </c>
      <c r="G56" s="217">
        <f t="shared" si="0"/>
        <v>0.20833333333333326</v>
      </c>
      <c r="H56" s="218">
        <f t="shared" si="1"/>
        <v>0</v>
      </c>
      <c r="I56" s="96">
        <f t="shared" si="2"/>
        <v>0</v>
      </c>
      <c r="J56" s="219">
        <f t="shared" si="3"/>
        <v>0</v>
      </c>
      <c r="K56" s="220">
        <f t="shared" si="4"/>
        <v>0</v>
      </c>
      <c r="L56" s="100">
        <f t="shared" si="5"/>
        <v>0</v>
      </c>
      <c r="M56" s="221" t="str">
        <f t="shared" si="10"/>
        <v/>
      </c>
      <c r="N56" s="222">
        <f t="shared" si="6"/>
        <v>0</v>
      </c>
      <c r="O56" s="223">
        <f>IF(N56=0,0,IF(SUM($N$5:N56)&gt;251,1,0))</f>
        <v>0</v>
      </c>
      <c r="P56" s="408">
        <v>25</v>
      </c>
      <c r="Q56" s="409">
        <v>1</v>
      </c>
      <c r="R56" s="224"/>
      <c r="S56" s="411" t="s">
        <v>672</v>
      </c>
      <c r="T56" s="225" t="s">
        <v>697</v>
      </c>
      <c r="U56" s="226" t="s">
        <v>698</v>
      </c>
      <c r="V56" s="413" t="s">
        <v>695</v>
      </c>
      <c r="W56" s="225" t="s">
        <v>697</v>
      </c>
      <c r="X56" s="226" t="s">
        <v>698</v>
      </c>
      <c r="Y56" s="413" t="s">
        <v>696</v>
      </c>
      <c r="Z56" s="225" t="s">
        <v>699</v>
      </c>
      <c r="AA56" s="226" t="s">
        <v>698</v>
      </c>
      <c r="AB56" s="413"/>
      <c r="AC56" s="225">
        <f t="shared" si="22"/>
        <v>0</v>
      </c>
      <c r="AD56" s="226">
        <f t="shared" si="14"/>
        <v>0</v>
      </c>
      <c r="AE56" s="413"/>
      <c r="AF56" s="225">
        <f t="shared" si="23"/>
        <v>0</v>
      </c>
      <c r="AG56" s="226">
        <f t="shared" si="15"/>
        <v>0</v>
      </c>
      <c r="AH56" s="413"/>
      <c r="AI56" s="225">
        <f t="shared" si="24"/>
        <v>0</v>
      </c>
      <c r="AJ56" s="226">
        <f t="shared" si="16"/>
        <v>0</v>
      </c>
      <c r="AK56" s="413"/>
      <c r="AL56" s="225">
        <f t="shared" si="25"/>
        <v>0</v>
      </c>
      <c r="AM56" s="226">
        <f t="shared" si="17"/>
        <v>0</v>
      </c>
      <c r="AN56" s="462" t="str">
        <f t="shared" si="18"/>
        <v/>
      </c>
      <c r="AO56" s="416" t="str">
        <f t="shared" si="7"/>
        <v/>
      </c>
      <c r="AP56" s="416" t="str">
        <f t="shared" si="8"/>
        <v/>
      </c>
      <c r="AQ56" s="416" t="str">
        <f t="shared" si="9"/>
        <v/>
      </c>
      <c r="AR56" s="416" t="str">
        <f t="shared" si="19"/>
        <v/>
      </c>
    </row>
    <row r="57" spans="1:44" ht="14.25">
      <c r="A57" s="830"/>
      <c r="B57" s="99" t="s">
        <v>274</v>
      </c>
      <c r="C57" s="466" t="s">
        <v>187</v>
      </c>
      <c r="D57" s="125" t="s">
        <v>24</v>
      </c>
      <c r="E57" s="126">
        <v>0.58333333333333337</v>
      </c>
      <c r="F57" s="126">
        <v>0.79166666666666663</v>
      </c>
      <c r="G57" s="217">
        <f t="shared" si="0"/>
        <v>0.20833333333333326</v>
      </c>
      <c r="H57" s="218">
        <f t="shared" si="1"/>
        <v>0</v>
      </c>
      <c r="I57" s="96">
        <f t="shared" si="2"/>
        <v>0</v>
      </c>
      <c r="J57" s="219">
        <f t="shared" si="3"/>
        <v>0</v>
      </c>
      <c r="K57" s="220">
        <f t="shared" si="4"/>
        <v>0</v>
      </c>
      <c r="L57" s="100">
        <f t="shared" si="5"/>
        <v>0</v>
      </c>
      <c r="M57" s="221" t="str">
        <f t="shared" si="10"/>
        <v/>
      </c>
      <c r="N57" s="222">
        <f t="shared" si="6"/>
        <v>0</v>
      </c>
      <c r="O57" s="223">
        <f>IF(N57=0,0,IF(SUM($N$5:N57)&gt;251,1,0))</f>
        <v>0</v>
      </c>
      <c r="P57" s="408">
        <v>20</v>
      </c>
      <c r="Q57" s="409">
        <v>1</v>
      </c>
      <c r="R57" s="224"/>
      <c r="S57" s="411" t="s">
        <v>672</v>
      </c>
      <c r="T57" s="225" t="s">
        <v>697</v>
      </c>
      <c r="U57" s="226" t="s">
        <v>698</v>
      </c>
      <c r="V57" s="413" t="s">
        <v>695</v>
      </c>
      <c r="W57" s="225" t="s">
        <v>697</v>
      </c>
      <c r="X57" s="226" t="s">
        <v>698</v>
      </c>
      <c r="Y57" s="413" t="s">
        <v>696</v>
      </c>
      <c r="Z57" s="225" t="s">
        <v>699</v>
      </c>
      <c r="AA57" s="226" t="s">
        <v>698</v>
      </c>
      <c r="AB57" s="413"/>
      <c r="AC57" s="225">
        <f t="shared" si="22"/>
        <v>0</v>
      </c>
      <c r="AD57" s="226">
        <f t="shared" si="14"/>
        <v>0</v>
      </c>
      <c r="AE57" s="413"/>
      <c r="AF57" s="225">
        <f t="shared" si="23"/>
        <v>0</v>
      </c>
      <c r="AG57" s="226">
        <f t="shared" si="15"/>
        <v>0</v>
      </c>
      <c r="AH57" s="413"/>
      <c r="AI57" s="225">
        <f t="shared" si="24"/>
        <v>0</v>
      </c>
      <c r="AJ57" s="226">
        <f t="shared" si="16"/>
        <v>0</v>
      </c>
      <c r="AK57" s="413"/>
      <c r="AL57" s="225">
        <f t="shared" si="25"/>
        <v>0</v>
      </c>
      <c r="AM57" s="226">
        <f t="shared" si="17"/>
        <v>0</v>
      </c>
      <c r="AN57" s="462" t="str">
        <f t="shared" si="18"/>
        <v/>
      </c>
      <c r="AO57" s="416" t="str">
        <f t="shared" si="7"/>
        <v/>
      </c>
      <c r="AP57" s="416" t="str">
        <f t="shared" si="8"/>
        <v/>
      </c>
      <c r="AQ57" s="416" t="str">
        <f t="shared" si="9"/>
        <v/>
      </c>
      <c r="AR57" s="416" t="str">
        <f t="shared" si="19"/>
        <v/>
      </c>
    </row>
    <row r="58" spans="1:44" ht="14.25">
      <c r="A58" s="830"/>
      <c r="B58" s="99" t="s">
        <v>275</v>
      </c>
      <c r="C58" s="466" t="s">
        <v>183</v>
      </c>
      <c r="D58" s="125" t="s">
        <v>24</v>
      </c>
      <c r="E58" s="126">
        <v>0.58333333333333337</v>
      </c>
      <c r="F58" s="126">
        <v>0.79166666666666663</v>
      </c>
      <c r="G58" s="217">
        <f t="shared" si="0"/>
        <v>0.20833333333333326</v>
      </c>
      <c r="H58" s="218">
        <f t="shared" si="1"/>
        <v>0</v>
      </c>
      <c r="I58" s="96">
        <f t="shared" si="2"/>
        <v>0</v>
      </c>
      <c r="J58" s="219">
        <f t="shared" si="3"/>
        <v>0</v>
      </c>
      <c r="K58" s="220">
        <f t="shared" si="4"/>
        <v>0</v>
      </c>
      <c r="L58" s="100">
        <f t="shared" si="5"/>
        <v>0</v>
      </c>
      <c r="M58" s="221" t="str">
        <f t="shared" si="10"/>
        <v/>
      </c>
      <c r="N58" s="222">
        <f t="shared" si="6"/>
        <v>0</v>
      </c>
      <c r="O58" s="223">
        <f>IF(N58=0,0,IF(SUM($N$5:N58)&gt;251,1,0))</f>
        <v>0</v>
      </c>
      <c r="P58" s="408">
        <v>26</v>
      </c>
      <c r="Q58" s="409">
        <v>1</v>
      </c>
      <c r="R58" s="224"/>
      <c r="S58" s="411" t="s">
        <v>672</v>
      </c>
      <c r="T58" s="225" t="s">
        <v>697</v>
      </c>
      <c r="U58" s="226" t="s">
        <v>698</v>
      </c>
      <c r="V58" s="413" t="s">
        <v>695</v>
      </c>
      <c r="W58" s="225" t="s">
        <v>697</v>
      </c>
      <c r="X58" s="226" t="s">
        <v>698</v>
      </c>
      <c r="Y58" s="413" t="s">
        <v>696</v>
      </c>
      <c r="Z58" s="225" t="s">
        <v>699</v>
      </c>
      <c r="AA58" s="226" t="s">
        <v>698</v>
      </c>
      <c r="AB58" s="413"/>
      <c r="AC58" s="225">
        <f t="shared" si="22"/>
        <v>0</v>
      </c>
      <c r="AD58" s="226">
        <f t="shared" si="14"/>
        <v>0</v>
      </c>
      <c r="AE58" s="413"/>
      <c r="AF58" s="225">
        <f t="shared" si="23"/>
        <v>0</v>
      </c>
      <c r="AG58" s="226">
        <f t="shared" si="15"/>
        <v>0</v>
      </c>
      <c r="AH58" s="413"/>
      <c r="AI58" s="225">
        <f t="shared" si="24"/>
        <v>0</v>
      </c>
      <c r="AJ58" s="226">
        <f t="shared" si="16"/>
        <v>0</v>
      </c>
      <c r="AK58" s="413"/>
      <c r="AL58" s="225">
        <f t="shared" si="25"/>
        <v>0</v>
      </c>
      <c r="AM58" s="226">
        <f t="shared" si="17"/>
        <v>0</v>
      </c>
      <c r="AN58" s="462" t="str">
        <f t="shared" si="18"/>
        <v/>
      </c>
      <c r="AO58" s="416" t="str">
        <f t="shared" si="7"/>
        <v/>
      </c>
      <c r="AP58" s="416" t="str">
        <f t="shared" si="8"/>
        <v/>
      </c>
      <c r="AQ58" s="416" t="str">
        <f t="shared" si="9"/>
        <v/>
      </c>
      <c r="AR58" s="416" t="str">
        <f t="shared" si="19"/>
        <v/>
      </c>
    </row>
    <row r="59" spans="1:44" ht="14.25">
      <c r="A59" s="830"/>
      <c r="B59" s="99" t="s">
        <v>276</v>
      </c>
      <c r="C59" s="466" t="s">
        <v>184</v>
      </c>
      <c r="D59" s="125" t="s">
        <v>24</v>
      </c>
      <c r="E59" s="126">
        <v>0.58333333333333337</v>
      </c>
      <c r="F59" s="126">
        <v>0.79166666666666663</v>
      </c>
      <c r="G59" s="217">
        <f t="shared" si="0"/>
        <v>0.20833333333333326</v>
      </c>
      <c r="H59" s="218">
        <f t="shared" si="1"/>
        <v>0</v>
      </c>
      <c r="I59" s="96">
        <f t="shared" si="2"/>
        <v>0</v>
      </c>
      <c r="J59" s="219">
        <f t="shared" si="3"/>
        <v>0</v>
      </c>
      <c r="K59" s="220">
        <f t="shared" si="4"/>
        <v>0</v>
      </c>
      <c r="L59" s="100">
        <f t="shared" si="5"/>
        <v>0</v>
      </c>
      <c r="M59" s="221" t="str">
        <f t="shared" si="10"/>
        <v/>
      </c>
      <c r="N59" s="222">
        <f t="shared" si="6"/>
        <v>0</v>
      </c>
      <c r="O59" s="223">
        <f>IF(N59=0,0,IF(SUM($N$5:N59)&gt;251,1,0))</f>
        <v>0</v>
      </c>
      <c r="P59" s="408">
        <v>25</v>
      </c>
      <c r="Q59" s="409">
        <v>0</v>
      </c>
      <c r="R59" s="224"/>
      <c r="S59" s="411" t="s">
        <v>672</v>
      </c>
      <c r="T59" s="225" t="s">
        <v>697</v>
      </c>
      <c r="U59" s="226" t="s">
        <v>698</v>
      </c>
      <c r="V59" s="413" t="s">
        <v>695</v>
      </c>
      <c r="W59" s="225" t="s">
        <v>697</v>
      </c>
      <c r="X59" s="226" t="s">
        <v>698</v>
      </c>
      <c r="Y59" s="413" t="s">
        <v>696</v>
      </c>
      <c r="Z59" s="225" t="s">
        <v>699</v>
      </c>
      <c r="AA59" s="226" t="s">
        <v>698</v>
      </c>
      <c r="AB59" s="413"/>
      <c r="AC59" s="225">
        <f t="shared" si="22"/>
        <v>0</v>
      </c>
      <c r="AD59" s="226">
        <f t="shared" si="14"/>
        <v>0</v>
      </c>
      <c r="AE59" s="413"/>
      <c r="AF59" s="225">
        <f t="shared" si="23"/>
        <v>0</v>
      </c>
      <c r="AG59" s="226">
        <f t="shared" si="15"/>
        <v>0</v>
      </c>
      <c r="AH59" s="413"/>
      <c r="AI59" s="225">
        <f t="shared" si="24"/>
        <v>0</v>
      </c>
      <c r="AJ59" s="226">
        <f t="shared" si="16"/>
        <v>0</v>
      </c>
      <c r="AK59" s="413"/>
      <c r="AL59" s="225">
        <f t="shared" si="25"/>
        <v>0</v>
      </c>
      <c r="AM59" s="226">
        <f t="shared" si="17"/>
        <v>0</v>
      </c>
      <c r="AN59" s="462" t="str">
        <f t="shared" si="18"/>
        <v/>
      </c>
      <c r="AO59" s="416" t="str">
        <f t="shared" si="7"/>
        <v/>
      </c>
      <c r="AP59" s="416" t="str">
        <f t="shared" si="8"/>
        <v/>
      </c>
      <c r="AQ59" s="416" t="str">
        <f t="shared" si="9"/>
        <v/>
      </c>
      <c r="AR59" s="416" t="str">
        <f t="shared" si="19"/>
        <v/>
      </c>
    </row>
    <row r="60" spans="1:44" ht="14.25">
      <c r="A60" s="830"/>
      <c r="B60" s="99" t="s">
        <v>277</v>
      </c>
      <c r="C60" s="466" t="s">
        <v>185</v>
      </c>
      <c r="D60" s="125" t="s">
        <v>24</v>
      </c>
      <c r="E60" s="126">
        <v>0.58333333333333337</v>
      </c>
      <c r="F60" s="126">
        <v>0.79166666666666663</v>
      </c>
      <c r="G60" s="217">
        <f t="shared" si="0"/>
        <v>0.20833333333333326</v>
      </c>
      <c r="H60" s="218">
        <f t="shared" si="1"/>
        <v>0</v>
      </c>
      <c r="I60" s="96">
        <f t="shared" si="2"/>
        <v>0</v>
      </c>
      <c r="J60" s="219">
        <f t="shared" si="3"/>
        <v>0</v>
      </c>
      <c r="K60" s="220">
        <f t="shared" si="4"/>
        <v>0</v>
      </c>
      <c r="L60" s="100">
        <f t="shared" si="5"/>
        <v>0</v>
      </c>
      <c r="M60" s="221" t="str">
        <f t="shared" si="10"/>
        <v/>
      </c>
      <c r="N60" s="222">
        <f t="shared" si="6"/>
        <v>0</v>
      </c>
      <c r="O60" s="223">
        <f>IF(N60=0,0,IF(SUM($N$5:N60)&gt;251,1,0))</f>
        <v>0</v>
      </c>
      <c r="P60" s="408">
        <v>27</v>
      </c>
      <c r="Q60" s="409">
        <v>1</v>
      </c>
      <c r="R60" s="224"/>
      <c r="S60" s="411" t="s">
        <v>672</v>
      </c>
      <c r="T60" s="225" t="s">
        <v>697</v>
      </c>
      <c r="U60" s="226" t="s">
        <v>698</v>
      </c>
      <c r="V60" s="413" t="s">
        <v>695</v>
      </c>
      <c r="W60" s="225" t="s">
        <v>697</v>
      </c>
      <c r="X60" s="226" t="s">
        <v>698</v>
      </c>
      <c r="Y60" s="413" t="s">
        <v>696</v>
      </c>
      <c r="Z60" s="225" t="s">
        <v>699</v>
      </c>
      <c r="AA60" s="226" t="s">
        <v>698</v>
      </c>
      <c r="AB60" s="413" t="s">
        <v>700</v>
      </c>
      <c r="AC60" s="225" t="str">
        <f t="shared" si="22"/>
        <v>事務員等</v>
      </c>
      <c r="AD60" s="226" t="str">
        <f t="shared" si="14"/>
        <v>対象</v>
      </c>
      <c r="AE60" s="413"/>
      <c r="AF60" s="225">
        <f t="shared" si="23"/>
        <v>0</v>
      </c>
      <c r="AG60" s="226">
        <f t="shared" si="15"/>
        <v>0</v>
      </c>
      <c r="AH60" s="413"/>
      <c r="AI60" s="225">
        <f t="shared" si="24"/>
        <v>0</v>
      </c>
      <c r="AJ60" s="226">
        <f t="shared" si="16"/>
        <v>0</v>
      </c>
      <c r="AK60" s="413"/>
      <c r="AL60" s="225">
        <f t="shared" si="25"/>
        <v>0</v>
      </c>
      <c r="AM60" s="226">
        <f t="shared" si="17"/>
        <v>0</v>
      </c>
      <c r="AN60" s="462" t="str">
        <f t="shared" si="18"/>
        <v/>
      </c>
      <c r="AO60" s="416" t="str">
        <f t="shared" si="7"/>
        <v/>
      </c>
      <c r="AP60" s="416" t="str">
        <f t="shared" si="8"/>
        <v/>
      </c>
      <c r="AQ60" s="416" t="str">
        <f t="shared" si="9"/>
        <v/>
      </c>
      <c r="AR60" s="416" t="str">
        <f t="shared" si="19"/>
        <v/>
      </c>
    </row>
    <row r="61" spans="1:44" ht="14.25">
      <c r="A61" s="830"/>
      <c r="B61" s="99" t="s">
        <v>278</v>
      </c>
      <c r="C61" s="466" t="s">
        <v>186</v>
      </c>
      <c r="D61" s="125" t="s">
        <v>249</v>
      </c>
      <c r="E61" s="126">
        <v>0.375</v>
      </c>
      <c r="F61" s="126">
        <v>0.75</v>
      </c>
      <c r="G61" s="217">
        <f t="shared" si="0"/>
        <v>0.375</v>
      </c>
      <c r="H61" s="218">
        <f t="shared" si="1"/>
        <v>0</v>
      </c>
      <c r="I61" s="96">
        <f t="shared" si="2"/>
        <v>0</v>
      </c>
      <c r="J61" s="219">
        <f t="shared" si="3"/>
        <v>0</v>
      </c>
      <c r="K61" s="220">
        <f t="shared" si="4"/>
        <v>4.1666666666666685E-2</v>
      </c>
      <c r="L61" s="100">
        <f t="shared" si="5"/>
        <v>1</v>
      </c>
      <c r="M61" s="221" t="str">
        <f t="shared" si="10"/>
        <v/>
      </c>
      <c r="N61" s="222">
        <f t="shared" si="6"/>
        <v>1</v>
      </c>
      <c r="O61" s="223">
        <f>IF(N61=0,0,IF(SUM($N$5:N61)&gt;251,1,0))</f>
        <v>0</v>
      </c>
      <c r="P61" s="408">
        <v>5</v>
      </c>
      <c r="Q61" s="409">
        <v>0</v>
      </c>
      <c r="R61" s="224"/>
      <c r="S61" s="411" t="s">
        <v>672</v>
      </c>
      <c r="T61" s="225" t="s">
        <v>697</v>
      </c>
      <c r="U61" s="226" t="s">
        <v>698</v>
      </c>
      <c r="V61" s="413" t="s">
        <v>695</v>
      </c>
      <c r="W61" s="225" t="s">
        <v>697</v>
      </c>
      <c r="X61" s="226" t="s">
        <v>698</v>
      </c>
      <c r="Y61" s="413" t="s">
        <v>696</v>
      </c>
      <c r="Z61" s="225" t="s">
        <v>699</v>
      </c>
      <c r="AA61" s="226" t="s">
        <v>698</v>
      </c>
      <c r="AB61" s="413"/>
      <c r="AC61" s="225">
        <f t="shared" si="22"/>
        <v>0</v>
      </c>
      <c r="AD61" s="226">
        <f t="shared" si="14"/>
        <v>0</v>
      </c>
      <c r="AE61" s="413"/>
      <c r="AF61" s="225">
        <f t="shared" si="23"/>
        <v>0</v>
      </c>
      <c r="AG61" s="226">
        <f t="shared" si="15"/>
        <v>0</v>
      </c>
      <c r="AH61" s="413"/>
      <c r="AI61" s="225">
        <f t="shared" si="24"/>
        <v>0</v>
      </c>
      <c r="AJ61" s="226">
        <f t="shared" si="16"/>
        <v>0</v>
      </c>
      <c r="AK61" s="413"/>
      <c r="AL61" s="225">
        <f t="shared" si="25"/>
        <v>0</v>
      </c>
      <c r="AM61" s="226">
        <f t="shared" si="17"/>
        <v>0</v>
      </c>
      <c r="AN61" s="462" t="str">
        <f t="shared" si="18"/>
        <v/>
      </c>
      <c r="AO61" s="416" t="str">
        <f t="shared" si="7"/>
        <v/>
      </c>
      <c r="AP61" s="416" t="str">
        <f t="shared" si="8"/>
        <v/>
      </c>
      <c r="AQ61" s="416" t="str">
        <f t="shared" si="9"/>
        <v/>
      </c>
      <c r="AR61" s="416" t="str">
        <f t="shared" si="19"/>
        <v/>
      </c>
    </row>
    <row r="62" spans="1:44" ht="14.25">
      <c r="A62" s="830"/>
      <c r="B62" s="99" t="s">
        <v>279</v>
      </c>
      <c r="C62" s="466" t="s">
        <v>262</v>
      </c>
      <c r="D62" s="125" t="s">
        <v>251</v>
      </c>
      <c r="E62" s="126"/>
      <c r="F62" s="126"/>
      <c r="G62" s="217">
        <f t="shared" si="0"/>
        <v>0</v>
      </c>
      <c r="H62" s="218">
        <f t="shared" si="1"/>
        <v>0</v>
      </c>
      <c r="I62" s="96">
        <f t="shared" si="2"/>
        <v>0</v>
      </c>
      <c r="J62" s="219">
        <f t="shared" si="3"/>
        <v>0</v>
      </c>
      <c r="K62" s="220">
        <f t="shared" si="4"/>
        <v>0</v>
      </c>
      <c r="L62" s="100">
        <f t="shared" si="5"/>
        <v>0</v>
      </c>
      <c r="M62" s="221" t="str">
        <f t="shared" si="10"/>
        <v/>
      </c>
      <c r="N62" s="222">
        <f t="shared" si="6"/>
        <v>0</v>
      </c>
      <c r="O62" s="223">
        <f>IF(N62=0,0,IF(SUM($N$5:N62)&gt;251,1,0))</f>
        <v>0</v>
      </c>
      <c r="P62" s="408"/>
      <c r="Q62" s="409"/>
      <c r="R62" s="224"/>
      <c r="S62" s="411"/>
      <c r="T62" s="225">
        <f t="shared" si="26"/>
        <v>0</v>
      </c>
      <c r="U62" s="226">
        <f t="shared" si="11"/>
        <v>0</v>
      </c>
      <c r="V62" s="413"/>
      <c r="W62" s="225">
        <f t="shared" si="27"/>
        <v>0</v>
      </c>
      <c r="X62" s="226">
        <f t="shared" si="12"/>
        <v>0</v>
      </c>
      <c r="Y62" s="413"/>
      <c r="Z62" s="225">
        <f t="shared" si="28"/>
        <v>0</v>
      </c>
      <c r="AA62" s="226">
        <f t="shared" si="13"/>
        <v>0</v>
      </c>
      <c r="AB62" s="413"/>
      <c r="AC62" s="225">
        <f t="shared" si="22"/>
        <v>0</v>
      </c>
      <c r="AD62" s="226">
        <f t="shared" si="14"/>
        <v>0</v>
      </c>
      <c r="AE62" s="413"/>
      <c r="AF62" s="225">
        <f t="shared" si="23"/>
        <v>0</v>
      </c>
      <c r="AG62" s="226">
        <f t="shared" si="15"/>
        <v>0</v>
      </c>
      <c r="AH62" s="413"/>
      <c r="AI62" s="225">
        <f t="shared" si="24"/>
        <v>0</v>
      </c>
      <c r="AJ62" s="226">
        <f t="shared" si="16"/>
        <v>0</v>
      </c>
      <c r="AK62" s="413"/>
      <c r="AL62" s="225">
        <f t="shared" si="25"/>
        <v>0</v>
      </c>
      <c r="AM62" s="226">
        <f t="shared" si="17"/>
        <v>0</v>
      </c>
      <c r="AN62" s="462" t="str">
        <f t="shared" si="18"/>
        <v/>
      </c>
      <c r="AO62" s="416" t="str">
        <f t="shared" si="7"/>
        <v/>
      </c>
      <c r="AP62" s="416" t="str">
        <f t="shared" si="8"/>
        <v/>
      </c>
      <c r="AQ62" s="416" t="str">
        <f t="shared" si="9"/>
        <v/>
      </c>
      <c r="AR62" s="416" t="str">
        <f t="shared" si="19"/>
        <v/>
      </c>
    </row>
    <row r="63" spans="1:44" ht="14.25">
      <c r="A63" s="830"/>
      <c r="B63" s="99" t="s">
        <v>280</v>
      </c>
      <c r="C63" s="466" t="s">
        <v>182</v>
      </c>
      <c r="D63" s="125" t="s">
        <v>24</v>
      </c>
      <c r="E63" s="126">
        <v>0.58333333333333337</v>
      </c>
      <c r="F63" s="126">
        <v>0.79166666666666663</v>
      </c>
      <c r="G63" s="217">
        <f t="shared" si="0"/>
        <v>0.20833333333333326</v>
      </c>
      <c r="H63" s="218">
        <f t="shared" si="1"/>
        <v>0</v>
      </c>
      <c r="I63" s="96">
        <f t="shared" si="2"/>
        <v>0</v>
      </c>
      <c r="J63" s="219">
        <f t="shared" si="3"/>
        <v>0</v>
      </c>
      <c r="K63" s="220">
        <f t="shared" si="4"/>
        <v>0</v>
      </c>
      <c r="L63" s="100">
        <f t="shared" si="5"/>
        <v>0</v>
      </c>
      <c r="M63" s="221" t="str">
        <f t="shared" si="10"/>
        <v/>
      </c>
      <c r="N63" s="222">
        <f t="shared" si="6"/>
        <v>0</v>
      </c>
      <c r="O63" s="223">
        <f>IF(N63=0,0,IF(SUM($N$5:N63)&gt;251,1,0))</f>
        <v>0</v>
      </c>
      <c r="P63" s="408">
        <v>26</v>
      </c>
      <c r="Q63" s="409">
        <v>0</v>
      </c>
      <c r="R63" s="224"/>
      <c r="S63" s="411" t="s">
        <v>672</v>
      </c>
      <c r="T63" s="225" t="s">
        <v>697</v>
      </c>
      <c r="U63" s="226" t="s">
        <v>698</v>
      </c>
      <c r="V63" s="413" t="s">
        <v>695</v>
      </c>
      <c r="W63" s="225" t="s">
        <v>697</v>
      </c>
      <c r="X63" s="226" t="s">
        <v>698</v>
      </c>
      <c r="Y63" s="413" t="s">
        <v>696</v>
      </c>
      <c r="Z63" s="225" t="s">
        <v>699</v>
      </c>
      <c r="AA63" s="226" t="s">
        <v>698</v>
      </c>
      <c r="AB63" s="413"/>
      <c r="AC63" s="225">
        <f t="shared" si="22"/>
        <v>0</v>
      </c>
      <c r="AD63" s="226">
        <f t="shared" si="14"/>
        <v>0</v>
      </c>
      <c r="AE63" s="413"/>
      <c r="AF63" s="225">
        <f t="shared" si="23"/>
        <v>0</v>
      </c>
      <c r="AG63" s="226">
        <f t="shared" si="15"/>
        <v>0</v>
      </c>
      <c r="AH63" s="413"/>
      <c r="AI63" s="225">
        <f t="shared" si="24"/>
        <v>0</v>
      </c>
      <c r="AJ63" s="226">
        <f t="shared" si="16"/>
        <v>0</v>
      </c>
      <c r="AK63" s="413"/>
      <c r="AL63" s="225">
        <f t="shared" si="25"/>
        <v>0</v>
      </c>
      <c r="AM63" s="226">
        <f t="shared" si="17"/>
        <v>0</v>
      </c>
      <c r="AN63" s="462" t="str">
        <f t="shared" si="18"/>
        <v/>
      </c>
      <c r="AO63" s="416" t="str">
        <f t="shared" si="7"/>
        <v/>
      </c>
      <c r="AP63" s="416" t="str">
        <f t="shared" si="8"/>
        <v/>
      </c>
      <c r="AQ63" s="416" t="str">
        <f t="shared" si="9"/>
        <v/>
      </c>
      <c r="AR63" s="416" t="str">
        <f t="shared" si="19"/>
        <v/>
      </c>
    </row>
    <row r="64" spans="1:44" ht="14.25">
      <c r="A64" s="830"/>
      <c r="B64" s="99" t="s">
        <v>281</v>
      </c>
      <c r="C64" s="466" t="s">
        <v>187</v>
      </c>
      <c r="D64" s="125" t="s">
        <v>24</v>
      </c>
      <c r="E64" s="126">
        <v>0.58333333333333337</v>
      </c>
      <c r="F64" s="126">
        <v>0.79166666666666663</v>
      </c>
      <c r="G64" s="217">
        <f t="shared" si="0"/>
        <v>0.20833333333333326</v>
      </c>
      <c r="H64" s="218">
        <f t="shared" si="1"/>
        <v>0</v>
      </c>
      <c r="I64" s="96">
        <f t="shared" si="2"/>
        <v>0</v>
      </c>
      <c r="J64" s="219">
        <f t="shared" si="3"/>
        <v>0</v>
      </c>
      <c r="K64" s="220">
        <f t="shared" si="4"/>
        <v>0</v>
      </c>
      <c r="L64" s="100">
        <f t="shared" si="5"/>
        <v>0</v>
      </c>
      <c r="M64" s="221" t="str">
        <f t="shared" si="10"/>
        <v/>
      </c>
      <c r="N64" s="222">
        <f t="shared" si="6"/>
        <v>0</v>
      </c>
      <c r="O64" s="223">
        <f>IF(N64=0,0,IF(SUM($N$5:N64)&gt;251,1,0))</f>
        <v>0</v>
      </c>
      <c r="P64" s="408">
        <v>27</v>
      </c>
      <c r="Q64" s="409">
        <v>0</v>
      </c>
      <c r="R64" s="224"/>
      <c r="S64" s="411" t="s">
        <v>672</v>
      </c>
      <c r="T64" s="225" t="s">
        <v>697</v>
      </c>
      <c r="U64" s="226" t="s">
        <v>698</v>
      </c>
      <c r="V64" s="413" t="s">
        <v>695</v>
      </c>
      <c r="W64" s="225" t="s">
        <v>697</v>
      </c>
      <c r="X64" s="226" t="s">
        <v>698</v>
      </c>
      <c r="Y64" s="413" t="s">
        <v>696</v>
      </c>
      <c r="Z64" s="225" t="s">
        <v>699</v>
      </c>
      <c r="AA64" s="226" t="s">
        <v>698</v>
      </c>
      <c r="AB64" s="413"/>
      <c r="AC64" s="225">
        <f t="shared" si="22"/>
        <v>0</v>
      </c>
      <c r="AD64" s="226">
        <f t="shared" si="14"/>
        <v>0</v>
      </c>
      <c r="AE64" s="413"/>
      <c r="AF64" s="225">
        <f t="shared" si="23"/>
        <v>0</v>
      </c>
      <c r="AG64" s="226">
        <f t="shared" si="15"/>
        <v>0</v>
      </c>
      <c r="AH64" s="413"/>
      <c r="AI64" s="225">
        <f t="shared" si="24"/>
        <v>0</v>
      </c>
      <c r="AJ64" s="226">
        <f t="shared" si="16"/>
        <v>0</v>
      </c>
      <c r="AK64" s="413"/>
      <c r="AL64" s="225">
        <f t="shared" si="25"/>
        <v>0</v>
      </c>
      <c r="AM64" s="226">
        <f t="shared" si="17"/>
        <v>0</v>
      </c>
      <c r="AN64" s="462" t="str">
        <f t="shared" si="18"/>
        <v/>
      </c>
      <c r="AO64" s="416" t="str">
        <f t="shared" si="7"/>
        <v/>
      </c>
      <c r="AP64" s="416" t="str">
        <f t="shared" si="8"/>
        <v/>
      </c>
      <c r="AQ64" s="416" t="str">
        <f t="shared" si="9"/>
        <v/>
      </c>
      <c r="AR64" s="416" t="str">
        <f t="shared" si="19"/>
        <v/>
      </c>
    </row>
    <row r="65" spans="1:44" ht="15" thickBot="1">
      <c r="A65" s="831"/>
      <c r="B65" s="101" t="s">
        <v>292</v>
      </c>
      <c r="C65" s="102" t="s">
        <v>183</v>
      </c>
      <c r="D65" s="125" t="s">
        <v>24</v>
      </c>
      <c r="E65" s="126">
        <v>0.58333333333333337</v>
      </c>
      <c r="F65" s="126">
        <v>0.79166666666666663</v>
      </c>
      <c r="G65" s="227">
        <f t="shared" si="0"/>
        <v>0.20833333333333326</v>
      </c>
      <c r="H65" s="228">
        <f t="shared" si="1"/>
        <v>0</v>
      </c>
      <c r="I65" s="103">
        <f t="shared" si="2"/>
        <v>0</v>
      </c>
      <c r="J65" s="229">
        <f t="shared" si="3"/>
        <v>0</v>
      </c>
      <c r="K65" s="230">
        <f t="shared" si="4"/>
        <v>0</v>
      </c>
      <c r="L65" s="104">
        <f t="shared" si="5"/>
        <v>0</v>
      </c>
      <c r="M65" s="231" t="str">
        <f t="shared" si="10"/>
        <v/>
      </c>
      <c r="N65" s="232">
        <f t="shared" si="6"/>
        <v>0</v>
      </c>
      <c r="O65" s="233">
        <f>IF(N65=0,0,IF(SUM($N$5:N65)&gt;251,1,0))</f>
        <v>0</v>
      </c>
      <c r="P65" s="408">
        <v>25</v>
      </c>
      <c r="Q65" s="409">
        <v>0</v>
      </c>
      <c r="R65" s="236">
        <f>SUM(P35:P65)</f>
        <v>518</v>
      </c>
      <c r="S65" s="411" t="s">
        <v>672</v>
      </c>
      <c r="T65" s="225" t="s">
        <v>697</v>
      </c>
      <c r="U65" s="235" t="s">
        <v>698</v>
      </c>
      <c r="V65" s="414" t="s">
        <v>695</v>
      </c>
      <c r="W65" s="225" t="s">
        <v>697</v>
      </c>
      <c r="X65" s="235" t="s">
        <v>698</v>
      </c>
      <c r="Y65" s="414" t="s">
        <v>696</v>
      </c>
      <c r="Z65" s="225" t="s">
        <v>699</v>
      </c>
      <c r="AA65" s="235" t="s">
        <v>698</v>
      </c>
      <c r="AB65" s="414"/>
      <c r="AC65" s="225">
        <f t="shared" si="22"/>
        <v>0</v>
      </c>
      <c r="AD65" s="235">
        <f t="shared" si="14"/>
        <v>0</v>
      </c>
      <c r="AE65" s="414"/>
      <c r="AF65" s="225">
        <f t="shared" si="23"/>
        <v>0</v>
      </c>
      <c r="AG65" s="235">
        <f t="shared" si="15"/>
        <v>0</v>
      </c>
      <c r="AH65" s="414"/>
      <c r="AI65" s="225">
        <f t="shared" si="24"/>
        <v>0</v>
      </c>
      <c r="AJ65" s="235">
        <f t="shared" si="16"/>
        <v>0</v>
      </c>
      <c r="AK65" s="414"/>
      <c r="AL65" s="225">
        <f t="shared" si="25"/>
        <v>0</v>
      </c>
      <c r="AM65" s="235">
        <f t="shared" si="17"/>
        <v>0</v>
      </c>
      <c r="AN65" s="463" t="str">
        <f t="shared" si="18"/>
        <v/>
      </c>
      <c r="AO65" s="417" t="str">
        <f t="shared" si="7"/>
        <v/>
      </c>
      <c r="AP65" s="417" t="str">
        <f t="shared" si="8"/>
        <v/>
      </c>
      <c r="AQ65" s="417" t="str">
        <f t="shared" si="9"/>
        <v/>
      </c>
      <c r="AR65" s="416" t="str">
        <f t="shared" si="19"/>
        <v/>
      </c>
    </row>
    <row r="66" spans="1:44" ht="14.25">
      <c r="A66" s="829" t="s">
        <v>282</v>
      </c>
      <c r="B66" s="467" t="s">
        <v>248</v>
      </c>
      <c r="C66" s="468" t="s">
        <v>184</v>
      </c>
      <c r="D66" s="125" t="s">
        <v>24</v>
      </c>
      <c r="E66" s="126">
        <v>0.58333333333333337</v>
      </c>
      <c r="F66" s="126">
        <v>0.79166666666666663</v>
      </c>
      <c r="G66" s="207">
        <f t="shared" si="0"/>
        <v>0.20833333333333326</v>
      </c>
      <c r="H66" s="208">
        <f t="shared" si="1"/>
        <v>0</v>
      </c>
      <c r="I66" s="95">
        <f t="shared" si="2"/>
        <v>0</v>
      </c>
      <c r="J66" s="209">
        <f t="shared" si="3"/>
        <v>0</v>
      </c>
      <c r="K66" s="210">
        <f t="shared" si="4"/>
        <v>0</v>
      </c>
      <c r="L66" s="97">
        <f t="shared" si="5"/>
        <v>0</v>
      </c>
      <c r="M66" s="211" t="str">
        <f t="shared" si="10"/>
        <v/>
      </c>
      <c r="N66" s="212">
        <f t="shared" si="6"/>
        <v>0</v>
      </c>
      <c r="O66" s="213">
        <f>IF(N66=0,0,IF(SUM($N$5:N66)&gt;251,1,0))</f>
        <v>0</v>
      </c>
      <c r="P66" s="408">
        <v>24</v>
      </c>
      <c r="Q66" s="409">
        <v>1</v>
      </c>
      <c r="R66" s="214"/>
      <c r="S66" s="411" t="s">
        <v>672</v>
      </c>
      <c r="T66" s="225" t="s">
        <v>697</v>
      </c>
      <c r="U66" s="216" t="s">
        <v>698</v>
      </c>
      <c r="V66" s="412" t="s">
        <v>695</v>
      </c>
      <c r="W66" s="225" t="s">
        <v>697</v>
      </c>
      <c r="X66" s="216" t="s">
        <v>698</v>
      </c>
      <c r="Y66" s="412" t="s">
        <v>696</v>
      </c>
      <c r="Z66" s="225" t="s">
        <v>699</v>
      </c>
      <c r="AA66" s="216" t="s">
        <v>698</v>
      </c>
      <c r="AB66" s="412"/>
      <c r="AC66" s="225">
        <f t="shared" si="22"/>
        <v>0</v>
      </c>
      <c r="AD66" s="216">
        <f t="shared" si="14"/>
        <v>0</v>
      </c>
      <c r="AE66" s="412"/>
      <c r="AF66" s="225">
        <f t="shared" si="23"/>
        <v>0</v>
      </c>
      <c r="AG66" s="216">
        <f t="shared" si="15"/>
        <v>0</v>
      </c>
      <c r="AH66" s="412"/>
      <c r="AI66" s="225">
        <f t="shared" si="24"/>
        <v>0</v>
      </c>
      <c r="AJ66" s="216">
        <f t="shared" si="16"/>
        <v>0</v>
      </c>
      <c r="AK66" s="412"/>
      <c r="AL66" s="225">
        <f t="shared" si="25"/>
        <v>0</v>
      </c>
      <c r="AM66" s="216">
        <f t="shared" si="17"/>
        <v>0</v>
      </c>
      <c r="AN66" s="461" t="str">
        <f t="shared" si="18"/>
        <v/>
      </c>
      <c r="AO66" s="418" t="str">
        <f t="shared" si="7"/>
        <v/>
      </c>
      <c r="AP66" s="418" t="str">
        <f t="shared" si="8"/>
        <v/>
      </c>
      <c r="AQ66" s="415" t="str">
        <f t="shared" si="9"/>
        <v/>
      </c>
      <c r="AR66" s="416" t="str">
        <f t="shared" si="19"/>
        <v/>
      </c>
    </row>
    <row r="67" spans="1:44" ht="14.25">
      <c r="A67" s="830"/>
      <c r="B67" s="99" t="s">
        <v>250</v>
      </c>
      <c r="C67" s="466" t="s">
        <v>185</v>
      </c>
      <c r="D67" s="125" t="s">
        <v>24</v>
      </c>
      <c r="E67" s="126">
        <v>0.58333333333333337</v>
      </c>
      <c r="F67" s="126">
        <v>0.79166666666666663</v>
      </c>
      <c r="G67" s="217">
        <f t="shared" si="0"/>
        <v>0.20833333333333326</v>
      </c>
      <c r="H67" s="218">
        <f t="shared" si="1"/>
        <v>0</v>
      </c>
      <c r="I67" s="96">
        <f t="shared" si="2"/>
        <v>0</v>
      </c>
      <c r="J67" s="219">
        <f t="shared" si="3"/>
        <v>0</v>
      </c>
      <c r="K67" s="220">
        <f t="shared" si="4"/>
        <v>0</v>
      </c>
      <c r="L67" s="100">
        <f t="shared" si="5"/>
        <v>0</v>
      </c>
      <c r="M67" s="221" t="str">
        <f t="shared" si="10"/>
        <v/>
      </c>
      <c r="N67" s="222">
        <f t="shared" si="6"/>
        <v>0</v>
      </c>
      <c r="O67" s="223">
        <f>IF(N67=0,0,IF(SUM($N$5:N67)&gt;251,1,0))</f>
        <v>0</v>
      </c>
      <c r="P67" s="408">
        <v>20</v>
      </c>
      <c r="Q67" s="409">
        <v>0</v>
      </c>
      <c r="R67" s="224"/>
      <c r="S67" s="411" t="s">
        <v>672</v>
      </c>
      <c r="T67" s="225" t="s">
        <v>697</v>
      </c>
      <c r="U67" s="226" t="s">
        <v>698</v>
      </c>
      <c r="V67" s="413" t="s">
        <v>695</v>
      </c>
      <c r="W67" s="225" t="s">
        <v>697</v>
      </c>
      <c r="X67" s="226" t="s">
        <v>698</v>
      </c>
      <c r="Y67" s="413" t="s">
        <v>696</v>
      </c>
      <c r="Z67" s="225" t="s">
        <v>699</v>
      </c>
      <c r="AA67" s="226" t="s">
        <v>698</v>
      </c>
      <c r="AB67" s="413"/>
      <c r="AC67" s="225">
        <f t="shared" si="22"/>
        <v>0</v>
      </c>
      <c r="AD67" s="226">
        <f t="shared" si="14"/>
        <v>0</v>
      </c>
      <c r="AE67" s="413"/>
      <c r="AF67" s="225">
        <f t="shared" si="23"/>
        <v>0</v>
      </c>
      <c r="AG67" s="226">
        <f t="shared" si="15"/>
        <v>0</v>
      </c>
      <c r="AH67" s="413"/>
      <c r="AI67" s="225">
        <f t="shared" si="24"/>
        <v>0</v>
      </c>
      <c r="AJ67" s="226">
        <f t="shared" si="16"/>
        <v>0</v>
      </c>
      <c r="AK67" s="413"/>
      <c r="AL67" s="225">
        <f t="shared" si="25"/>
        <v>0</v>
      </c>
      <c r="AM67" s="226">
        <f t="shared" si="17"/>
        <v>0</v>
      </c>
      <c r="AN67" s="462" t="str">
        <f t="shared" si="18"/>
        <v/>
      </c>
      <c r="AO67" s="416" t="str">
        <f t="shared" si="7"/>
        <v/>
      </c>
      <c r="AP67" s="416" t="str">
        <f t="shared" si="8"/>
        <v/>
      </c>
      <c r="AQ67" s="416" t="str">
        <f t="shared" si="9"/>
        <v/>
      </c>
      <c r="AR67" s="416" t="str">
        <f t="shared" si="19"/>
        <v/>
      </c>
    </row>
    <row r="68" spans="1:44" ht="14.25">
      <c r="A68" s="830"/>
      <c r="B68" s="99" t="s">
        <v>252</v>
      </c>
      <c r="C68" s="466" t="s">
        <v>186</v>
      </c>
      <c r="D68" s="125" t="s">
        <v>249</v>
      </c>
      <c r="E68" s="126">
        <v>0.375</v>
      </c>
      <c r="F68" s="126">
        <v>0.75</v>
      </c>
      <c r="G68" s="217">
        <f t="shared" si="0"/>
        <v>0.375</v>
      </c>
      <c r="H68" s="218">
        <f t="shared" si="1"/>
        <v>0</v>
      </c>
      <c r="I68" s="96">
        <f t="shared" si="2"/>
        <v>0</v>
      </c>
      <c r="J68" s="219">
        <f t="shared" si="3"/>
        <v>0</v>
      </c>
      <c r="K68" s="220">
        <f t="shared" si="4"/>
        <v>4.1666666666666685E-2</v>
      </c>
      <c r="L68" s="100">
        <f t="shared" si="5"/>
        <v>1</v>
      </c>
      <c r="M68" s="221" t="str">
        <f t="shared" si="10"/>
        <v/>
      </c>
      <c r="N68" s="222">
        <f t="shared" si="6"/>
        <v>1</v>
      </c>
      <c r="O68" s="223">
        <f>IF(N68=0,0,IF(SUM($N$5:N68)&gt;251,1,0))</f>
        <v>0</v>
      </c>
      <c r="P68" s="408">
        <v>2</v>
      </c>
      <c r="Q68" s="409">
        <v>1</v>
      </c>
      <c r="R68" s="224"/>
      <c r="S68" s="411" t="s">
        <v>672</v>
      </c>
      <c r="T68" s="225" t="s">
        <v>697</v>
      </c>
      <c r="U68" s="226" t="s">
        <v>698</v>
      </c>
      <c r="V68" s="413" t="s">
        <v>695</v>
      </c>
      <c r="W68" s="225" t="s">
        <v>697</v>
      </c>
      <c r="X68" s="226" t="s">
        <v>698</v>
      </c>
      <c r="Y68" s="413" t="s">
        <v>696</v>
      </c>
      <c r="Z68" s="225" t="s">
        <v>699</v>
      </c>
      <c r="AA68" s="226" t="s">
        <v>698</v>
      </c>
      <c r="AB68" s="413"/>
      <c r="AC68" s="225">
        <f t="shared" si="22"/>
        <v>0</v>
      </c>
      <c r="AD68" s="226">
        <f t="shared" si="14"/>
        <v>0</v>
      </c>
      <c r="AE68" s="413"/>
      <c r="AF68" s="225">
        <f t="shared" si="23"/>
        <v>0</v>
      </c>
      <c r="AG68" s="226">
        <f t="shared" si="15"/>
        <v>0</v>
      </c>
      <c r="AH68" s="413"/>
      <c r="AI68" s="225">
        <f t="shared" si="24"/>
        <v>0</v>
      </c>
      <c r="AJ68" s="226">
        <f t="shared" si="16"/>
        <v>0</v>
      </c>
      <c r="AK68" s="413"/>
      <c r="AL68" s="225">
        <f t="shared" si="25"/>
        <v>0</v>
      </c>
      <c r="AM68" s="226">
        <f t="shared" si="17"/>
        <v>0</v>
      </c>
      <c r="AN68" s="462" t="str">
        <f t="shared" si="18"/>
        <v/>
      </c>
      <c r="AO68" s="416" t="str">
        <f t="shared" si="7"/>
        <v/>
      </c>
      <c r="AP68" s="416" t="str">
        <f t="shared" si="8"/>
        <v/>
      </c>
      <c r="AQ68" s="416" t="str">
        <f t="shared" si="9"/>
        <v/>
      </c>
      <c r="AR68" s="416" t="str">
        <f t="shared" si="19"/>
        <v/>
      </c>
    </row>
    <row r="69" spans="1:44" ht="14.25">
      <c r="A69" s="830"/>
      <c r="B69" s="99" t="s">
        <v>254</v>
      </c>
      <c r="C69" s="466" t="s">
        <v>262</v>
      </c>
      <c r="D69" s="125" t="s">
        <v>251</v>
      </c>
      <c r="E69" s="126"/>
      <c r="F69" s="126"/>
      <c r="G69" s="217">
        <f t="shared" ref="G69:G132" si="29">F69-E69</f>
        <v>0</v>
      </c>
      <c r="H69" s="218">
        <f t="shared" ref="H69:H132" si="30">IF(D69="平日",IF(E69+TIME(6,0,0)&lt;TIME(17,59,59),F69-TIME(18,0,0),0),0)</f>
        <v>0</v>
      </c>
      <c r="I69" s="96">
        <f t="shared" ref="I69:I132" si="31">IF(D69="平日",IF(E69+TIME(6,0,0)&gt;TIME(17,59,59),MAX(F69-(E69+TIME(6,0,0)),0),0),0)</f>
        <v>0</v>
      </c>
      <c r="J69" s="219">
        <f t="shared" ref="J69:J132" si="32">IF(AND(H69=0,I69=0),0,1)</f>
        <v>0</v>
      </c>
      <c r="K69" s="220">
        <f t="shared" ref="K69:K132" si="33">IF(D69="土・日・祝・長期休暇",MAX(G69-TIME(8,0,0),0),0)</f>
        <v>0</v>
      </c>
      <c r="L69" s="100">
        <f t="shared" ref="L69:L132" si="34">IF(K69&gt;=TIME(0,0,1),1,0)</f>
        <v>0</v>
      </c>
      <c r="M69" s="221" t="str">
        <f t="shared" si="10"/>
        <v/>
      </c>
      <c r="N69" s="222">
        <f t="shared" ref="N69:N132" si="35">IF(OR(D69="休所",D69="",D69="平日：開所とみなす閉所"),0,IF(OR(G69-TIME(7,59,59)&gt;0,D69="土日祝長期：開所とみなす閉所"),1,0))</f>
        <v>0</v>
      </c>
      <c r="O69" s="223">
        <f>IF(N69=0,0,IF(SUM($N$5:N69)&gt;251,1,0))</f>
        <v>0</v>
      </c>
      <c r="P69" s="408"/>
      <c r="Q69" s="409"/>
      <c r="R69" s="224"/>
      <c r="S69" s="411"/>
      <c r="T69" s="225">
        <f t="shared" si="26"/>
        <v>0</v>
      </c>
      <c r="U69" s="226">
        <f t="shared" si="11"/>
        <v>0</v>
      </c>
      <c r="V69" s="413"/>
      <c r="W69" s="225">
        <f t="shared" si="27"/>
        <v>0</v>
      </c>
      <c r="X69" s="226">
        <f t="shared" si="12"/>
        <v>0</v>
      </c>
      <c r="Y69" s="413"/>
      <c r="Z69" s="225">
        <f t="shared" si="28"/>
        <v>0</v>
      </c>
      <c r="AA69" s="226">
        <f t="shared" si="13"/>
        <v>0</v>
      </c>
      <c r="AB69" s="413"/>
      <c r="AC69" s="225">
        <f t="shared" si="22"/>
        <v>0</v>
      </c>
      <c r="AD69" s="226">
        <f t="shared" si="14"/>
        <v>0</v>
      </c>
      <c r="AE69" s="413"/>
      <c r="AF69" s="225">
        <f t="shared" si="23"/>
        <v>0</v>
      </c>
      <c r="AG69" s="226">
        <f t="shared" si="15"/>
        <v>0</v>
      </c>
      <c r="AH69" s="413"/>
      <c r="AI69" s="225">
        <f t="shared" si="24"/>
        <v>0</v>
      </c>
      <c r="AJ69" s="226">
        <f t="shared" si="16"/>
        <v>0</v>
      </c>
      <c r="AK69" s="413"/>
      <c r="AL69" s="225">
        <f t="shared" si="25"/>
        <v>0</v>
      </c>
      <c r="AM69" s="226">
        <f t="shared" si="17"/>
        <v>0</v>
      </c>
      <c r="AN69" s="462" t="str">
        <f t="shared" ref="AN69:AN132" si="36">IF(OR(D69=$AS$6,D69=$AS$7,D69=$AS$8,D69=""),"",IF(COUNTIF(S69:AL69,"支援員")&gt;0,"","支援員がいません！"))</f>
        <v/>
      </c>
      <c r="AO69" s="416" t="str">
        <f t="shared" ref="AO69:AO132" si="37">IF(OR(D69=$AS$6,D69=$AS$7,D69=$AS$8),"",IF(Q69&gt;0,IF(COUNTIF(S69:AM69,"対象")&gt;0,"","障害児加配対象職員がいません"),""))</f>
        <v/>
      </c>
      <c r="AP69" s="416" t="str">
        <f t="shared" ref="AP69:AP132" si="38">IF(OR(D69=$AS$6,D69=$AS$7,D69=$AS$8),"",IF(Q69&gt;0,IF(COUNTA(S69:AM69)&gt;16,"","障害児加配の場合は３名以上の配置"),""))</f>
        <v/>
      </c>
      <c r="AQ69" s="416" t="str">
        <f t="shared" ref="AQ69:AQ132" si="39">IF(OR(D69=$AS$6,D69=$AQS71,D69=$AS$8),"",IF(Q69&gt;2,IF(COUNTIF(S69:AM69,"対象")&gt;1,IF(AB69&lt;&gt;"","","障害児3人以上の場合は４名以上の配置")),""))</f>
        <v/>
      </c>
      <c r="AR69" s="416" t="str">
        <f t="shared" si="19"/>
        <v/>
      </c>
    </row>
    <row r="70" spans="1:44" ht="14.25">
      <c r="A70" s="830"/>
      <c r="B70" s="99" t="s">
        <v>255</v>
      </c>
      <c r="C70" s="466" t="s">
        <v>182</v>
      </c>
      <c r="D70" s="125" t="s">
        <v>24</v>
      </c>
      <c r="E70" s="126">
        <v>0.58333333333333337</v>
      </c>
      <c r="F70" s="126">
        <v>0.79166666666666663</v>
      </c>
      <c r="G70" s="217">
        <f t="shared" si="29"/>
        <v>0.20833333333333326</v>
      </c>
      <c r="H70" s="218">
        <f t="shared" si="30"/>
        <v>0</v>
      </c>
      <c r="I70" s="96">
        <f t="shared" si="31"/>
        <v>0</v>
      </c>
      <c r="J70" s="219">
        <f t="shared" si="32"/>
        <v>0</v>
      </c>
      <c r="K70" s="220">
        <f t="shared" si="33"/>
        <v>0</v>
      </c>
      <c r="L70" s="100">
        <f t="shared" si="34"/>
        <v>0</v>
      </c>
      <c r="M70" s="221" t="str">
        <f t="shared" ref="M70:M133" si="40">IF(D70="休所",IF(E70&lt;&gt;"","入力にエラーがあります",""),"")</f>
        <v/>
      </c>
      <c r="N70" s="222">
        <f t="shared" si="35"/>
        <v>0</v>
      </c>
      <c r="O70" s="223">
        <f>IF(N70=0,0,IF(SUM($N$5:N70)&gt;251,1,0))</f>
        <v>0</v>
      </c>
      <c r="P70" s="408">
        <v>25</v>
      </c>
      <c r="Q70" s="409">
        <v>0</v>
      </c>
      <c r="R70" s="224"/>
      <c r="S70" s="411" t="s">
        <v>672</v>
      </c>
      <c r="T70" s="225" t="s">
        <v>697</v>
      </c>
      <c r="U70" s="226" t="s">
        <v>698</v>
      </c>
      <c r="V70" s="413" t="s">
        <v>695</v>
      </c>
      <c r="W70" s="225" t="s">
        <v>697</v>
      </c>
      <c r="X70" s="226" t="s">
        <v>698</v>
      </c>
      <c r="Y70" s="413" t="s">
        <v>696</v>
      </c>
      <c r="Z70" s="225" t="s">
        <v>699</v>
      </c>
      <c r="AA70" s="226" t="s">
        <v>698</v>
      </c>
      <c r="AB70" s="413"/>
      <c r="AC70" s="225">
        <f t="shared" si="22"/>
        <v>0</v>
      </c>
      <c r="AD70" s="226">
        <f t="shared" ref="AD70:AD133" si="41">VLOOKUP(AB70,$AT$12:$AV$31,3,FALSE)</f>
        <v>0</v>
      </c>
      <c r="AE70" s="413"/>
      <c r="AF70" s="225">
        <f t="shared" si="23"/>
        <v>0</v>
      </c>
      <c r="AG70" s="226">
        <f t="shared" ref="AG70:AG133" si="42">VLOOKUP(AE70,$AT$12:$AV$31,3,FALSE)</f>
        <v>0</v>
      </c>
      <c r="AH70" s="413"/>
      <c r="AI70" s="225">
        <f t="shared" si="24"/>
        <v>0</v>
      </c>
      <c r="AJ70" s="226">
        <f t="shared" ref="AJ70:AJ133" si="43">VLOOKUP(AH70,$AT$12:$AV$31,3,FALSE)</f>
        <v>0</v>
      </c>
      <c r="AK70" s="413"/>
      <c r="AL70" s="225">
        <f t="shared" si="25"/>
        <v>0</v>
      </c>
      <c r="AM70" s="226">
        <f t="shared" ref="AM70:AM133" si="44">VLOOKUP(AK70,$AT$12:$AV$31,3,FALSE)</f>
        <v>0</v>
      </c>
      <c r="AN70" s="462" t="str">
        <f t="shared" si="36"/>
        <v/>
      </c>
      <c r="AO70" s="416" t="str">
        <f t="shared" si="37"/>
        <v/>
      </c>
      <c r="AP70" s="416" t="str">
        <f t="shared" si="38"/>
        <v/>
      </c>
      <c r="AQ70" s="416" t="str">
        <f t="shared" si="39"/>
        <v/>
      </c>
      <c r="AR70" s="416" t="str">
        <f t="shared" si="19"/>
        <v/>
      </c>
    </row>
    <row r="71" spans="1:44" ht="14.25">
      <c r="A71" s="830"/>
      <c r="B71" s="99" t="s">
        <v>256</v>
      </c>
      <c r="C71" s="466" t="s">
        <v>187</v>
      </c>
      <c r="D71" s="125" t="s">
        <v>24</v>
      </c>
      <c r="E71" s="126">
        <v>0.58333333333333337</v>
      </c>
      <c r="F71" s="126">
        <v>0.79166666666666663</v>
      </c>
      <c r="G71" s="217">
        <f t="shared" si="29"/>
        <v>0.20833333333333326</v>
      </c>
      <c r="H71" s="218">
        <f t="shared" si="30"/>
        <v>0</v>
      </c>
      <c r="I71" s="96">
        <f t="shared" si="31"/>
        <v>0</v>
      </c>
      <c r="J71" s="219">
        <f t="shared" si="32"/>
        <v>0</v>
      </c>
      <c r="K71" s="220">
        <f t="shared" si="33"/>
        <v>0</v>
      </c>
      <c r="L71" s="100">
        <f t="shared" si="34"/>
        <v>0</v>
      </c>
      <c r="M71" s="221" t="str">
        <f t="shared" si="40"/>
        <v/>
      </c>
      <c r="N71" s="222">
        <f t="shared" si="35"/>
        <v>0</v>
      </c>
      <c r="O71" s="223">
        <f>IF(N71=0,0,IF(SUM($N$5:N71)&gt;251,1,0))</f>
        <v>0</v>
      </c>
      <c r="P71" s="408">
        <v>25</v>
      </c>
      <c r="Q71" s="409">
        <v>1</v>
      </c>
      <c r="R71" s="224"/>
      <c r="S71" s="411" t="s">
        <v>672</v>
      </c>
      <c r="T71" s="225" t="s">
        <v>697</v>
      </c>
      <c r="U71" s="226" t="s">
        <v>698</v>
      </c>
      <c r="V71" s="413" t="s">
        <v>695</v>
      </c>
      <c r="W71" s="225" t="s">
        <v>697</v>
      </c>
      <c r="X71" s="226" t="s">
        <v>698</v>
      </c>
      <c r="Y71" s="413" t="s">
        <v>696</v>
      </c>
      <c r="Z71" s="225" t="s">
        <v>699</v>
      </c>
      <c r="AA71" s="226" t="s">
        <v>698</v>
      </c>
      <c r="AB71" s="413"/>
      <c r="AC71" s="225">
        <f t="shared" si="22"/>
        <v>0</v>
      </c>
      <c r="AD71" s="226">
        <f t="shared" si="41"/>
        <v>0</v>
      </c>
      <c r="AE71" s="413"/>
      <c r="AF71" s="225">
        <f t="shared" si="23"/>
        <v>0</v>
      </c>
      <c r="AG71" s="226">
        <f t="shared" si="42"/>
        <v>0</v>
      </c>
      <c r="AH71" s="413"/>
      <c r="AI71" s="225">
        <f t="shared" si="24"/>
        <v>0</v>
      </c>
      <c r="AJ71" s="226">
        <f t="shared" si="43"/>
        <v>0</v>
      </c>
      <c r="AK71" s="413"/>
      <c r="AL71" s="225">
        <f t="shared" si="25"/>
        <v>0</v>
      </c>
      <c r="AM71" s="226">
        <f t="shared" si="44"/>
        <v>0</v>
      </c>
      <c r="AN71" s="462" t="str">
        <f t="shared" si="36"/>
        <v/>
      </c>
      <c r="AO71" s="416" t="str">
        <f t="shared" si="37"/>
        <v/>
      </c>
      <c r="AP71" s="416" t="str">
        <f t="shared" si="38"/>
        <v/>
      </c>
      <c r="AQ71" s="416" t="str">
        <f t="shared" si="39"/>
        <v/>
      </c>
      <c r="AR71" s="416" t="str">
        <f t="shared" ref="AR71:AR134" si="45">IF(AND(OR(D71="平日", D71="土・日・祝・長期休暇"), OR(P71=0, P71="")), "児童数が入力されていません！", "")</f>
        <v/>
      </c>
    </row>
    <row r="72" spans="1:44" ht="14.25">
      <c r="A72" s="830"/>
      <c r="B72" s="99" t="s">
        <v>257</v>
      </c>
      <c r="C72" s="466" t="s">
        <v>183</v>
      </c>
      <c r="D72" s="125" t="s">
        <v>24</v>
      </c>
      <c r="E72" s="126">
        <v>0.58333333333333337</v>
      </c>
      <c r="F72" s="126">
        <v>0.79166666666666663</v>
      </c>
      <c r="G72" s="217">
        <f t="shared" si="29"/>
        <v>0.20833333333333326</v>
      </c>
      <c r="H72" s="218">
        <f t="shared" si="30"/>
        <v>0</v>
      </c>
      <c r="I72" s="96">
        <f t="shared" si="31"/>
        <v>0</v>
      </c>
      <c r="J72" s="219">
        <f t="shared" si="32"/>
        <v>0</v>
      </c>
      <c r="K72" s="220">
        <f t="shared" si="33"/>
        <v>0</v>
      </c>
      <c r="L72" s="100">
        <f t="shared" si="34"/>
        <v>0</v>
      </c>
      <c r="M72" s="221" t="str">
        <f t="shared" si="40"/>
        <v/>
      </c>
      <c r="N72" s="222">
        <f t="shared" si="35"/>
        <v>0</v>
      </c>
      <c r="O72" s="223">
        <f>IF(N72=0,0,IF(SUM($N$5:N72)&gt;251,1,0))</f>
        <v>0</v>
      </c>
      <c r="P72" s="408">
        <v>25</v>
      </c>
      <c r="Q72" s="409">
        <v>0</v>
      </c>
      <c r="R72" s="224"/>
      <c r="S72" s="411" t="s">
        <v>672</v>
      </c>
      <c r="T72" s="225" t="s">
        <v>697</v>
      </c>
      <c r="U72" s="226" t="s">
        <v>698</v>
      </c>
      <c r="V72" s="413" t="s">
        <v>695</v>
      </c>
      <c r="W72" s="225" t="s">
        <v>697</v>
      </c>
      <c r="X72" s="226" t="s">
        <v>698</v>
      </c>
      <c r="Y72" s="413" t="s">
        <v>696</v>
      </c>
      <c r="Z72" s="225" t="s">
        <v>699</v>
      </c>
      <c r="AA72" s="226" t="s">
        <v>698</v>
      </c>
      <c r="AB72" s="413"/>
      <c r="AC72" s="225">
        <f t="shared" ref="AC72:AC135" si="46">VLOOKUP(AB72,$AT$12:$AU$31,2,FALSE)</f>
        <v>0</v>
      </c>
      <c r="AD72" s="226">
        <f t="shared" si="41"/>
        <v>0</v>
      </c>
      <c r="AE72" s="413"/>
      <c r="AF72" s="225">
        <f t="shared" ref="AF72:AF135" si="47">VLOOKUP(AE72,$AT$12:$AU$31,2,FALSE)</f>
        <v>0</v>
      </c>
      <c r="AG72" s="226">
        <f t="shared" si="42"/>
        <v>0</v>
      </c>
      <c r="AH72" s="413"/>
      <c r="AI72" s="225">
        <f t="shared" ref="AI72:AI135" si="48">VLOOKUP(AH72,$AT$12:$AU$31,2,FALSE)</f>
        <v>0</v>
      </c>
      <c r="AJ72" s="226">
        <f t="shared" si="43"/>
        <v>0</v>
      </c>
      <c r="AK72" s="413"/>
      <c r="AL72" s="225">
        <f t="shared" ref="AL72:AL135" si="49">VLOOKUP(AK72,$AT$12:$AU$31,2,FALSE)</f>
        <v>0</v>
      </c>
      <c r="AM72" s="226">
        <f t="shared" si="44"/>
        <v>0</v>
      </c>
      <c r="AN72" s="462" t="str">
        <f t="shared" si="36"/>
        <v/>
      </c>
      <c r="AO72" s="416" t="str">
        <f t="shared" si="37"/>
        <v/>
      </c>
      <c r="AP72" s="416" t="str">
        <f t="shared" si="38"/>
        <v/>
      </c>
      <c r="AQ72" s="416" t="str">
        <f t="shared" si="39"/>
        <v/>
      </c>
      <c r="AR72" s="416" t="str">
        <f t="shared" si="45"/>
        <v/>
      </c>
    </row>
    <row r="73" spans="1:44" ht="14.25">
      <c r="A73" s="830"/>
      <c r="B73" s="99" t="s">
        <v>258</v>
      </c>
      <c r="C73" s="466" t="s">
        <v>184</v>
      </c>
      <c r="D73" s="125" t="s">
        <v>24</v>
      </c>
      <c r="E73" s="126">
        <v>0.58333333333333337</v>
      </c>
      <c r="F73" s="126">
        <v>0.79166666666666663</v>
      </c>
      <c r="G73" s="217">
        <f t="shared" si="29"/>
        <v>0.20833333333333326</v>
      </c>
      <c r="H73" s="218">
        <f t="shared" si="30"/>
        <v>0</v>
      </c>
      <c r="I73" s="96">
        <f t="shared" si="31"/>
        <v>0</v>
      </c>
      <c r="J73" s="219">
        <f t="shared" si="32"/>
        <v>0</v>
      </c>
      <c r="K73" s="220">
        <f t="shared" si="33"/>
        <v>0</v>
      </c>
      <c r="L73" s="100">
        <f t="shared" si="34"/>
        <v>0</v>
      </c>
      <c r="M73" s="221" t="str">
        <f t="shared" si="40"/>
        <v/>
      </c>
      <c r="N73" s="222">
        <f t="shared" si="35"/>
        <v>0</v>
      </c>
      <c r="O73" s="223">
        <f>IF(N73=0,0,IF(SUM($N$5:N73)&gt;251,1,0))</f>
        <v>0</v>
      </c>
      <c r="P73" s="408">
        <v>24</v>
      </c>
      <c r="Q73" s="409">
        <v>1</v>
      </c>
      <c r="R73" s="224"/>
      <c r="S73" s="411" t="s">
        <v>672</v>
      </c>
      <c r="T73" s="225" t="s">
        <v>697</v>
      </c>
      <c r="U73" s="226" t="s">
        <v>698</v>
      </c>
      <c r="V73" s="413" t="s">
        <v>695</v>
      </c>
      <c r="W73" s="225" t="s">
        <v>697</v>
      </c>
      <c r="X73" s="226" t="s">
        <v>698</v>
      </c>
      <c r="Y73" s="413" t="s">
        <v>696</v>
      </c>
      <c r="Z73" s="225" t="s">
        <v>699</v>
      </c>
      <c r="AA73" s="226" t="s">
        <v>698</v>
      </c>
      <c r="AB73" s="413"/>
      <c r="AC73" s="225">
        <f t="shared" si="46"/>
        <v>0</v>
      </c>
      <c r="AD73" s="226">
        <f t="shared" si="41"/>
        <v>0</v>
      </c>
      <c r="AE73" s="413"/>
      <c r="AF73" s="225">
        <f t="shared" si="47"/>
        <v>0</v>
      </c>
      <c r="AG73" s="226">
        <f t="shared" si="42"/>
        <v>0</v>
      </c>
      <c r="AH73" s="413"/>
      <c r="AI73" s="225">
        <f t="shared" si="48"/>
        <v>0</v>
      </c>
      <c r="AJ73" s="226">
        <f t="shared" si="43"/>
        <v>0</v>
      </c>
      <c r="AK73" s="413"/>
      <c r="AL73" s="225">
        <f t="shared" si="49"/>
        <v>0</v>
      </c>
      <c r="AM73" s="226">
        <f t="shared" si="44"/>
        <v>0</v>
      </c>
      <c r="AN73" s="462" t="str">
        <f t="shared" si="36"/>
        <v/>
      </c>
      <c r="AO73" s="416" t="str">
        <f t="shared" si="37"/>
        <v/>
      </c>
      <c r="AP73" s="416" t="str">
        <f t="shared" si="38"/>
        <v/>
      </c>
      <c r="AQ73" s="416" t="str">
        <f t="shared" si="39"/>
        <v/>
      </c>
      <c r="AR73" s="416" t="str">
        <f t="shared" si="45"/>
        <v/>
      </c>
    </row>
    <row r="74" spans="1:44" ht="14.25">
      <c r="A74" s="830"/>
      <c r="B74" s="99" t="s">
        <v>259</v>
      </c>
      <c r="C74" s="466" t="s">
        <v>185</v>
      </c>
      <c r="D74" s="125" t="s">
        <v>24</v>
      </c>
      <c r="E74" s="126">
        <v>0.58333333333333337</v>
      </c>
      <c r="F74" s="126">
        <v>0.79166666666666663</v>
      </c>
      <c r="G74" s="217">
        <f t="shared" si="29"/>
        <v>0.20833333333333326</v>
      </c>
      <c r="H74" s="218">
        <f t="shared" si="30"/>
        <v>0</v>
      </c>
      <c r="I74" s="96">
        <f t="shared" si="31"/>
        <v>0</v>
      </c>
      <c r="J74" s="219">
        <f t="shared" si="32"/>
        <v>0</v>
      </c>
      <c r="K74" s="220">
        <f t="shared" si="33"/>
        <v>0</v>
      </c>
      <c r="L74" s="100">
        <f t="shared" si="34"/>
        <v>0</v>
      </c>
      <c r="M74" s="221" t="str">
        <f t="shared" si="40"/>
        <v/>
      </c>
      <c r="N74" s="222">
        <f t="shared" si="35"/>
        <v>0</v>
      </c>
      <c r="O74" s="223">
        <f>IF(N74=0,0,IF(SUM($N$5:N74)&gt;251,1,0))</f>
        <v>0</v>
      </c>
      <c r="P74" s="408">
        <v>19</v>
      </c>
      <c r="Q74" s="409">
        <v>1</v>
      </c>
      <c r="R74" s="224"/>
      <c r="S74" s="411" t="s">
        <v>672</v>
      </c>
      <c r="T74" s="225" t="s">
        <v>697</v>
      </c>
      <c r="U74" s="226" t="s">
        <v>698</v>
      </c>
      <c r="V74" s="413" t="s">
        <v>695</v>
      </c>
      <c r="W74" s="225" t="s">
        <v>697</v>
      </c>
      <c r="X74" s="226" t="s">
        <v>698</v>
      </c>
      <c r="Y74" s="413" t="s">
        <v>696</v>
      </c>
      <c r="Z74" s="225" t="s">
        <v>699</v>
      </c>
      <c r="AA74" s="226" t="s">
        <v>698</v>
      </c>
      <c r="AB74" s="413"/>
      <c r="AC74" s="225">
        <f t="shared" si="46"/>
        <v>0</v>
      </c>
      <c r="AD74" s="226">
        <f t="shared" si="41"/>
        <v>0</v>
      </c>
      <c r="AE74" s="413"/>
      <c r="AF74" s="225">
        <f t="shared" si="47"/>
        <v>0</v>
      </c>
      <c r="AG74" s="226">
        <f t="shared" si="42"/>
        <v>0</v>
      </c>
      <c r="AH74" s="413"/>
      <c r="AI74" s="225">
        <f t="shared" si="48"/>
        <v>0</v>
      </c>
      <c r="AJ74" s="226">
        <f t="shared" si="43"/>
        <v>0</v>
      </c>
      <c r="AK74" s="413"/>
      <c r="AL74" s="225">
        <f t="shared" si="49"/>
        <v>0</v>
      </c>
      <c r="AM74" s="226">
        <f t="shared" si="44"/>
        <v>0</v>
      </c>
      <c r="AN74" s="462" t="str">
        <f t="shared" si="36"/>
        <v/>
      </c>
      <c r="AO74" s="416" t="str">
        <f t="shared" si="37"/>
        <v/>
      </c>
      <c r="AP74" s="416" t="str">
        <f t="shared" si="38"/>
        <v/>
      </c>
      <c r="AQ74" s="416" t="str">
        <f t="shared" si="39"/>
        <v/>
      </c>
      <c r="AR74" s="416" t="str">
        <f t="shared" si="45"/>
        <v/>
      </c>
    </row>
    <row r="75" spans="1:44" ht="14.25">
      <c r="A75" s="830"/>
      <c r="B75" s="99" t="s">
        <v>260</v>
      </c>
      <c r="C75" s="466" t="s">
        <v>186</v>
      </c>
      <c r="D75" s="125" t="s">
        <v>249</v>
      </c>
      <c r="E75" s="126">
        <v>0.375</v>
      </c>
      <c r="F75" s="126">
        <v>0.75</v>
      </c>
      <c r="G75" s="217">
        <f t="shared" si="29"/>
        <v>0.375</v>
      </c>
      <c r="H75" s="218">
        <f t="shared" si="30"/>
        <v>0</v>
      </c>
      <c r="I75" s="96">
        <f t="shared" si="31"/>
        <v>0</v>
      </c>
      <c r="J75" s="219">
        <f t="shared" si="32"/>
        <v>0</v>
      </c>
      <c r="K75" s="220">
        <f t="shared" si="33"/>
        <v>4.1666666666666685E-2</v>
      </c>
      <c r="L75" s="100">
        <f t="shared" si="34"/>
        <v>1</v>
      </c>
      <c r="M75" s="221" t="str">
        <f t="shared" si="40"/>
        <v/>
      </c>
      <c r="N75" s="222">
        <f t="shared" si="35"/>
        <v>1</v>
      </c>
      <c r="O75" s="223">
        <f>IF(N75=0,0,IF(SUM($N$5:N75)&gt;251,1,0))</f>
        <v>0</v>
      </c>
      <c r="P75" s="408">
        <v>1</v>
      </c>
      <c r="Q75" s="409">
        <v>0</v>
      </c>
      <c r="R75" s="224"/>
      <c r="S75" s="411" t="s">
        <v>672</v>
      </c>
      <c r="T75" s="225" t="s">
        <v>697</v>
      </c>
      <c r="U75" s="226" t="s">
        <v>698</v>
      </c>
      <c r="V75" s="413" t="s">
        <v>695</v>
      </c>
      <c r="W75" s="225" t="s">
        <v>697</v>
      </c>
      <c r="X75" s="226" t="s">
        <v>698</v>
      </c>
      <c r="Y75" s="413" t="s">
        <v>696</v>
      </c>
      <c r="Z75" s="225" t="s">
        <v>699</v>
      </c>
      <c r="AA75" s="226" t="s">
        <v>698</v>
      </c>
      <c r="AB75" s="413"/>
      <c r="AC75" s="225">
        <f t="shared" si="46"/>
        <v>0</v>
      </c>
      <c r="AD75" s="226">
        <f t="shared" si="41"/>
        <v>0</v>
      </c>
      <c r="AE75" s="413"/>
      <c r="AF75" s="225">
        <f t="shared" si="47"/>
        <v>0</v>
      </c>
      <c r="AG75" s="226">
        <f t="shared" si="42"/>
        <v>0</v>
      </c>
      <c r="AH75" s="413"/>
      <c r="AI75" s="225">
        <f t="shared" si="48"/>
        <v>0</v>
      </c>
      <c r="AJ75" s="226">
        <f t="shared" si="43"/>
        <v>0</v>
      </c>
      <c r="AK75" s="413"/>
      <c r="AL75" s="225">
        <f t="shared" si="49"/>
        <v>0</v>
      </c>
      <c r="AM75" s="226">
        <f t="shared" si="44"/>
        <v>0</v>
      </c>
      <c r="AN75" s="462" t="str">
        <f t="shared" si="36"/>
        <v/>
      </c>
      <c r="AO75" s="416" t="str">
        <f t="shared" si="37"/>
        <v/>
      </c>
      <c r="AP75" s="416" t="str">
        <f t="shared" si="38"/>
        <v/>
      </c>
      <c r="AQ75" s="416" t="str">
        <f t="shared" si="39"/>
        <v/>
      </c>
      <c r="AR75" s="416" t="str">
        <f t="shared" si="45"/>
        <v/>
      </c>
    </row>
    <row r="76" spans="1:44" ht="14.25">
      <c r="A76" s="830"/>
      <c r="B76" s="99" t="s">
        <v>261</v>
      </c>
      <c r="C76" s="466" t="s">
        <v>262</v>
      </c>
      <c r="D76" s="125" t="s">
        <v>251</v>
      </c>
      <c r="E76" s="126"/>
      <c r="F76" s="126"/>
      <c r="G76" s="217">
        <f t="shared" si="29"/>
        <v>0</v>
      </c>
      <c r="H76" s="218">
        <f t="shared" si="30"/>
        <v>0</v>
      </c>
      <c r="I76" s="96">
        <f t="shared" si="31"/>
        <v>0</v>
      </c>
      <c r="J76" s="219">
        <f t="shared" si="32"/>
        <v>0</v>
      </c>
      <c r="K76" s="220">
        <f t="shared" si="33"/>
        <v>0</v>
      </c>
      <c r="L76" s="100">
        <f t="shared" si="34"/>
        <v>0</v>
      </c>
      <c r="M76" s="221" t="str">
        <f t="shared" si="40"/>
        <v/>
      </c>
      <c r="N76" s="222">
        <f t="shared" si="35"/>
        <v>0</v>
      </c>
      <c r="O76" s="223">
        <f>IF(N76=0,0,IF(SUM($N$5:N76)&gt;251,1,0))</f>
        <v>0</v>
      </c>
      <c r="P76" s="408"/>
      <c r="Q76" s="409"/>
      <c r="R76" s="224"/>
      <c r="S76" s="411"/>
      <c r="T76" s="225">
        <f t="shared" ref="T76:T132" si="50">VLOOKUP(S76,$AT$12:$AU$31,2,FALSE)</f>
        <v>0</v>
      </c>
      <c r="U76" s="226">
        <f t="shared" ref="U76:U132" si="51">VLOOKUP(S76,$AT$12:$AV$31,3,FALSE)</f>
        <v>0</v>
      </c>
      <c r="V76" s="413"/>
      <c r="W76" s="225">
        <f t="shared" ref="W76:W132" si="52">VLOOKUP(V76,$AT$12:$AU$31,2,FALSE)</f>
        <v>0</v>
      </c>
      <c r="X76" s="226">
        <f t="shared" ref="X76:X132" si="53">VLOOKUP(V76,$AT$12:$AV$31,3,FALSE)</f>
        <v>0</v>
      </c>
      <c r="Y76" s="413"/>
      <c r="Z76" s="225">
        <f t="shared" ref="Z76:Z132" si="54">VLOOKUP(Y76,$AT$12:$AU$31,2,FALSE)</f>
        <v>0</v>
      </c>
      <c r="AA76" s="226">
        <f t="shared" ref="AA76:AA132" si="55">VLOOKUP(Y76,$AT$12:$AV$31,3,FALSE)</f>
        <v>0</v>
      </c>
      <c r="AB76" s="413"/>
      <c r="AC76" s="225">
        <f t="shared" si="46"/>
        <v>0</v>
      </c>
      <c r="AD76" s="226">
        <f t="shared" si="41"/>
        <v>0</v>
      </c>
      <c r="AE76" s="413"/>
      <c r="AF76" s="225">
        <f t="shared" si="47"/>
        <v>0</v>
      </c>
      <c r="AG76" s="226">
        <f t="shared" si="42"/>
        <v>0</v>
      </c>
      <c r="AH76" s="413"/>
      <c r="AI76" s="225">
        <f t="shared" si="48"/>
        <v>0</v>
      </c>
      <c r="AJ76" s="226">
        <f t="shared" si="43"/>
        <v>0</v>
      </c>
      <c r="AK76" s="413"/>
      <c r="AL76" s="225">
        <f t="shared" si="49"/>
        <v>0</v>
      </c>
      <c r="AM76" s="226">
        <f t="shared" si="44"/>
        <v>0</v>
      </c>
      <c r="AN76" s="462" t="str">
        <f t="shared" si="36"/>
        <v/>
      </c>
      <c r="AO76" s="416" t="str">
        <f t="shared" si="37"/>
        <v/>
      </c>
      <c r="AP76" s="416" t="str">
        <f t="shared" si="38"/>
        <v/>
      </c>
      <c r="AQ76" s="416" t="str">
        <f t="shared" si="39"/>
        <v/>
      </c>
      <c r="AR76" s="416" t="str">
        <f t="shared" si="45"/>
        <v/>
      </c>
    </row>
    <row r="77" spans="1:44" ht="14.25">
      <c r="A77" s="830"/>
      <c r="B77" s="99" t="s">
        <v>263</v>
      </c>
      <c r="C77" s="466" t="s">
        <v>182</v>
      </c>
      <c r="D77" s="125" t="s">
        <v>24</v>
      </c>
      <c r="E77" s="126">
        <v>0.58333333333333337</v>
      </c>
      <c r="F77" s="126">
        <v>0.79166666666666663</v>
      </c>
      <c r="G77" s="217">
        <f t="shared" si="29"/>
        <v>0.20833333333333326</v>
      </c>
      <c r="H77" s="218">
        <f t="shared" si="30"/>
        <v>0</v>
      </c>
      <c r="I77" s="96">
        <f t="shared" si="31"/>
        <v>0</v>
      </c>
      <c r="J77" s="219">
        <f t="shared" si="32"/>
        <v>0</v>
      </c>
      <c r="K77" s="220">
        <f t="shared" si="33"/>
        <v>0</v>
      </c>
      <c r="L77" s="100">
        <f t="shared" si="34"/>
        <v>0</v>
      </c>
      <c r="M77" s="221" t="str">
        <f t="shared" si="40"/>
        <v/>
      </c>
      <c r="N77" s="222">
        <f t="shared" si="35"/>
        <v>0</v>
      </c>
      <c r="O77" s="223">
        <f>IF(N77=0,0,IF(SUM($N$5:N77)&gt;251,1,0))</f>
        <v>0</v>
      </c>
      <c r="P77" s="408">
        <v>21</v>
      </c>
      <c r="Q77" s="409">
        <v>0</v>
      </c>
      <c r="R77" s="224"/>
      <c r="S77" s="411" t="s">
        <v>672</v>
      </c>
      <c r="T77" s="225" t="s">
        <v>697</v>
      </c>
      <c r="U77" s="226" t="s">
        <v>698</v>
      </c>
      <c r="V77" s="413" t="s">
        <v>695</v>
      </c>
      <c r="W77" s="225" t="s">
        <v>697</v>
      </c>
      <c r="X77" s="226" t="s">
        <v>698</v>
      </c>
      <c r="Y77" s="413" t="s">
        <v>696</v>
      </c>
      <c r="Z77" s="225" t="s">
        <v>699</v>
      </c>
      <c r="AA77" s="226" t="s">
        <v>698</v>
      </c>
      <c r="AB77" s="413"/>
      <c r="AC77" s="225">
        <f t="shared" si="46"/>
        <v>0</v>
      </c>
      <c r="AD77" s="226">
        <f t="shared" si="41"/>
        <v>0</v>
      </c>
      <c r="AE77" s="413"/>
      <c r="AF77" s="225">
        <f t="shared" si="47"/>
        <v>0</v>
      </c>
      <c r="AG77" s="226">
        <f t="shared" si="42"/>
        <v>0</v>
      </c>
      <c r="AH77" s="413"/>
      <c r="AI77" s="225">
        <f t="shared" si="48"/>
        <v>0</v>
      </c>
      <c r="AJ77" s="226">
        <f t="shared" si="43"/>
        <v>0</v>
      </c>
      <c r="AK77" s="413"/>
      <c r="AL77" s="225">
        <f t="shared" si="49"/>
        <v>0</v>
      </c>
      <c r="AM77" s="226">
        <f t="shared" si="44"/>
        <v>0</v>
      </c>
      <c r="AN77" s="462" t="str">
        <f t="shared" si="36"/>
        <v/>
      </c>
      <c r="AO77" s="416" t="str">
        <f t="shared" si="37"/>
        <v/>
      </c>
      <c r="AP77" s="416" t="str">
        <f t="shared" si="38"/>
        <v/>
      </c>
      <c r="AQ77" s="416" t="str">
        <f t="shared" si="39"/>
        <v/>
      </c>
      <c r="AR77" s="416" t="str">
        <f t="shared" si="45"/>
        <v/>
      </c>
    </row>
    <row r="78" spans="1:44" ht="14.25">
      <c r="A78" s="830"/>
      <c r="B78" s="99" t="s">
        <v>264</v>
      </c>
      <c r="C78" s="466" t="s">
        <v>187</v>
      </c>
      <c r="D78" s="125" t="s">
        <v>24</v>
      </c>
      <c r="E78" s="126">
        <v>0.58333333333333337</v>
      </c>
      <c r="F78" s="126">
        <v>0.79166666666666663</v>
      </c>
      <c r="G78" s="217">
        <f t="shared" si="29"/>
        <v>0.20833333333333326</v>
      </c>
      <c r="H78" s="218">
        <f t="shared" si="30"/>
        <v>0</v>
      </c>
      <c r="I78" s="96">
        <f t="shared" si="31"/>
        <v>0</v>
      </c>
      <c r="J78" s="219">
        <f t="shared" si="32"/>
        <v>0</v>
      </c>
      <c r="K78" s="220">
        <f t="shared" si="33"/>
        <v>0</v>
      </c>
      <c r="L78" s="100">
        <f t="shared" si="34"/>
        <v>0</v>
      </c>
      <c r="M78" s="221" t="str">
        <f t="shared" si="40"/>
        <v/>
      </c>
      <c r="N78" s="222">
        <f t="shared" si="35"/>
        <v>0</v>
      </c>
      <c r="O78" s="223">
        <f>IF(N78=0,0,IF(SUM($N$5:N78)&gt;251,1,0))</f>
        <v>0</v>
      </c>
      <c r="P78" s="408">
        <v>23</v>
      </c>
      <c r="Q78" s="409">
        <v>0</v>
      </c>
      <c r="R78" s="224"/>
      <c r="S78" s="411" t="s">
        <v>672</v>
      </c>
      <c r="T78" s="225" t="s">
        <v>697</v>
      </c>
      <c r="U78" s="226" t="s">
        <v>698</v>
      </c>
      <c r="V78" s="413" t="s">
        <v>695</v>
      </c>
      <c r="W78" s="225" t="s">
        <v>697</v>
      </c>
      <c r="X78" s="226" t="s">
        <v>698</v>
      </c>
      <c r="Y78" s="413" t="s">
        <v>696</v>
      </c>
      <c r="Z78" s="225" t="s">
        <v>699</v>
      </c>
      <c r="AA78" s="226" t="s">
        <v>698</v>
      </c>
      <c r="AB78" s="413"/>
      <c r="AC78" s="225">
        <f t="shared" si="46"/>
        <v>0</v>
      </c>
      <c r="AD78" s="226">
        <f t="shared" si="41"/>
        <v>0</v>
      </c>
      <c r="AE78" s="413"/>
      <c r="AF78" s="225">
        <f t="shared" si="47"/>
        <v>0</v>
      </c>
      <c r="AG78" s="226">
        <f t="shared" si="42"/>
        <v>0</v>
      </c>
      <c r="AH78" s="413"/>
      <c r="AI78" s="225">
        <f t="shared" si="48"/>
        <v>0</v>
      </c>
      <c r="AJ78" s="226">
        <f t="shared" si="43"/>
        <v>0</v>
      </c>
      <c r="AK78" s="413"/>
      <c r="AL78" s="225">
        <f t="shared" si="49"/>
        <v>0</v>
      </c>
      <c r="AM78" s="226">
        <f t="shared" si="44"/>
        <v>0</v>
      </c>
      <c r="AN78" s="462" t="str">
        <f t="shared" si="36"/>
        <v/>
      </c>
      <c r="AO78" s="416" t="str">
        <f t="shared" si="37"/>
        <v/>
      </c>
      <c r="AP78" s="416" t="str">
        <f t="shared" si="38"/>
        <v/>
      </c>
      <c r="AQ78" s="416" t="str">
        <f t="shared" si="39"/>
        <v/>
      </c>
      <c r="AR78" s="416" t="str">
        <f t="shared" si="45"/>
        <v/>
      </c>
    </row>
    <row r="79" spans="1:44" ht="14.25">
      <c r="A79" s="830"/>
      <c r="B79" s="99" t="s">
        <v>265</v>
      </c>
      <c r="C79" s="466" t="s">
        <v>183</v>
      </c>
      <c r="D79" s="125" t="s">
        <v>24</v>
      </c>
      <c r="E79" s="126">
        <v>0.58333333333333337</v>
      </c>
      <c r="F79" s="126">
        <v>0.79166666666666663</v>
      </c>
      <c r="G79" s="217">
        <f t="shared" si="29"/>
        <v>0.20833333333333326</v>
      </c>
      <c r="H79" s="218">
        <f t="shared" si="30"/>
        <v>0</v>
      </c>
      <c r="I79" s="96">
        <f t="shared" si="31"/>
        <v>0</v>
      </c>
      <c r="J79" s="219">
        <f t="shared" si="32"/>
        <v>0</v>
      </c>
      <c r="K79" s="220">
        <f t="shared" si="33"/>
        <v>0</v>
      </c>
      <c r="L79" s="100">
        <f t="shared" si="34"/>
        <v>0</v>
      </c>
      <c r="M79" s="221" t="str">
        <f t="shared" si="40"/>
        <v/>
      </c>
      <c r="N79" s="222">
        <f t="shared" si="35"/>
        <v>0</v>
      </c>
      <c r="O79" s="223">
        <f>IF(N79=0,0,IF(SUM($N$5:N79)&gt;251,1,0))</f>
        <v>0</v>
      </c>
      <c r="P79" s="408">
        <v>29</v>
      </c>
      <c r="Q79" s="409">
        <v>1</v>
      </c>
      <c r="R79" s="224"/>
      <c r="S79" s="411" t="s">
        <v>672</v>
      </c>
      <c r="T79" s="225" t="s">
        <v>697</v>
      </c>
      <c r="U79" s="226" t="s">
        <v>698</v>
      </c>
      <c r="V79" s="413" t="s">
        <v>695</v>
      </c>
      <c r="W79" s="225" t="s">
        <v>697</v>
      </c>
      <c r="X79" s="226" t="s">
        <v>698</v>
      </c>
      <c r="Y79" s="413" t="s">
        <v>696</v>
      </c>
      <c r="Z79" s="225" t="s">
        <v>699</v>
      </c>
      <c r="AA79" s="226" t="s">
        <v>698</v>
      </c>
      <c r="AB79" s="413"/>
      <c r="AC79" s="225">
        <f t="shared" si="46"/>
        <v>0</v>
      </c>
      <c r="AD79" s="226">
        <f t="shared" si="41"/>
        <v>0</v>
      </c>
      <c r="AE79" s="413"/>
      <c r="AF79" s="225">
        <f t="shared" si="47"/>
        <v>0</v>
      </c>
      <c r="AG79" s="226">
        <f t="shared" si="42"/>
        <v>0</v>
      </c>
      <c r="AH79" s="413"/>
      <c r="AI79" s="225">
        <f t="shared" si="48"/>
        <v>0</v>
      </c>
      <c r="AJ79" s="226">
        <f t="shared" si="43"/>
        <v>0</v>
      </c>
      <c r="AK79" s="413"/>
      <c r="AL79" s="225">
        <f t="shared" si="49"/>
        <v>0</v>
      </c>
      <c r="AM79" s="226">
        <f t="shared" si="44"/>
        <v>0</v>
      </c>
      <c r="AN79" s="462" t="str">
        <f t="shared" si="36"/>
        <v/>
      </c>
      <c r="AO79" s="416" t="str">
        <f t="shared" si="37"/>
        <v/>
      </c>
      <c r="AP79" s="416" t="str">
        <f t="shared" si="38"/>
        <v/>
      </c>
      <c r="AQ79" s="416" t="str">
        <f t="shared" si="39"/>
        <v/>
      </c>
      <c r="AR79" s="416" t="str">
        <f t="shared" si="45"/>
        <v/>
      </c>
    </row>
    <row r="80" spans="1:44" ht="14.25">
      <c r="A80" s="830"/>
      <c r="B80" s="99" t="s">
        <v>266</v>
      </c>
      <c r="C80" s="466" t="s">
        <v>184</v>
      </c>
      <c r="D80" s="125" t="s">
        <v>24</v>
      </c>
      <c r="E80" s="126">
        <v>0.58333333333333337</v>
      </c>
      <c r="F80" s="126">
        <v>0.79166666666666663</v>
      </c>
      <c r="G80" s="217">
        <f t="shared" si="29"/>
        <v>0.20833333333333326</v>
      </c>
      <c r="H80" s="218">
        <f t="shared" si="30"/>
        <v>0</v>
      </c>
      <c r="I80" s="96">
        <f t="shared" si="31"/>
        <v>0</v>
      </c>
      <c r="J80" s="219">
        <f t="shared" si="32"/>
        <v>0</v>
      </c>
      <c r="K80" s="220">
        <f t="shared" si="33"/>
        <v>0</v>
      </c>
      <c r="L80" s="100">
        <f t="shared" si="34"/>
        <v>0</v>
      </c>
      <c r="M80" s="221" t="str">
        <f t="shared" si="40"/>
        <v/>
      </c>
      <c r="N80" s="222">
        <f t="shared" si="35"/>
        <v>0</v>
      </c>
      <c r="O80" s="223">
        <f>IF(N80=0,0,IF(SUM($N$5:N80)&gt;251,1,0))</f>
        <v>0</v>
      </c>
      <c r="P80" s="408">
        <v>27</v>
      </c>
      <c r="Q80" s="409">
        <v>0</v>
      </c>
      <c r="R80" s="224"/>
      <c r="S80" s="411" t="s">
        <v>672</v>
      </c>
      <c r="T80" s="225" t="s">
        <v>697</v>
      </c>
      <c r="U80" s="226" t="s">
        <v>698</v>
      </c>
      <c r="V80" s="413" t="s">
        <v>695</v>
      </c>
      <c r="W80" s="225" t="s">
        <v>697</v>
      </c>
      <c r="X80" s="226" t="s">
        <v>698</v>
      </c>
      <c r="Y80" s="413" t="s">
        <v>696</v>
      </c>
      <c r="Z80" s="225" t="s">
        <v>699</v>
      </c>
      <c r="AA80" s="226" t="s">
        <v>698</v>
      </c>
      <c r="AB80" s="413"/>
      <c r="AC80" s="225">
        <f t="shared" si="46"/>
        <v>0</v>
      </c>
      <c r="AD80" s="226">
        <f t="shared" si="41"/>
        <v>0</v>
      </c>
      <c r="AE80" s="413"/>
      <c r="AF80" s="225">
        <f t="shared" si="47"/>
        <v>0</v>
      </c>
      <c r="AG80" s="226">
        <f t="shared" si="42"/>
        <v>0</v>
      </c>
      <c r="AH80" s="413"/>
      <c r="AI80" s="225">
        <f t="shared" si="48"/>
        <v>0</v>
      </c>
      <c r="AJ80" s="226">
        <f t="shared" si="43"/>
        <v>0</v>
      </c>
      <c r="AK80" s="413"/>
      <c r="AL80" s="225">
        <f t="shared" si="49"/>
        <v>0</v>
      </c>
      <c r="AM80" s="226">
        <f t="shared" si="44"/>
        <v>0</v>
      </c>
      <c r="AN80" s="462" t="str">
        <f t="shared" si="36"/>
        <v/>
      </c>
      <c r="AO80" s="416" t="str">
        <f t="shared" si="37"/>
        <v/>
      </c>
      <c r="AP80" s="416" t="str">
        <f t="shared" si="38"/>
        <v/>
      </c>
      <c r="AQ80" s="416" t="str">
        <f t="shared" si="39"/>
        <v/>
      </c>
      <c r="AR80" s="416" t="str">
        <f t="shared" si="45"/>
        <v/>
      </c>
    </row>
    <row r="81" spans="1:44" ht="14.25">
      <c r="A81" s="830"/>
      <c r="B81" s="99" t="s">
        <v>267</v>
      </c>
      <c r="C81" s="466" t="s">
        <v>185</v>
      </c>
      <c r="D81" s="125" t="s">
        <v>24</v>
      </c>
      <c r="E81" s="126">
        <v>0.58333333333333337</v>
      </c>
      <c r="F81" s="126">
        <v>0.79166666666666663</v>
      </c>
      <c r="G81" s="217">
        <f t="shared" si="29"/>
        <v>0.20833333333333326</v>
      </c>
      <c r="H81" s="218">
        <f t="shared" si="30"/>
        <v>0</v>
      </c>
      <c r="I81" s="96">
        <f t="shared" si="31"/>
        <v>0</v>
      </c>
      <c r="J81" s="219">
        <f t="shared" si="32"/>
        <v>0</v>
      </c>
      <c r="K81" s="220">
        <f t="shared" si="33"/>
        <v>0</v>
      </c>
      <c r="L81" s="100">
        <f t="shared" si="34"/>
        <v>0</v>
      </c>
      <c r="M81" s="221" t="str">
        <f t="shared" si="40"/>
        <v/>
      </c>
      <c r="N81" s="222">
        <f t="shared" si="35"/>
        <v>0</v>
      </c>
      <c r="O81" s="223">
        <f>IF(N81=0,0,IF(SUM($N$5:N81)&gt;251,1,0))</f>
        <v>0</v>
      </c>
      <c r="P81" s="408">
        <v>21</v>
      </c>
      <c r="Q81" s="409">
        <v>1</v>
      </c>
      <c r="R81" s="224"/>
      <c r="S81" s="411" t="s">
        <v>672</v>
      </c>
      <c r="T81" s="225" t="s">
        <v>697</v>
      </c>
      <c r="U81" s="226" t="s">
        <v>698</v>
      </c>
      <c r="V81" s="413" t="s">
        <v>695</v>
      </c>
      <c r="W81" s="225" t="s">
        <v>697</v>
      </c>
      <c r="X81" s="226" t="s">
        <v>698</v>
      </c>
      <c r="Y81" s="413" t="s">
        <v>696</v>
      </c>
      <c r="Z81" s="225" t="s">
        <v>699</v>
      </c>
      <c r="AA81" s="226" t="s">
        <v>698</v>
      </c>
      <c r="AB81" s="413"/>
      <c r="AC81" s="225">
        <f t="shared" si="46"/>
        <v>0</v>
      </c>
      <c r="AD81" s="226">
        <f t="shared" si="41"/>
        <v>0</v>
      </c>
      <c r="AE81" s="413"/>
      <c r="AF81" s="225">
        <f t="shared" si="47"/>
        <v>0</v>
      </c>
      <c r="AG81" s="226">
        <f t="shared" si="42"/>
        <v>0</v>
      </c>
      <c r="AH81" s="413"/>
      <c r="AI81" s="225">
        <f t="shared" si="48"/>
        <v>0</v>
      </c>
      <c r="AJ81" s="226">
        <f t="shared" si="43"/>
        <v>0</v>
      </c>
      <c r="AK81" s="413"/>
      <c r="AL81" s="225">
        <f t="shared" si="49"/>
        <v>0</v>
      </c>
      <c r="AM81" s="226">
        <f t="shared" si="44"/>
        <v>0</v>
      </c>
      <c r="AN81" s="462" t="str">
        <f t="shared" si="36"/>
        <v/>
      </c>
      <c r="AO81" s="416" t="str">
        <f t="shared" si="37"/>
        <v/>
      </c>
      <c r="AP81" s="416" t="str">
        <f t="shared" si="38"/>
        <v/>
      </c>
      <c r="AQ81" s="416" t="str">
        <f t="shared" si="39"/>
        <v/>
      </c>
      <c r="AR81" s="416" t="str">
        <f t="shared" si="45"/>
        <v/>
      </c>
    </row>
    <row r="82" spans="1:44" ht="14.25">
      <c r="A82" s="830"/>
      <c r="B82" s="99" t="s">
        <v>268</v>
      </c>
      <c r="C82" s="466" t="s">
        <v>186</v>
      </c>
      <c r="D82" s="125" t="s">
        <v>249</v>
      </c>
      <c r="E82" s="126">
        <v>0.375</v>
      </c>
      <c r="F82" s="126">
        <v>0.75</v>
      </c>
      <c r="G82" s="217">
        <f t="shared" si="29"/>
        <v>0.375</v>
      </c>
      <c r="H82" s="218">
        <f t="shared" si="30"/>
        <v>0</v>
      </c>
      <c r="I82" s="96">
        <f t="shared" si="31"/>
        <v>0</v>
      </c>
      <c r="J82" s="219">
        <f t="shared" si="32"/>
        <v>0</v>
      </c>
      <c r="K82" s="220">
        <f t="shared" si="33"/>
        <v>4.1666666666666685E-2</v>
      </c>
      <c r="L82" s="100">
        <f t="shared" si="34"/>
        <v>1</v>
      </c>
      <c r="M82" s="221" t="str">
        <f t="shared" si="40"/>
        <v/>
      </c>
      <c r="N82" s="222">
        <f t="shared" si="35"/>
        <v>1</v>
      </c>
      <c r="O82" s="223">
        <f>IF(N82=0,0,IF(SUM($N$5:N82)&gt;251,1,0))</f>
        <v>0</v>
      </c>
      <c r="P82" s="408">
        <v>5</v>
      </c>
      <c r="Q82" s="409">
        <v>1</v>
      </c>
      <c r="R82" s="224"/>
      <c r="S82" s="411" t="s">
        <v>672</v>
      </c>
      <c r="T82" s="225" t="s">
        <v>697</v>
      </c>
      <c r="U82" s="226" t="s">
        <v>698</v>
      </c>
      <c r="V82" s="413" t="s">
        <v>695</v>
      </c>
      <c r="W82" s="225" t="s">
        <v>697</v>
      </c>
      <c r="X82" s="226" t="s">
        <v>698</v>
      </c>
      <c r="Y82" s="413" t="s">
        <v>696</v>
      </c>
      <c r="Z82" s="225" t="s">
        <v>699</v>
      </c>
      <c r="AA82" s="226" t="s">
        <v>698</v>
      </c>
      <c r="AB82" s="413"/>
      <c r="AC82" s="225">
        <f t="shared" si="46"/>
        <v>0</v>
      </c>
      <c r="AD82" s="226">
        <f t="shared" si="41"/>
        <v>0</v>
      </c>
      <c r="AE82" s="413"/>
      <c r="AF82" s="225">
        <f t="shared" si="47"/>
        <v>0</v>
      </c>
      <c r="AG82" s="226">
        <f t="shared" si="42"/>
        <v>0</v>
      </c>
      <c r="AH82" s="413"/>
      <c r="AI82" s="225">
        <f t="shared" si="48"/>
        <v>0</v>
      </c>
      <c r="AJ82" s="226">
        <f t="shared" si="43"/>
        <v>0</v>
      </c>
      <c r="AK82" s="413"/>
      <c r="AL82" s="225">
        <f t="shared" si="49"/>
        <v>0</v>
      </c>
      <c r="AM82" s="226">
        <f t="shared" si="44"/>
        <v>0</v>
      </c>
      <c r="AN82" s="462" t="str">
        <f t="shared" si="36"/>
        <v/>
      </c>
      <c r="AO82" s="416" t="str">
        <f t="shared" si="37"/>
        <v/>
      </c>
      <c r="AP82" s="416" t="str">
        <f t="shared" si="38"/>
        <v/>
      </c>
      <c r="AQ82" s="416" t="str">
        <f t="shared" si="39"/>
        <v/>
      </c>
      <c r="AR82" s="416" t="str">
        <f t="shared" si="45"/>
        <v/>
      </c>
    </row>
    <row r="83" spans="1:44" ht="14.25">
      <c r="A83" s="830"/>
      <c r="B83" s="99" t="s">
        <v>269</v>
      </c>
      <c r="C83" s="466" t="s">
        <v>262</v>
      </c>
      <c r="D83" s="125" t="s">
        <v>251</v>
      </c>
      <c r="E83" s="126"/>
      <c r="F83" s="126"/>
      <c r="G83" s="217">
        <f t="shared" si="29"/>
        <v>0</v>
      </c>
      <c r="H83" s="218">
        <f t="shared" si="30"/>
        <v>0</v>
      </c>
      <c r="I83" s="96">
        <f t="shared" si="31"/>
        <v>0</v>
      </c>
      <c r="J83" s="219">
        <f t="shared" si="32"/>
        <v>0</v>
      </c>
      <c r="K83" s="220">
        <f t="shared" si="33"/>
        <v>0</v>
      </c>
      <c r="L83" s="100">
        <f t="shared" si="34"/>
        <v>0</v>
      </c>
      <c r="M83" s="221" t="str">
        <f t="shared" si="40"/>
        <v/>
      </c>
      <c r="N83" s="222">
        <f t="shared" si="35"/>
        <v>0</v>
      </c>
      <c r="O83" s="223">
        <f>IF(N83=0,0,IF(SUM($N$5:N83)&gt;251,1,0))</f>
        <v>0</v>
      </c>
      <c r="P83" s="408"/>
      <c r="Q83" s="409"/>
      <c r="R83" s="224"/>
      <c r="S83" s="411"/>
      <c r="T83" s="225">
        <f t="shared" si="50"/>
        <v>0</v>
      </c>
      <c r="U83" s="226">
        <f t="shared" si="51"/>
        <v>0</v>
      </c>
      <c r="V83" s="413"/>
      <c r="W83" s="225">
        <f t="shared" si="52"/>
        <v>0</v>
      </c>
      <c r="X83" s="226">
        <f t="shared" si="53"/>
        <v>0</v>
      </c>
      <c r="Y83" s="413"/>
      <c r="Z83" s="225">
        <f t="shared" si="54"/>
        <v>0</v>
      </c>
      <c r="AA83" s="226">
        <f t="shared" si="55"/>
        <v>0</v>
      </c>
      <c r="AB83" s="413"/>
      <c r="AC83" s="225">
        <f t="shared" si="46"/>
        <v>0</v>
      </c>
      <c r="AD83" s="226">
        <f t="shared" si="41"/>
        <v>0</v>
      </c>
      <c r="AE83" s="413"/>
      <c r="AF83" s="225">
        <f t="shared" si="47"/>
        <v>0</v>
      </c>
      <c r="AG83" s="226">
        <f t="shared" si="42"/>
        <v>0</v>
      </c>
      <c r="AH83" s="413"/>
      <c r="AI83" s="225">
        <f t="shared" si="48"/>
        <v>0</v>
      </c>
      <c r="AJ83" s="226">
        <f t="shared" si="43"/>
        <v>0</v>
      </c>
      <c r="AK83" s="413"/>
      <c r="AL83" s="225">
        <f t="shared" si="49"/>
        <v>0</v>
      </c>
      <c r="AM83" s="226">
        <f t="shared" si="44"/>
        <v>0</v>
      </c>
      <c r="AN83" s="462" t="str">
        <f t="shared" si="36"/>
        <v/>
      </c>
      <c r="AO83" s="416" t="str">
        <f t="shared" si="37"/>
        <v/>
      </c>
      <c r="AP83" s="416" t="str">
        <f t="shared" si="38"/>
        <v/>
      </c>
      <c r="AQ83" s="416" t="str">
        <f t="shared" si="39"/>
        <v/>
      </c>
      <c r="AR83" s="416" t="str">
        <f t="shared" si="45"/>
        <v/>
      </c>
    </row>
    <row r="84" spans="1:44" ht="14.25">
      <c r="A84" s="830"/>
      <c r="B84" s="99" t="s">
        <v>270</v>
      </c>
      <c r="C84" s="466" t="s">
        <v>182</v>
      </c>
      <c r="D84" s="125" t="s">
        <v>24</v>
      </c>
      <c r="E84" s="126">
        <v>0.58333333333333337</v>
      </c>
      <c r="F84" s="126">
        <v>0.79166666666666663</v>
      </c>
      <c r="G84" s="217">
        <f t="shared" si="29"/>
        <v>0.20833333333333326</v>
      </c>
      <c r="H84" s="218">
        <f t="shared" si="30"/>
        <v>0</v>
      </c>
      <c r="I84" s="96">
        <f t="shared" si="31"/>
        <v>0</v>
      </c>
      <c r="J84" s="219">
        <f t="shared" si="32"/>
        <v>0</v>
      </c>
      <c r="K84" s="220">
        <f t="shared" si="33"/>
        <v>0</v>
      </c>
      <c r="L84" s="100">
        <f t="shared" si="34"/>
        <v>0</v>
      </c>
      <c r="M84" s="221" t="str">
        <f t="shared" si="40"/>
        <v/>
      </c>
      <c r="N84" s="222">
        <f t="shared" si="35"/>
        <v>0</v>
      </c>
      <c r="O84" s="223">
        <f>IF(N84=0,0,IF(SUM($N$5:N84)&gt;251,1,0))</f>
        <v>0</v>
      </c>
      <c r="P84" s="408">
        <v>25</v>
      </c>
      <c r="Q84" s="409">
        <v>1</v>
      </c>
      <c r="R84" s="224"/>
      <c r="S84" s="411" t="s">
        <v>672</v>
      </c>
      <c r="T84" s="225" t="s">
        <v>697</v>
      </c>
      <c r="U84" s="226" t="s">
        <v>698</v>
      </c>
      <c r="V84" s="413" t="s">
        <v>695</v>
      </c>
      <c r="W84" s="225" t="s">
        <v>697</v>
      </c>
      <c r="X84" s="226" t="s">
        <v>698</v>
      </c>
      <c r="Y84" s="413" t="s">
        <v>696</v>
      </c>
      <c r="Z84" s="225" t="s">
        <v>699</v>
      </c>
      <c r="AA84" s="226" t="s">
        <v>698</v>
      </c>
      <c r="AB84" s="413"/>
      <c r="AC84" s="225">
        <f t="shared" si="46"/>
        <v>0</v>
      </c>
      <c r="AD84" s="226">
        <f t="shared" si="41"/>
        <v>0</v>
      </c>
      <c r="AE84" s="413"/>
      <c r="AF84" s="225">
        <f t="shared" si="47"/>
        <v>0</v>
      </c>
      <c r="AG84" s="226">
        <f t="shared" si="42"/>
        <v>0</v>
      </c>
      <c r="AH84" s="413"/>
      <c r="AI84" s="225">
        <f t="shared" si="48"/>
        <v>0</v>
      </c>
      <c r="AJ84" s="226">
        <f t="shared" si="43"/>
        <v>0</v>
      </c>
      <c r="AK84" s="413"/>
      <c r="AL84" s="225">
        <f t="shared" si="49"/>
        <v>0</v>
      </c>
      <c r="AM84" s="226">
        <f t="shared" si="44"/>
        <v>0</v>
      </c>
      <c r="AN84" s="462" t="str">
        <f t="shared" si="36"/>
        <v/>
      </c>
      <c r="AO84" s="416" t="str">
        <f t="shared" si="37"/>
        <v/>
      </c>
      <c r="AP84" s="416" t="str">
        <f t="shared" si="38"/>
        <v/>
      </c>
      <c r="AQ84" s="416" t="str">
        <f t="shared" si="39"/>
        <v/>
      </c>
      <c r="AR84" s="416" t="str">
        <f t="shared" si="45"/>
        <v/>
      </c>
    </row>
    <row r="85" spans="1:44" ht="14.25">
      <c r="A85" s="830"/>
      <c r="B85" s="99" t="s">
        <v>271</v>
      </c>
      <c r="C85" s="466" t="s">
        <v>187</v>
      </c>
      <c r="D85" s="125" t="s">
        <v>24</v>
      </c>
      <c r="E85" s="126">
        <v>0.58333333333333337</v>
      </c>
      <c r="F85" s="126">
        <v>0.79166666666666663</v>
      </c>
      <c r="G85" s="217">
        <f t="shared" si="29"/>
        <v>0.20833333333333326</v>
      </c>
      <c r="H85" s="218">
        <f t="shared" si="30"/>
        <v>0</v>
      </c>
      <c r="I85" s="96">
        <f t="shared" si="31"/>
        <v>0</v>
      </c>
      <c r="J85" s="219">
        <f t="shared" si="32"/>
        <v>0</v>
      </c>
      <c r="K85" s="220">
        <f t="shared" si="33"/>
        <v>0</v>
      </c>
      <c r="L85" s="100">
        <f t="shared" si="34"/>
        <v>0</v>
      </c>
      <c r="M85" s="221" t="str">
        <f t="shared" si="40"/>
        <v/>
      </c>
      <c r="N85" s="222">
        <f t="shared" si="35"/>
        <v>0</v>
      </c>
      <c r="O85" s="223">
        <f>IF(N85=0,0,IF(SUM($N$5:N85)&gt;251,1,0))</f>
        <v>0</v>
      </c>
      <c r="P85" s="408">
        <v>20</v>
      </c>
      <c r="Q85" s="409">
        <v>1</v>
      </c>
      <c r="R85" s="224"/>
      <c r="S85" s="411" t="s">
        <v>672</v>
      </c>
      <c r="T85" s="225" t="s">
        <v>697</v>
      </c>
      <c r="U85" s="226" t="s">
        <v>698</v>
      </c>
      <c r="V85" s="413" t="s">
        <v>695</v>
      </c>
      <c r="W85" s="225" t="s">
        <v>697</v>
      </c>
      <c r="X85" s="226" t="s">
        <v>698</v>
      </c>
      <c r="Y85" s="413" t="s">
        <v>696</v>
      </c>
      <c r="Z85" s="225" t="s">
        <v>699</v>
      </c>
      <c r="AA85" s="226" t="s">
        <v>698</v>
      </c>
      <c r="AB85" s="413"/>
      <c r="AC85" s="225">
        <f t="shared" si="46"/>
        <v>0</v>
      </c>
      <c r="AD85" s="226">
        <f t="shared" si="41"/>
        <v>0</v>
      </c>
      <c r="AE85" s="413"/>
      <c r="AF85" s="225">
        <f t="shared" si="47"/>
        <v>0</v>
      </c>
      <c r="AG85" s="226">
        <f t="shared" si="42"/>
        <v>0</v>
      </c>
      <c r="AH85" s="413"/>
      <c r="AI85" s="225">
        <f t="shared" si="48"/>
        <v>0</v>
      </c>
      <c r="AJ85" s="226">
        <f t="shared" si="43"/>
        <v>0</v>
      </c>
      <c r="AK85" s="413"/>
      <c r="AL85" s="225">
        <f t="shared" si="49"/>
        <v>0</v>
      </c>
      <c r="AM85" s="226">
        <f t="shared" si="44"/>
        <v>0</v>
      </c>
      <c r="AN85" s="462" t="str">
        <f t="shared" si="36"/>
        <v/>
      </c>
      <c r="AO85" s="416" t="str">
        <f t="shared" si="37"/>
        <v/>
      </c>
      <c r="AP85" s="416" t="str">
        <f t="shared" si="38"/>
        <v/>
      </c>
      <c r="AQ85" s="416" t="str">
        <f t="shared" si="39"/>
        <v/>
      </c>
      <c r="AR85" s="416" t="str">
        <f t="shared" si="45"/>
        <v/>
      </c>
    </row>
    <row r="86" spans="1:44" ht="14.25">
      <c r="A86" s="830"/>
      <c r="B86" s="99" t="s">
        <v>272</v>
      </c>
      <c r="C86" s="466" t="s">
        <v>183</v>
      </c>
      <c r="D86" s="125" t="s">
        <v>24</v>
      </c>
      <c r="E86" s="126">
        <v>0.58333333333333337</v>
      </c>
      <c r="F86" s="126">
        <v>0.79166666666666663</v>
      </c>
      <c r="G86" s="217">
        <f t="shared" si="29"/>
        <v>0.20833333333333326</v>
      </c>
      <c r="H86" s="218">
        <f t="shared" si="30"/>
        <v>0</v>
      </c>
      <c r="I86" s="96">
        <f t="shared" si="31"/>
        <v>0</v>
      </c>
      <c r="J86" s="219">
        <f t="shared" si="32"/>
        <v>0</v>
      </c>
      <c r="K86" s="220">
        <f t="shared" si="33"/>
        <v>0</v>
      </c>
      <c r="L86" s="100">
        <f t="shared" si="34"/>
        <v>0</v>
      </c>
      <c r="M86" s="221" t="str">
        <f t="shared" si="40"/>
        <v/>
      </c>
      <c r="N86" s="222">
        <f t="shared" si="35"/>
        <v>0</v>
      </c>
      <c r="O86" s="223">
        <f>IF(N86=0,0,IF(SUM($N$5:N86)&gt;251,1,0))</f>
        <v>0</v>
      </c>
      <c r="P86" s="408">
        <v>26</v>
      </c>
      <c r="Q86" s="409">
        <v>1</v>
      </c>
      <c r="R86" s="224"/>
      <c r="S86" s="411" t="s">
        <v>672</v>
      </c>
      <c r="T86" s="225" t="s">
        <v>697</v>
      </c>
      <c r="U86" s="226" t="s">
        <v>698</v>
      </c>
      <c r="V86" s="413" t="s">
        <v>695</v>
      </c>
      <c r="W86" s="225" t="s">
        <v>697</v>
      </c>
      <c r="X86" s="226" t="s">
        <v>698</v>
      </c>
      <c r="Y86" s="413" t="s">
        <v>696</v>
      </c>
      <c r="Z86" s="225" t="s">
        <v>699</v>
      </c>
      <c r="AA86" s="226" t="s">
        <v>698</v>
      </c>
      <c r="AB86" s="413"/>
      <c r="AC86" s="225">
        <f t="shared" si="46"/>
        <v>0</v>
      </c>
      <c r="AD86" s="226">
        <f t="shared" si="41"/>
        <v>0</v>
      </c>
      <c r="AE86" s="413"/>
      <c r="AF86" s="225">
        <f t="shared" si="47"/>
        <v>0</v>
      </c>
      <c r="AG86" s="226">
        <f t="shared" si="42"/>
        <v>0</v>
      </c>
      <c r="AH86" s="413"/>
      <c r="AI86" s="225">
        <f t="shared" si="48"/>
        <v>0</v>
      </c>
      <c r="AJ86" s="226">
        <f t="shared" si="43"/>
        <v>0</v>
      </c>
      <c r="AK86" s="413"/>
      <c r="AL86" s="225">
        <f t="shared" si="49"/>
        <v>0</v>
      </c>
      <c r="AM86" s="226">
        <f t="shared" si="44"/>
        <v>0</v>
      </c>
      <c r="AN86" s="462" t="str">
        <f t="shared" si="36"/>
        <v/>
      </c>
      <c r="AO86" s="416" t="str">
        <f t="shared" si="37"/>
        <v/>
      </c>
      <c r="AP86" s="416" t="str">
        <f t="shared" si="38"/>
        <v/>
      </c>
      <c r="AQ86" s="416" t="str">
        <f t="shared" si="39"/>
        <v/>
      </c>
      <c r="AR86" s="416" t="str">
        <f t="shared" si="45"/>
        <v/>
      </c>
    </row>
    <row r="87" spans="1:44" ht="14.25">
      <c r="A87" s="830"/>
      <c r="B87" s="99" t="s">
        <v>273</v>
      </c>
      <c r="C87" s="466" t="s">
        <v>184</v>
      </c>
      <c r="D87" s="125" t="s">
        <v>24</v>
      </c>
      <c r="E87" s="126">
        <v>0.58333333333333337</v>
      </c>
      <c r="F87" s="126">
        <v>0.79166666666666663</v>
      </c>
      <c r="G87" s="217">
        <f t="shared" si="29"/>
        <v>0.20833333333333326</v>
      </c>
      <c r="H87" s="218">
        <f t="shared" si="30"/>
        <v>0</v>
      </c>
      <c r="I87" s="96">
        <f t="shared" si="31"/>
        <v>0</v>
      </c>
      <c r="J87" s="219">
        <f t="shared" si="32"/>
        <v>0</v>
      </c>
      <c r="K87" s="220">
        <f t="shared" si="33"/>
        <v>0</v>
      </c>
      <c r="L87" s="100">
        <f t="shared" si="34"/>
        <v>0</v>
      </c>
      <c r="M87" s="221" t="str">
        <f t="shared" si="40"/>
        <v/>
      </c>
      <c r="N87" s="222">
        <f t="shared" si="35"/>
        <v>0</v>
      </c>
      <c r="O87" s="223">
        <f>IF(N87=0,0,IF(SUM($N$5:N87)&gt;251,1,0))</f>
        <v>0</v>
      </c>
      <c r="P87" s="408">
        <v>25</v>
      </c>
      <c r="Q87" s="409">
        <v>0</v>
      </c>
      <c r="R87" s="224"/>
      <c r="S87" s="411" t="s">
        <v>672</v>
      </c>
      <c r="T87" s="225" t="s">
        <v>697</v>
      </c>
      <c r="U87" s="226" t="s">
        <v>698</v>
      </c>
      <c r="V87" s="413" t="s">
        <v>695</v>
      </c>
      <c r="W87" s="225" t="s">
        <v>697</v>
      </c>
      <c r="X87" s="226" t="s">
        <v>698</v>
      </c>
      <c r="Y87" s="413" t="s">
        <v>696</v>
      </c>
      <c r="Z87" s="225" t="s">
        <v>699</v>
      </c>
      <c r="AA87" s="226" t="s">
        <v>698</v>
      </c>
      <c r="AB87" s="413"/>
      <c r="AC87" s="225">
        <f t="shared" si="46"/>
        <v>0</v>
      </c>
      <c r="AD87" s="226">
        <f t="shared" si="41"/>
        <v>0</v>
      </c>
      <c r="AE87" s="413"/>
      <c r="AF87" s="225">
        <f t="shared" si="47"/>
        <v>0</v>
      </c>
      <c r="AG87" s="226">
        <f t="shared" si="42"/>
        <v>0</v>
      </c>
      <c r="AH87" s="413"/>
      <c r="AI87" s="225">
        <f t="shared" si="48"/>
        <v>0</v>
      </c>
      <c r="AJ87" s="226">
        <f t="shared" si="43"/>
        <v>0</v>
      </c>
      <c r="AK87" s="413"/>
      <c r="AL87" s="225">
        <f t="shared" si="49"/>
        <v>0</v>
      </c>
      <c r="AM87" s="226">
        <f t="shared" si="44"/>
        <v>0</v>
      </c>
      <c r="AN87" s="462" t="str">
        <f t="shared" si="36"/>
        <v/>
      </c>
      <c r="AO87" s="416" t="str">
        <f t="shared" si="37"/>
        <v/>
      </c>
      <c r="AP87" s="416" t="str">
        <f t="shared" si="38"/>
        <v/>
      </c>
      <c r="AQ87" s="416" t="str">
        <f t="shared" si="39"/>
        <v/>
      </c>
      <c r="AR87" s="416" t="str">
        <f t="shared" si="45"/>
        <v/>
      </c>
    </row>
    <row r="88" spans="1:44" ht="14.25">
      <c r="A88" s="830"/>
      <c r="B88" s="99" t="s">
        <v>274</v>
      </c>
      <c r="C88" s="466" t="s">
        <v>185</v>
      </c>
      <c r="D88" s="125" t="s">
        <v>24</v>
      </c>
      <c r="E88" s="126">
        <v>0.58333333333333337</v>
      </c>
      <c r="F88" s="126">
        <v>0.79166666666666663</v>
      </c>
      <c r="G88" s="217">
        <f t="shared" si="29"/>
        <v>0.20833333333333326</v>
      </c>
      <c r="H88" s="218">
        <f t="shared" si="30"/>
        <v>0</v>
      </c>
      <c r="I88" s="96">
        <f t="shared" si="31"/>
        <v>0</v>
      </c>
      <c r="J88" s="219">
        <f t="shared" si="32"/>
        <v>0</v>
      </c>
      <c r="K88" s="220">
        <f t="shared" si="33"/>
        <v>0</v>
      </c>
      <c r="L88" s="100">
        <f t="shared" si="34"/>
        <v>0</v>
      </c>
      <c r="M88" s="221" t="str">
        <f t="shared" si="40"/>
        <v/>
      </c>
      <c r="N88" s="222">
        <f t="shared" si="35"/>
        <v>0</v>
      </c>
      <c r="O88" s="223">
        <f>IF(N88=0,0,IF(SUM($N$5:N88)&gt;251,1,0))</f>
        <v>0</v>
      </c>
      <c r="P88" s="408">
        <v>27</v>
      </c>
      <c r="Q88" s="409">
        <v>1</v>
      </c>
      <c r="R88" s="224"/>
      <c r="S88" s="411" t="s">
        <v>672</v>
      </c>
      <c r="T88" s="225" t="s">
        <v>697</v>
      </c>
      <c r="U88" s="226" t="s">
        <v>698</v>
      </c>
      <c r="V88" s="413" t="s">
        <v>695</v>
      </c>
      <c r="W88" s="225" t="s">
        <v>697</v>
      </c>
      <c r="X88" s="226" t="s">
        <v>698</v>
      </c>
      <c r="Y88" s="413" t="s">
        <v>696</v>
      </c>
      <c r="Z88" s="225" t="s">
        <v>699</v>
      </c>
      <c r="AA88" s="226" t="s">
        <v>698</v>
      </c>
      <c r="AB88" s="413"/>
      <c r="AC88" s="225">
        <f t="shared" si="46"/>
        <v>0</v>
      </c>
      <c r="AD88" s="226">
        <f t="shared" si="41"/>
        <v>0</v>
      </c>
      <c r="AE88" s="413"/>
      <c r="AF88" s="225">
        <f t="shared" si="47"/>
        <v>0</v>
      </c>
      <c r="AG88" s="226">
        <f t="shared" si="42"/>
        <v>0</v>
      </c>
      <c r="AH88" s="413"/>
      <c r="AI88" s="225">
        <f t="shared" si="48"/>
        <v>0</v>
      </c>
      <c r="AJ88" s="226">
        <f t="shared" si="43"/>
        <v>0</v>
      </c>
      <c r="AK88" s="413"/>
      <c r="AL88" s="225">
        <f t="shared" si="49"/>
        <v>0</v>
      </c>
      <c r="AM88" s="226">
        <f t="shared" si="44"/>
        <v>0</v>
      </c>
      <c r="AN88" s="462" t="str">
        <f t="shared" si="36"/>
        <v/>
      </c>
      <c r="AO88" s="416" t="str">
        <f t="shared" si="37"/>
        <v/>
      </c>
      <c r="AP88" s="416" t="str">
        <f t="shared" si="38"/>
        <v/>
      </c>
      <c r="AQ88" s="416" t="str">
        <f t="shared" si="39"/>
        <v/>
      </c>
      <c r="AR88" s="416" t="str">
        <f t="shared" si="45"/>
        <v/>
      </c>
    </row>
    <row r="89" spans="1:44" ht="14.25">
      <c r="A89" s="830"/>
      <c r="B89" s="99" t="s">
        <v>275</v>
      </c>
      <c r="C89" s="466" t="s">
        <v>186</v>
      </c>
      <c r="D89" s="125" t="s">
        <v>249</v>
      </c>
      <c r="E89" s="126">
        <v>0.375</v>
      </c>
      <c r="F89" s="126">
        <v>0.75</v>
      </c>
      <c r="G89" s="217">
        <f t="shared" si="29"/>
        <v>0.375</v>
      </c>
      <c r="H89" s="218">
        <f t="shared" si="30"/>
        <v>0</v>
      </c>
      <c r="I89" s="96">
        <f t="shared" si="31"/>
        <v>0</v>
      </c>
      <c r="J89" s="219">
        <f t="shared" si="32"/>
        <v>0</v>
      </c>
      <c r="K89" s="220">
        <f t="shared" si="33"/>
        <v>4.1666666666666685E-2</v>
      </c>
      <c r="L89" s="100">
        <f t="shared" si="34"/>
        <v>1</v>
      </c>
      <c r="M89" s="221" t="str">
        <f t="shared" si="40"/>
        <v/>
      </c>
      <c r="N89" s="222">
        <f t="shared" si="35"/>
        <v>1</v>
      </c>
      <c r="O89" s="223">
        <f>IF(N89=0,0,IF(SUM($N$5:N89)&gt;251,1,0))</f>
        <v>0</v>
      </c>
      <c r="P89" s="408">
        <v>5</v>
      </c>
      <c r="Q89" s="409">
        <v>0</v>
      </c>
      <c r="R89" s="224"/>
      <c r="S89" s="411" t="s">
        <v>672</v>
      </c>
      <c r="T89" s="225" t="s">
        <v>697</v>
      </c>
      <c r="U89" s="226" t="s">
        <v>698</v>
      </c>
      <c r="V89" s="413" t="s">
        <v>695</v>
      </c>
      <c r="W89" s="225" t="s">
        <v>697</v>
      </c>
      <c r="X89" s="226" t="s">
        <v>698</v>
      </c>
      <c r="Y89" s="413" t="s">
        <v>696</v>
      </c>
      <c r="Z89" s="225" t="s">
        <v>699</v>
      </c>
      <c r="AA89" s="226" t="s">
        <v>698</v>
      </c>
      <c r="AB89" s="413"/>
      <c r="AC89" s="225">
        <f t="shared" si="46"/>
        <v>0</v>
      </c>
      <c r="AD89" s="226">
        <f t="shared" si="41"/>
        <v>0</v>
      </c>
      <c r="AE89" s="413"/>
      <c r="AF89" s="225">
        <f t="shared" si="47"/>
        <v>0</v>
      </c>
      <c r="AG89" s="226">
        <f t="shared" si="42"/>
        <v>0</v>
      </c>
      <c r="AH89" s="413"/>
      <c r="AI89" s="225">
        <f t="shared" si="48"/>
        <v>0</v>
      </c>
      <c r="AJ89" s="226">
        <f t="shared" si="43"/>
        <v>0</v>
      </c>
      <c r="AK89" s="413"/>
      <c r="AL89" s="225">
        <f t="shared" si="49"/>
        <v>0</v>
      </c>
      <c r="AM89" s="226">
        <f t="shared" si="44"/>
        <v>0</v>
      </c>
      <c r="AN89" s="462" t="str">
        <f t="shared" si="36"/>
        <v/>
      </c>
      <c r="AO89" s="416" t="str">
        <f t="shared" si="37"/>
        <v/>
      </c>
      <c r="AP89" s="416" t="str">
        <f t="shared" si="38"/>
        <v/>
      </c>
      <c r="AQ89" s="416" t="str">
        <f t="shared" si="39"/>
        <v/>
      </c>
      <c r="AR89" s="416" t="str">
        <f t="shared" si="45"/>
        <v/>
      </c>
    </row>
    <row r="90" spans="1:44" ht="14.25">
      <c r="A90" s="830"/>
      <c r="B90" s="99" t="s">
        <v>276</v>
      </c>
      <c r="C90" s="466" t="s">
        <v>262</v>
      </c>
      <c r="D90" s="125" t="s">
        <v>251</v>
      </c>
      <c r="E90" s="126"/>
      <c r="F90" s="126"/>
      <c r="G90" s="217">
        <f t="shared" si="29"/>
        <v>0</v>
      </c>
      <c r="H90" s="218">
        <f t="shared" si="30"/>
        <v>0</v>
      </c>
      <c r="I90" s="96">
        <f t="shared" si="31"/>
        <v>0</v>
      </c>
      <c r="J90" s="219">
        <f t="shared" si="32"/>
        <v>0</v>
      </c>
      <c r="K90" s="220">
        <f t="shared" si="33"/>
        <v>0</v>
      </c>
      <c r="L90" s="100">
        <f t="shared" si="34"/>
        <v>0</v>
      </c>
      <c r="M90" s="221" t="str">
        <f t="shared" si="40"/>
        <v/>
      </c>
      <c r="N90" s="222">
        <f t="shared" si="35"/>
        <v>0</v>
      </c>
      <c r="O90" s="223">
        <f>IF(N90=0,0,IF(SUM($N$5:N90)&gt;251,1,0))</f>
        <v>0</v>
      </c>
      <c r="P90" s="408"/>
      <c r="Q90" s="409"/>
      <c r="R90" s="224"/>
      <c r="S90" s="411"/>
      <c r="T90" s="225">
        <f t="shared" si="50"/>
        <v>0</v>
      </c>
      <c r="U90" s="226">
        <f t="shared" si="51"/>
        <v>0</v>
      </c>
      <c r="V90" s="413"/>
      <c r="W90" s="225">
        <f t="shared" si="52"/>
        <v>0</v>
      </c>
      <c r="X90" s="226">
        <f t="shared" si="53"/>
        <v>0</v>
      </c>
      <c r="Y90" s="413"/>
      <c r="Z90" s="225">
        <f t="shared" si="54"/>
        <v>0</v>
      </c>
      <c r="AA90" s="226">
        <f t="shared" si="55"/>
        <v>0</v>
      </c>
      <c r="AB90" s="413"/>
      <c r="AC90" s="225">
        <f t="shared" si="46"/>
        <v>0</v>
      </c>
      <c r="AD90" s="226">
        <f t="shared" si="41"/>
        <v>0</v>
      </c>
      <c r="AE90" s="413"/>
      <c r="AF90" s="225">
        <f t="shared" si="47"/>
        <v>0</v>
      </c>
      <c r="AG90" s="226">
        <f t="shared" si="42"/>
        <v>0</v>
      </c>
      <c r="AH90" s="413"/>
      <c r="AI90" s="225">
        <f t="shared" si="48"/>
        <v>0</v>
      </c>
      <c r="AJ90" s="226">
        <f t="shared" si="43"/>
        <v>0</v>
      </c>
      <c r="AK90" s="413"/>
      <c r="AL90" s="225">
        <f t="shared" si="49"/>
        <v>0</v>
      </c>
      <c r="AM90" s="226">
        <f t="shared" si="44"/>
        <v>0</v>
      </c>
      <c r="AN90" s="462" t="str">
        <f t="shared" si="36"/>
        <v/>
      </c>
      <c r="AO90" s="416" t="str">
        <f t="shared" si="37"/>
        <v/>
      </c>
      <c r="AP90" s="416" t="str">
        <f t="shared" si="38"/>
        <v/>
      </c>
      <c r="AQ90" s="416" t="str">
        <f t="shared" si="39"/>
        <v/>
      </c>
      <c r="AR90" s="416" t="str">
        <f t="shared" si="45"/>
        <v/>
      </c>
    </row>
    <row r="91" spans="1:44" ht="14.25">
      <c r="A91" s="830"/>
      <c r="B91" s="99" t="s">
        <v>277</v>
      </c>
      <c r="C91" s="466" t="s">
        <v>182</v>
      </c>
      <c r="D91" s="125" t="s">
        <v>24</v>
      </c>
      <c r="E91" s="126">
        <v>0.58333333333333337</v>
      </c>
      <c r="F91" s="126">
        <v>0.79166666666666663</v>
      </c>
      <c r="G91" s="217">
        <f t="shared" si="29"/>
        <v>0.20833333333333326</v>
      </c>
      <c r="H91" s="218">
        <f t="shared" si="30"/>
        <v>0</v>
      </c>
      <c r="I91" s="96">
        <f t="shared" si="31"/>
        <v>0</v>
      </c>
      <c r="J91" s="219">
        <f t="shared" si="32"/>
        <v>0</v>
      </c>
      <c r="K91" s="220">
        <f t="shared" si="33"/>
        <v>0</v>
      </c>
      <c r="L91" s="100">
        <f t="shared" si="34"/>
        <v>0</v>
      </c>
      <c r="M91" s="221" t="str">
        <f t="shared" si="40"/>
        <v/>
      </c>
      <c r="N91" s="222">
        <f t="shared" si="35"/>
        <v>0</v>
      </c>
      <c r="O91" s="223">
        <f>IF(N91=0,0,IF(SUM($N$5:N91)&gt;251,1,0))</f>
        <v>0</v>
      </c>
      <c r="P91" s="408">
        <v>26</v>
      </c>
      <c r="Q91" s="409">
        <v>0</v>
      </c>
      <c r="R91" s="224"/>
      <c r="S91" s="411" t="s">
        <v>672</v>
      </c>
      <c r="T91" s="225" t="s">
        <v>697</v>
      </c>
      <c r="U91" s="226" t="s">
        <v>698</v>
      </c>
      <c r="V91" s="413" t="s">
        <v>695</v>
      </c>
      <c r="W91" s="225" t="s">
        <v>697</v>
      </c>
      <c r="X91" s="226" t="s">
        <v>698</v>
      </c>
      <c r="Y91" s="413" t="s">
        <v>696</v>
      </c>
      <c r="Z91" s="225" t="s">
        <v>699</v>
      </c>
      <c r="AA91" s="226" t="s">
        <v>698</v>
      </c>
      <c r="AB91" s="413"/>
      <c r="AC91" s="225">
        <f t="shared" si="46"/>
        <v>0</v>
      </c>
      <c r="AD91" s="226">
        <f t="shared" si="41"/>
        <v>0</v>
      </c>
      <c r="AE91" s="413"/>
      <c r="AF91" s="225">
        <f t="shared" si="47"/>
        <v>0</v>
      </c>
      <c r="AG91" s="226">
        <f t="shared" si="42"/>
        <v>0</v>
      </c>
      <c r="AH91" s="413"/>
      <c r="AI91" s="225">
        <f t="shared" si="48"/>
        <v>0</v>
      </c>
      <c r="AJ91" s="226">
        <f t="shared" si="43"/>
        <v>0</v>
      </c>
      <c r="AK91" s="413"/>
      <c r="AL91" s="225">
        <f t="shared" si="49"/>
        <v>0</v>
      </c>
      <c r="AM91" s="226">
        <f t="shared" si="44"/>
        <v>0</v>
      </c>
      <c r="AN91" s="462" t="str">
        <f t="shared" si="36"/>
        <v/>
      </c>
      <c r="AO91" s="416" t="str">
        <f t="shared" si="37"/>
        <v/>
      </c>
      <c r="AP91" s="416" t="str">
        <f t="shared" si="38"/>
        <v/>
      </c>
      <c r="AQ91" s="416" t="str">
        <f t="shared" si="39"/>
        <v/>
      </c>
      <c r="AR91" s="416" t="str">
        <f t="shared" si="45"/>
        <v/>
      </c>
    </row>
    <row r="92" spans="1:44" ht="14.25">
      <c r="A92" s="830"/>
      <c r="B92" s="99" t="s">
        <v>278</v>
      </c>
      <c r="C92" s="466" t="s">
        <v>187</v>
      </c>
      <c r="D92" s="125" t="s">
        <v>24</v>
      </c>
      <c r="E92" s="126">
        <v>0.58333333333333337</v>
      </c>
      <c r="F92" s="126">
        <v>0.79166666666666663</v>
      </c>
      <c r="G92" s="217">
        <f t="shared" si="29"/>
        <v>0.20833333333333326</v>
      </c>
      <c r="H92" s="218">
        <f t="shared" si="30"/>
        <v>0</v>
      </c>
      <c r="I92" s="96">
        <f t="shared" si="31"/>
        <v>0</v>
      </c>
      <c r="J92" s="219">
        <f t="shared" si="32"/>
        <v>0</v>
      </c>
      <c r="K92" s="220">
        <f t="shared" si="33"/>
        <v>0</v>
      </c>
      <c r="L92" s="100">
        <f t="shared" si="34"/>
        <v>0</v>
      </c>
      <c r="M92" s="221" t="str">
        <f t="shared" si="40"/>
        <v/>
      </c>
      <c r="N92" s="222">
        <f t="shared" si="35"/>
        <v>0</v>
      </c>
      <c r="O92" s="223">
        <f>IF(N92=0,0,IF(SUM($N$5:N92)&gt;251,1,0))</f>
        <v>0</v>
      </c>
      <c r="P92" s="408">
        <v>27</v>
      </c>
      <c r="Q92" s="409">
        <v>0</v>
      </c>
      <c r="R92" s="224"/>
      <c r="S92" s="411" t="s">
        <v>672</v>
      </c>
      <c r="T92" s="225" t="s">
        <v>697</v>
      </c>
      <c r="U92" s="226" t="s">
        <v>698</v>
      </c>
      <c r="V92" s="413" t="s">
        <v>695</v>
      </c>
      <c r="W92" s="225" t="s">
        <v>697</v>
      </c>
      <c r="X92" s="226" t="s">
        <v>698</v>
      </c>
      <c r="Y92" s="413" t="s">
        <v>696</v>
      </c>
      <c r="Z92" s="225" t="s">
        <v>699</v>
      </c>
      <c r="AA92" s="226" t="s">
        <v>698</v>
      </c>
      <c r="AB92" s="413"/>
      <c r="AC92" s="225">
        <f t="shared" si="46"/>
        <v>0</v>
      </c>
      <c r="AD92" s="226">
        <f t="shared" si="41"/>
        <v>0</v>
      </c>
      <c r="AE92" s="413"/>
      <c r="AF92" s="225">
        <f t="shared" si="47"/>
        <v>0</v>
      </c>
      <c r="AG92" s="226">
        <f t="shared" si="42"/>
        <v>0</v>
      </c>
      <c r="AH92" s="413"/>
      <c r="AI92" s="225">
        <f t="shared" si="48"/>
        <v>0</v>
      </c>
      <c r="AJ92" s="226">
        <f t="shared" si="43"/>
        <v>0</v>
      </c>
      <c r="AK92" s="413"/>
      <c r="AL92" s="225">
        <f t="shared" si="49"/>
        <v>0</v>
      </c>
      <c r="AM92" s="226">
        <f t="shared" si="44"/>
        <v>0</v>
      </c>
      <c r="AN92" s="462" t="str">
        <f t="shared" si="36"/>
        <v/>
      </c>
      <c r="AO92" s="416" t="str">
        <f t="shared" si="37"/>
        <v/>
      </c>
      <c r="AP92" s="416" t="str">
        <f t="shared" si="38"/>
        <v/>
      </c>
      <c r="AQ92" s="416" t="str">
        <f t="shared" si="39"/>
        <v/>
      </c>
      <c r="AR92" s="416" t="str">
        <f t="shared" si="45"/>
        <v/>
      </c>
    </row>
    <row r="93" spans="1:44" ht="14.25">
      <c r="A93" s="830"/>
      <c r="B93" s="99" t="s">
        <v>279</v>
      </c>
      <c r="C93" s="466" t="s">
        <v>183</v>
      </c>
      <c r="D93" s="125" t="s">
        <v>24</v>
      </c>
      <c r="E93" s="126">
        <v>0.58333333333333337</v>
      </c>
      <c r="F93" s="126">
        <v>0.79166666666666663</v>
      </c>
      <c r="G93" s="217">
        <f t="shared" si="29"/>
        <v>0.20833333333333326</v>
      </c>
      <c r="H93" s="218">
        <f t="shared" si="30"/>
        <v>0</v>
      </c>
      <c r="I93" s="96">
        <f t="shared" si="31"/>
        <v>0</v>
      </c>
      <c r="J93" s="219">
        <f t="shared" si="32"/>
        <v>0</v>
      </c>
      <c r="K93" s="220">
        <f t="shared" si="33"/>
        <v>0</v>
      </c>
      <c r="L93" s="100">
        <f t="shared" si="34"/>
        <v>0</v>
      </c>
      <c r="M93" s="221" t="str">
        <f t="shared" si="40"/>
        <v/>
      </c>
      <c r="N93" s="222">
        <f t="shared" si="35"/>
        <v>0</v>
      </c>
      <c r="O93" s="223">
        <f>IF(N93=0,0,IF(SUM($N$5:N93)&gt;251,1,0))</f>
        <v>0</v>
      </c>
      <c r="P93" s="408">
        <v>25</v>
      </c>
      <c r="Q93" s="409">
        <v>0</v>
      </c>
      <c r="R93" s="224"/>
      <c r="S93" s="411" t="s">
        <v>672</v>
      </c>
      <c r="T93" s="225" t="s">
        <v>697</v>
      </c>
      <c r="U93" s="226" t="s">
        <v>698</v>
      </c>
      <c r="V93" s="413" t="s">
        <v>695</v>
      </c>
      <c r="W93" s="225" t="s">
        <v>697</v>
      </c>
      <c r="X93" s="226" t="s">
        <v>698</v>
      </c>
      <c r="Y93" s="413" t="s">
        <v>696</v>
      </c>
      <c r="Z93" s="225" t="s">
        <v>699</v>
      </c>
      <c r="AA93" s="226" t="s">
        <v>698</v>
      </c>
      <c r="AB93" s="413"/>
      <c r="AC93" s="225">
        <f t="shared" si="46"/>
        <v>0</v>
      </c>
      <c r="AD93" s="226">
        <f t="shared" si="41"/>
        <v>0</v>
      </c>
      <c r="AE93" s="413"/>
      <c r="AF93" s="225">
        <f t="shared" si="47"/>
        <v>0</v>
      </c>
      <c r="AG93" s="226">
        <f t="shared" si="42"/>
        <v>0</v>
      </c>
      <c r="AH93" s="413"/>
      <c r="AI93" s="225">
        <f t="shared" si="48"/>
        <v>0</v>
      </c>
      <c r="AJ93" s="226">
        <f t="shared" si="43"/>
        <v>0</v>
      </c>
      <c r="AK93" s="413"/>
      <c r="AL93" s="225">
        <f t="shared" si="49"/>
        <v>0</v>
      </c>
      <c r="AM93" s="226">
        <f t="shared" si="44"/>
        <v>0</v>
      </c>
      <c r="AN93" s="462" t="str">
        <f t="shared" si="36"/>
        <v/>
      </c>
      <c r="AO93" s="416" t="str">
        <f t="shared" si="37"/>
        <v/>
      </c>
      <c r="AP93" s="416" t="str">
        <f t="shared" si="38"/>
        <v/>
      </c>
      <c r="AQ93" s="416" t="str">
        <f t="shared" si="39"/>
        <v/>
      </c>
      <c r="AR93" s="416" t="str">
        <f t="shared" si="45"/>
        <v/>
      </c>
    </row>
    <row r="94" spans="1:44" ht="14.25">
      <c r="A94" s="830"/>
      <c r="B94" s="99" t="s">
        <v>280</v>
      </c>
      <c r="C94" s="466" t="s">
        <v>184</v>
      </c>
      <c r="D94" s="125" t="s">
        <v>24</v>
      </c>
      <c r="E94" s="126">
        <v>0.58333333333333337</v>
      </c>
      <c r="F94" s="126">
        <v>0.79166666666666663</v>
      </c>
      <c r="G94" s="217">
        <f t="shared" si="29"/>
        <v>0.20833333333333326</v>
      </c>
      <c r="H94" s="218">
        <f t="shared" si="30"/>
        <v>0</v>
      </c>
      <c r="I94" s="96">
        <f t="shared" si="31"/>
        <v>0</v>
      </c>
      <c r="J94" s="219">
        <f t="shared" si="32"/>
        <v>0</v>
      </c>
      <c r="K94" s="220">
        <f t="shared" si="33"/>
        <v>0</v>
      </c>
      <c r="L94" s="100">
        <f t="shared" si="34"/>
        <v>0</v>
      </c>
      <c r="M94" s="221" t="str">
        <f t="shared" si="40"/>
        <v/>
      </c>
      <c r="N94" s="222">
        <f t="shared" si="35"/>
        <v>0</v>
      </c>
      <c r="O94" s="223">
        <f>IF(N94=0,0,IF(SUM($N$5:N94)&gt;251,1,0))</f>
        <v>0</v>
      </c>
      <c r="P94" s="408">
        <v>24</v>
      </c>
      <c r="Q94" s="409">
        <v>1</v>
      </c>
      <c r="R94" s="224"/>
      <c r="S94" s="411" t="s">
        <v>672</v>
      </c>
      <c r="T94" s="225" t="s">
        <v>697</v>
      </c>
      <c r="U94" s="226" t="s">
        <v>698</v>
      </c>
      <c r="V94" s="413" t="s">
        <v>695</v>
      </c>
      <c r="W94" s="225" t="s">
        <v>697</v>
      </c>
      <c r="X94" s="226" t="s">
        <v>698</v>
      </c>
      <c r="Y94" s="413" t="s">
        <v>696</v>
      </c>
      <c r="Z94" s="225" t="s">
        <v>699</v>
      </c>
      <c r="AA94" s="226" t="s">
        <v>698</v>
      </c>
      <c r="AB94" s="413"/>
      <c r="AC94" s="225">
        <f t="shared" si="46"/>
        <v>0</v>
      </c>
      <c r="AD94" s="226">
        <f t="shared" si="41"/>
        <v>0</v>
      </c>
      <c r="AE94" s="413"/>
      <c r="AF94" s="225">
        <f t="shared" si="47"/>
        <v>0</v>
      </c>
      <c r="AG94" s="226">
        <f t="shared" si="42"/>
        <v>0</v>
      </c>
      <c r="AH94" s="413"/>
      <c r="AI94" s="225">
        <f t="shared" si="48"/>
        <v>0</v>
      </c>
      <c r="AJ94" s="226">
        <f t="shared" si="43"/>
        <v>0</v>
      </c>
      <c r="AK94" s="413"/>
      <c r="AL94" s="225">
        <f t="shared" si="49"/>
        <v>0</v>
      </c>
      <c r="AM94" s="226">
        <f t="shared" si="44"/>
        <v>0</v>
      </c>
      <c r="AN94" s="462" t="str">
        <f t="shared" si="36"/>
        <v/>
      </c>
      <c r="AO94" s="416" t="str">
        <f t="shared" si="37"/>
        <v/>
      </c>
      <c r="AP94" s="416" t="str">
        <f t="shared" si="38"/>
        <v/>
      </c>
      <c r="AQ94" s="416" t="str">
        <f t="shared" si="39"/>
        <v/>
      </c>
      <c r="AR94" s="416" t="str">
        <f t="shared" si="45"/>
        <v/>
      </c>
    </row>
    <row r="95" spans="1:44" ht="15" thickBot="1">
      <c r="A95" s="831"/>
      <c r="B95" s="101" t="s">
        <v>281</v>
      </c>
      <c r="C95" s="102" t="s">
        <v>185</v>
      </c>
      <c r="D95" s="125" t="s">
        <v>24</v>
      </c>
      <c r="E95" s="126">
        <v>0.58333333333333337</v>
      </c>
      <c r="F95" s="126">
        <v>0.79166666666666663</v>
      </c>
      <c r="G95" s="227">
        <f t="shared" si="29"/>
        <v>0.20833333333333326</v>
      </c>
      <c r="H95" s="228">
        <f t="shared" si="30"/>
        <v>0</v>
      </c>
      <c r="I95" s="103">
        <f t="shared" si="31"/>
        <v>0</v>
      </c>
      <c r="J95" s="229">
        <f t="shared" si="32"/>
        <v>0</v>
      </c>
      <c r="K95" s="230">
        <f t="shared" si="33"/>
        <v>0</v>
      </c>
      <c r="L95" s="104">
        <f t="shared" si="34"/>
        <v>0</v>
      </c>
      <c r="M95" s="231" t="str">
        <f t="shared" si="40"/>
        <v/>
      </c>
      <c r="N95" s="232">
        <f t="shared" si="35"/>
        <v>0</v>
      </c>
      <c r="O95" s="233">
        <f>IF(N95=0,0,IF(SUM($N$5:N95)&gt;251,1,0))</f>
        <v>0</v>
      </c>
      <c r="P95" s="408">
        <v>25</v>
      </c>
      <c r="Q95" s="409">
        <v>0</v>
      </c>
      <c r="R95" s="236">
        <f>SUM(P66:P95)</f>
        <v>546</v>
      </c>
      <c r="S95" s="411" t="s">
        <v>672</v>
      </c>
      <c r="T95" s="225" t="s">
        <v>697</v>
      </c>
      <c r="U95" s="235" t="s">
        <v>698</v>
      </c>
      <c r="V95" s="414" t="s">
        <v>695</v>
      </c>
      <c r="W95" s="225" t="s">
        <v>697</v>
      </c>
      <c r="X95" s="235" t="s">
        <v>698</v>
      </c>
      <c r="Y95" s="414" t="s">
        <v>696</v>
      </c>
      <c r="Z95" s="225" t="s">
        <v>699</v>
      </c>
      <c r="AA95" s="235" t="s">
        <v>698</v>
      </c>
      <c r="AB95" s="414"/>
      <c r="AC95" s="225">
        <f t="shared" si="46"/>
        <v>0</v>
      </c>
      <c r="AD95" s="235">
        <f t="shared" si="41"/>
        <v>0</v>
      </c>
      <c r="AE95" s="414"/>
      <c r="AF95" s="225">
        <f t="shared" si="47"/>
        <v>0</v>
      </c>
      <c r="AG95" s="235">
        <f t="shared" si="42"/>
        <v>0</v>
      </c>
      <c r="AH95" s="414"/>
      <c r="AI95" s="225">
        <f t="shared" si="48"/>
        <v>0</v>
      </c>
      <c r="AJ95" s="235">
        <f t="shared" si="43"/>
        <v>0</v>
      </c>
      <c r="AK95" s="414"/>
      <c r="AL95" s="225">
        <f t="shared" si="49"/>
        <v>0</v>
      </c>
      <c r="AM95" s="235">
        <f t="shared" si="44"/>
        <v>0</v>
      </c>
      <c r="AN95" s="463" t="str">
        <f t="shared" si="36"/>
        <v/>
      </c>
      <c r="AO95" s="417" t="str">
        <f t="shared" si="37"/>
        <v/>
      </c>
      <c r="AP95" s="417" t="str">
        <f t="shared" si="38"/>
        <v/>
      </c>
      <c r="AQ95" s="417" t="str">
        <f t="shared" si="39"/>
        <v/>
      </c>
      <c r="AR95" s="416" t="str">
        <f t="shared" si="45"/>
        <v/>
      </c>
    </row>
    <row r="96" spans="1:44" ht="14.25">
      <c r="A96" s="829" t="s">
        <v>283</v>
      </c>
      <c r="B96" s="467" t="s">
        <v>248</v>
      </c>
      <c r="C96" s="468" t="s">
        <v>186</v>
      </c>
      <c r="D96" s="125" t="s">
        <v>249</v>
      </c>
      <c r="E96" s="126">
        <v>0.375</v>
      </c>
      <c r="F96" s="126">
        <v>0.75</v>
      </c>
      <c r="G96" s="207">
        <f t="shared" si="29"/>
        <v>0.375</v>
      </c>
      <c r="H96" s="208">
        <f t="shared" si="30"/>
        <v>0</v>
      </c>
      <c r="I96" s="95">
        <f t="shared" si="31"/>
        <v>0</v>
      </c>
      <c r="J96" s="209">
        <f t="shared" si="32"/>
        <v>0</v>
      </c>
      <c r="K96" s="210">
        <f t="shared" si="33"/>
        <v>4.1666666666666685E-2</v>
      </c>
      <c r="L96" s="97">
        <f t="shared" si="34"/>
        <v>1</v>
      </c>
      <c r="M96" s="211" t="str">
        <f t="shared" si="40"/>
        <v/>
      </c>
      <c r="N96" s="212">
        <f t="shared" si="35"/>
        <v>1</v>
      </c>
      <c r="O96" s="213">
        <f>IF(N96=0,0,IF(SUM($N$5:N96)&gt;251,1,0))</f>
        <v>0</v>
      </c>
      <c r="P96" s="408">
        <v>2</v>
      </c>
      <c r="Q96" s="409">
        <v>0</v>
      </c>
      <c r="R96" s="214"/>
      <c r="S96" s="411" t="s">
        <v>672</v>
      </c>
      <c r="T96" s="225" t="s">
        <v>697</v>
      </c>
      <c r="U96" s="216" t="s">
        <v>698</v>
      </c>
      <c r="V96" s="412" t="s">
        <v>695</v>
      </c>
      <c r="W96" s="225" t="s">
        <v>697</v>
      </c>
      <c r="X96" s="216" t="s">
        <v>698</v>
      </c>
      <c r="Y96" s="412" t="s">
        <v>696</v>
      </c>
      <c r="Z96" s="225" t="s">
        <v>699</v>
      </c>
      <c r="AA96" s="216" t="s">
        <v>698</v>
      </c>
      <c r="AB96" s="412"/>
      <c r="AC96" s="225">
        <f t="shared" si="46"/>
        <v>0</v>
      </c>
      <c r="AD96" s="216">
        <f t="shared" si="41"/>
        <v>0</v>
      </c>
      <c r="AE96" s="412"/>
      <c r="AF96" s="225">
        <f t="shared" si="47"/>
        <v>0</v>
      </c>
      <c r="AG96" s="216">
        <f t="shared" si="42"/>
        <v>0</v>
      </c>
      <c r="AH96" s="412"/>
      <c r="AI96" s="225">
        <f t="shared" si="48"/>
        <v>0</v>
      </c>
      <c r="AJ96" s="216">
        <f t="shared" si="43"/>
        <v>0</v>
      </c>
      <c r="AK96" s="412"/>
      <c r="AL96" s="225">
        <f t="shared" si="49"/>
        <v>0</v>
      </c>
      <c r="AM96" s="216">
        <f t="shared" si="44"/>
        <v>0</v>
      </c>
      <c r="AN96" s="461" t="str">
        <f t="shared" si="36"/>
        <v/>
      </c>
      <c r="AO96" s="418" t="str">
        <f t="shared" si="37"/>
        <v/>
      </c>
      <c r="AP96" s="418" t="str">
        <f t="shared" si="38"/>
        <v/>
      </c>
      <c r="AQ96" s="415" t="str">
        <f t="shared" si="39"/>
        <v/>
      </c>
      <c r="AR96" s="416" t="str">
        <f t="shared" si="45"/>
        <v/>
      </c>
    </row>
    <row r="97" spans="1:44" ht="14.25">
      <c r="A97" s="830"/>
      <c r="B97" s="99" t="s">
        <v>250</v>
      </c>
      <c r="C97" s="466" t="s">
        <v>262</v>
      </c>
      <c r="D97" s="125" t="s">
        <v>251</v>
      </c>
      <c r="E97" s="126"/>
      <c r="F97" s="126"/>
      <c r="G97" s="217">
        <f t="shared" si="29"/>
        <v>0</v>
      </c>
      <c r="H97" s="218">
        <f t="shared" si="30"/>
        <v>0</v>
      </c>
      <c r="I97" s="96">
        <f t="shared" si="31"/>
        <v>0</v>
      </c>
      <c r="J97" s="219">
        <f t="shared" si="32"/>
        <v>0</v>
      </c>
      <c r="K97" s="220">
        <f t="shared" si="33"/>
        <v>0</v>
      </c>
      <c r="L97" s="100">
        <f t="shared" si="34"/>
        <v>0</v>
      </c>
      <c r="M97" s="221" t="str">
        <f t="shared" si="40"/>
        <v/>
      </c>
      <c r="N97" s="222">
        <f t="shared" si="35"/>
        <v>0</v>
      </c>
      <c r="O97" s="223">
        <f>IF(N97=0,0,IF(SUM($N$5:N97)&gt;251,1,0))</f>
        <v>0</v>
      </c>
      <c r="P97" s="408"/>
      <c r="Q97" s="409"/>
      <c r="R97" s="224"/>
      <c r="S97" s="411"/>
      <c r="T97" s="225">
        <f t="shared" si="50"/>
        <v>0</v>
      </c>
      <c r="U97" s="226">
        <f t="shared" si="51"/>
        <v>0</v>
      </c>
      <c r="V97" s="413"/>
      <c r="W97" s="225">
        <f t="shared" si="52"/>
        <v>0</v>
      </c>
      <c r="X97" s="226">
        <f t="shared" si="53"/>
        <v>0</v>
      </c>
      <c r="Y97" s="413"/>
      <c r="Z97" s="225">
        <f t="shared" si="54"/>
        <v>0</v>
      </c>
      <c r="AA97" s="226">
        <f t="shared" si="55"/>
        <v>0</v>
      </c>
      <c r="AB97" s="413"/>
      <c r="AC97" s="225">
        <f t="shared" si="46"/>
        <v>0</v>
      </c>
      <c r="AD97" s="226">
        <f t="shared" si="41"/>
        <v>0</v>
      </c>
      <c r="AE97" s="413"/>
      <c r="AF97" s="225">
        <f t="shared" si="47"/>
        <v>0</v>
      </c>
      <c r="AG97" s="226">
        <f t="shared" si="42"/>
        <v>0</v>
      </c>
      <c r="AH97" s="413"/>
      <c r="AI97" s="225">
        <f t="shared" si="48"/>
        <v>0</v>
      </c>
      <c r="AJ97" s="226">
        <f t="shared" si="43"/>
        <v>0</v>
      </c>
      <c r="AK97" s="413"/>
      <c r="AL97" s="225">
        <f t="shared" si="49"/>
        <v>0</v>
      </c>
      <c r="AM97" s="226">
        <f t="shared" si="44"/>
        <v>0</v>
      </c>
      <c r="AN97" s="462" t="str">
        <f t="shared" si="36"/>
        <v/>
      </c>
      <c r="AO97" s="416" t="str">
        <f t="shared" si="37"/>
        <v/>
      </c>
      <c r="AP97" s="416" t="str">
        <f t="shared" si="38"/>
        <v/>
      </c>
      <c r="AQ97" s="416" t="str">
        <f t="shared" si="39"/>
        <v/>
      </c>
      <c r="AR97" s="416" t="str">
        <f t="shared" si="45"/>
        <v/>
      </c>
    </row>
    <row r="98" spans="1:44" ht="14.25">
      <c r="A98" s="830"/>
      <c r="B98" s="99" t="s">
        <v>252</v>
      </c>
      <c r="C98" s="466" t="s">
        <v>182</v>
      </c>
      <c r="D98" s="125" t="s">
        <v>24</v>
      </c>
      <c r="E98" s="126">
        <v>0.58333333333333337</v>
      </c>
      <c r="F98" s="126">
        <v>0.79166666666666663</v>
      </c>
      <c r="G98" s="217">
        <f t="shared" si="29"/>
        <v>0.20833333333333326</v>
      </c>
      <c r="H98" s="218">
        <f t="shared" si="30"/>
        <v>0</v>
      </c>
      <c r="I98" s="96">
        <f t="shared" si="31"/>
        <v>0</v>
      </c>
      <c r="J98" s="219">
        <f t="shared" si="32"/>
        <v>0</v>
      </c>
      <c r="K98" s="220">
        <f t="shared" si="33"/>
        <v>0</v>
      </c>
      <c r="L98" s="100">
        <f t="shared" si="34"/>
        <v>0</v>
      </c>
      <c r="M98" s="221" t="str">
        <f t="shared" si="40"/>
        <v/>
      </c>
      <c r="N98" s="222">
        <f t="shared" si="35"/>
        <v>0</v>
      </c>
      <c r="O98" s="223">
        <f>IF(N98=0,0,IF(SUM($N$5:N98)&gt;251,1,0))</f>
        <v>0</v>
      </c>
      <c r="P98" s="408">
        <v>25</v>
      </c>
      <c r="Q98" s="409">
        <v>0</v>
      </c>
      <c r="R98" s="224"/>
      <c r="S98" s="411" t="s">
        <v>672</v>
      </c>
      <c r="T98" s="225" t="s">
        <v>697</v>
      </c>
      <c r="U98" s="226" t="s">
        <v>698</v>
      </c>
      <c r="V98" s="413" t="s">
        <v>695</v>
      </c>
      <c r="W98" s="225" t="s">
        <v>697</v>
      </c>
      <c r="X98" s="226" t="s">
        <v>698</v>
      </c>
      <c r="Y98" s="413" t="s">
        <v>696</v>
      </c>
      <c r="Z98" s="225" t="s">
        <v>699</v>
      </c>
      <c r="AA98" s="226" t="s">
        <v>698</v>
      </c>
      <c r="AB98" s="413"/>
      <c r="AC98" s="225">
        <f t="shared" si="46"/>
        <v>0</v>
      </c>
      <c r="AD98" s="226">
        <f t="shared" si="41"/>
        <v>0</v>
      </c>
      <c r="AE98" s="413"/>
      <c r="AF98" s="225">
        <f t="shared" si="47"/>
        <v>0</v>
      </c>
      <c r="AG98" s="226">
        <f t="shared" si="42"/>
        <v>0</v>
      </c>
      <c r="AH98" s="413"/>
      <c r="AI98" s="225">
        <f t="shared" si="48"/>
        <v>0</v>
      </c>
      <c r="AJ98" s="226">
        <f t="shared" si="43"/>
        <v>0</v>
      </c>
      <c r="AK98" s="413"/>
      <c r="AL98" s="225">
        <f t="shared" si="49"/>
        <v>0</v>
      </c>
      <c r="AM98" s="226">
        <f t="shared" si="44"/>
        <v>0</v>
      </c>
      <c r="AN98" s="462" t="str">
        <f t="shared" si="36"/>
        <v/>
      </c>
      <c r="AO98" s="416" t="str">
        <f t="shared" si="37"/>
        <v/>
      </c>
      <c r="AP98" s="416" t="str">
        <f t="shared" si="38"/>
        <v/>
      </c>
      <c r="AQ98" s="416" t="str">
        <f t="shared" si="39"/>
        <v/>
      </c>
      <c r="AR98" s="416" t="str">
        <f t="shared" si="45"/>
        <v/>
      </c>
    </row>
    <row r="99" spans="1:44" ht="14.25">
      <c r="A99" s="830"/>
      <c r="B99" s="99" t="s">
        <v>254</v>
      </c>
      <c r="C99" s="466" t="s">
        <v>187</v>
      </c>
      <c r="D99" s="125" t="s">
        <v>24</v>
      </c>
      <c r="E99" s="126">
        <v>0.58333333333333337</v>
      </c>
      <c r="F99" s="126">
        <v>0.79166666666666663</v>
      </c>
      <c r="G99" s="217">
        <f t="shared" si="29"/>
        <v>0.20833333333333326</v>
      </c>
      <c r="H99" s="218">
        <f t="shared" si="30"/>
        <v>0</v>
      </c>
      <c r="I99" s="96">
        <f t="shared" si="31"/>
        <v>0</v>
      </c>
      <c r="J99" s="219">
        <f t="shared" si="32"/>
        <v>0</v>
      </c>
      <c r="K99" s="220">
        <f t="shared" si="33"/>
        <v>0</v>
      </c>
      <c r="L99" s="100">
        <f t="shared" si="34"/>
        <v>0</v>
      </c>
      <c r="M99" s="221" t="str">
        <f t="shared" si="40"/>
        <v/>
      </c>
      <c r="N99" s="222">
        <f t="shared" si="35"/>
        <v>0</v>
      </c>
      <c r="O99" s="223">
        <f>IF(N99=0,0,IF(SUM($N$5:N99)&gt;251,1,0))</f>
        <v>0</v>
      </c>
      <c r="P99" s="408">
        <v>25</v>
      </c>
      <c r="Q99" s="409">
        <v>1</v>
      </c>
      <c r="R99" s="224"/>
      <c r="S99" s="411" t="s">
        <v>672</v>
      </c>
      <c r="T99" s="225" t="s">
        <v>697</v>
      </c>
      <c r="U99" s="226" t="s">
        <v>698</v>
      </c>
      <c r="V99" s="413" t="s">
        <v>695</v>
      </c>
      <c r="W99" s="225" t="s">
        <v>697</v>
      </c>
      <c r="X99" s="226" t="s">
        <v>698</v>
      </c>
      <c r="Y99" s="413" t="s">
        <v>696</v>
      </c>
      <c r="Z99" s="225" t="s">
        <v>699</v>
      </c>
      <c r="AA99" s="226" t="s">
        <v>698</v>
      </c>
      <c r="AB99" s="413"/>
      <c r="AC99" s="225">
        <f t="shared" si="46"/>
        <v>0</v>
      </c>
      <c r="AD99" s="226">
        <f t="shared" si="41"/>
        <v>0</v>
      </c>
      <c r="AE99" s="413"/>
      <c r="AF99" s="225">
        <f t="shared" si="47"/>
        <v>0</v>
      </c>
      <c r="AG99" s="226">
        <f t="shared" si="42"/>
        <v>0</v>
      </c>
      <c r="AH99" s="413"/>
      <c r="AI99" s="225">
        <f t="shared" si="48"/>
        <v>0</v>
      </c>
      <c r="AJ99" s="226">
        <f t="shared" si="43"/>
        <v>0</v>
      </c>
      <c r="AK99" s="413"/>
      <c r="AL99" s="225">
        <f t="shared" si="49"/>
        <v>0</v>
      </c>
      <c r="AM99" s="226">
        <f t="shared" si="44"/>
        <v>0</v>
      </c>
      <c r="AN99" s="462" t="str">
        <f t="shared" si="36"/>
        <v/>
      </c>
      <c r="AO99" s="416" t="str">
        <f t="shared" si="37"/>
        <v/>
      </c>
      <c r="AP99" s="416" t="str">
        <f t="shared" si="38"/>
        <v/>
      </c>
      <c r="AQ99" s="416" t="str">
        <f t="shared" si="39"/>
        <v/>
      </c>
      <c r="AR99" s="416" t="str">
        <f t="shared" si="45"/>
        <v/>
      </c>
    </row>
    <row r="100" spans="1:44" ht="14.25">
      <c r="A100" s="830"/>
      <c r="B100" s="99" t="s">
        <v>255</v>
      </c>
      <c r="C100" s="466" t="s">
        <v>183</v>
      </c>
      <c r="D100" s="125" t="s">
        <v>24</v>
      </c>
      <c r="E100" s="126">
        <v>0.58333333333333337</v>
      </c>
      <c r="F100" s="126">
        <v>0.79166666666666663</v>
      </c>
      <c r="G100" s="217">
        <f t="shared" si="29"/>
        <v>0.20833333333333326</v>
      </c>
      <c r="H100" s="218">
        <f t="shared" si="30"/>
        <v>0</v>
      </c>
      <c r="I100" s="96">
        <f t="shared" si="31"/>
        <v>0</v>
      </c>
      <c r="J100" s="219">
        <f t="shared" si="32"/>
        <v>0</v>
      </c>
      <c r="K100" s="220">
        <f t="shared" si="33"/>
        <v>0</v>
      </c>
      <c r="L100" s="100">
        <f t="shared" si="34"/>
        <v>0</v>
      </c>
      <c r="M100" s="221" t="str">
        <f t="shared" si="40"/>
        <v/>
      </c>
      <c r="N100" s="222">
        <f t="shared" si="35"/>
        <v>0</v>
      </c>
      <c r="O100" s="223">
        <f>IF(N100=0,0,IF(SUM($N$5:N100)&gt;251,1,0))</f>
        <v>0</v>
      </c>
      <c r="P100" s="408">
        <v>25</v>
      </c>
      <c r="Q100" s="409">
        <v>0</v>
      </c>
      <c r="R100" s="224"/>
      <c r="S100" s="411" t="s">
        <v>672</v>
      </c>
      <c r="T100" s="225" t="s">
        <v>697</v>
      </c>
      <c r="U100" s="226" t="s">
        <v>698</v>
      </c>
      <c r="V100" s="413" t="s">
        <v>695</v>
      </c>
      <c r="W100" s="225" t="s">
        <v>697</v>
      </c>
      <c r="X100" s="226" t="s">
        <v>698</v>
      </c>
      <c r="Y100" s="413" t="s">
        <v>696</v>
      </c>
      <c r="Z100" s="225" t="s">
        <v>699</v>
      </c>
      <c r="AA100" s="226" t="s">
        <v>698</v>
      </c>
      <c r="AB100" s="413"/>
      <c r="AC100" s="225">
        <f t="shared" si="46"/>
        <v>0</v>
      </c>
      <c r="AD100" s="226">
        <f t="shared" si="41"/>
        <v>0</v>
      </c>
      <c r="AE100" s="413"/>
      <c r="AF100" s="225">
        <f t="shared" si="47"/>
        <v>0</v>
      </c>
      <c r="AG100" s="226">
        <f t="shared" si="42"/>
        <v>0</v>
      </c>
      <c r="AH100" s="413"/>
      <c r="AI100" s="225">
        <f t="shared" si="48"/>
        <v>0</v>
      </c>
      <c r="AJ100" s="226">
        <f t="shared" si="43"/>
        <v>0</v>
      </c>
      <c r="AK100" s="413"/>
      <c r="AL100" s="225">
        <f t="shared" si="49"/>
        <v>0</v>
      </c>
      <c r="AM100" s="226">
        <f t="shared" si="44"/>
        <v>0</v>
      </c>
      <c r="AN100" s="462" t="str">
        <f t="shared" si="36"/>
        <v/>
      </c>
      <c r="AO100" s="416" t="str">
        <f t="shared" si="37"/>
        <v/>
      </c>
      <c r="AP100" s="416" t="str">
        <f t="shared" si="38"/>
        <v/>
      </c>
      <c r="AQ100" s="416" t="str">
        <f t="shared" si="39"/>
        <v/>
      </c>
      <c r="AR100" s="416" t="str">
        <f t="shared" si="45"/>
        <v/>
      </c>
    </row>
    <row r="101" spans="1:44" ht="14.25">
      <c r="A101" s="830"/>
      <c r="B101" s="99" t="s">
        <v>256</v>
      </c>
      <c r="C101" s="466" t="s">
        <v>184</v>
      </c>
      <c r="D101" s="125" t="s">
        <v>24</v>
      </c>
      <c r="E101" s="126">
        <v>0.58333333333333337</v>
      </c>
      <c r="F101" s="126">
        <v>0.79166666666666663</v>
      </c>
      <c r="G101" s="217">
        <f t="shared" si="29"/>
        <v>0.20833333333333326</v>
      </c>
      <c r="H101" s="218">
        <f t="shared" si="30"/>
        <v>0</v>
      </c>
      <c r="I101" s="96">
        <f t="shared" si="31"/>
        <v>0</v>
      </c>
      <c r="J101" s="219">
        <f t="shared" si="32"/>
        <v>0</v>
      </c>
      <c r="K101" s="220">
        <f t="shared" si="33"/>
        <v>0</v>
      </c>
      <c r="L101" s="100">
        <f t="shared" si="34"/>
        <v>0</v>
      </c>
      <c r="M101" s="221" t="str">
        <f t="shared" si="40"/>
        <v/>
      </c>
      <c r="N101" s="222">
        <f t="shared" si="35"/>
        <v>0</v>
      </c>
      <c r="O101" s="223">
        <f>IF(N101=0,0,IF(SUM($N$5:N101)&gt;251,1,0))</f>
        <v>0</v>
      </c>
      <c r="P101" s="408">
        <v>24</v>
      </c>
      <c r="Q101" s="409">
        <v>1</v>
      </c>
      <c r="R101" s="224"/>
      <c r="S101" s="411" t="s">
        <v>672</v>
      </c>
      <c r="T101" s="225" t="s">
        <v>697</v>
      </c>
      <c r="U101" s="226" t="s">
        <v>698</v>
      </c>
      <c r="V101" s="413" t="s">
        <v>695</v>
      </c>
      <c r="W101" s="225" t="s">
        <v>697</v>
      </c>
      <c r="X101" s="226" t="s">
        <v>698</v>
      </c>
      <c r="Y101" s="413" t="s">
        <v>696</v>
      </c>
      <c r="Z101" s="225" t="s">
        <v>699</v>
      </c>
      <c r="AA101" s="226" t="s">
        <v>698</v>
      </c>
      <c r="AB101" s="413"/>
      <c r="AC101" s="225">
        <f t="shared" si="46"/>
        <v>0</v>
      </c>
      <c r="AD101" s="226">
        <f t="shared" si="41"/>
        <v>0</v>
      </c>
      <c r="AE101" s="413"/>
      <c r="AF101" s="225">
        <f t="shared" si="47"/>
        <v>0</v>
      </c>
      <c r="AG101" s="226">
        <f t="shared" si="42"/>
        <v>0</v>
      </c>
      <c r="AH101" s="413"/>
      <c r="AI101" s="225">
        <f t="shared" si="48"/>
        <v>0</v>
      </c>
      <c r="AJ101" s="226">
        <f t="shared" si="43"/>
        <v>0</v>
      </c>
      <c r="AK101" s="413"/>
      <c r="AL101" s="225">
        <f t="shared" si="49"/>
        <v>0</v>
      </c>
      <c r="AM101" s="226">
        <f t="shared" si="44"/>
        <v>0</v>
      </c>
      <c r="AN101" s="462" t="str">
        <f t="shared" si="36"/>
        <v/>
      </c>
      <c r="AO101" s="416" t="str">
        <f t="shared" si="37"/>
        <v/>
      </c>
      <c r="AP101" s="416" t="str">
        <f t="shared" si="38"/>
        <v/>
      </c>
      <c r="AQ101" s="416" t="str">
        <f t="shared" si="39"/>
        <v/>
      </c>
      <c r="AR101" s="416" t="str">
        <f t="shared" si="45"/>
        <v/>
      </c>
    </row>
    <row r="102" spans="1:44" ht="14.25">
      <c r="A102" s="830"/>
      <c r="B102" s="99" t="s">
        <v>257</v>
      </c>
      <c r="C102" s="466" t="s">
        <v>185</v>
      </c>
      <c r="D102" s="125" t="s">
        <v>24</v>
      </c>
      <c r="E102" s="126">
        <v>0.58333333333333337</v>
      </c>
      <c r="F102" s="126">
        <v>0.79166666666666663</v>
      </c>
      <c r="G102" s="217">
        <f t="shared" si="29"/>
        <v>0.20833333333333326</v>
      </c>
      <c r="H102" s="218">
        <f t="shared" si="30"/>
        <v>0</v>
      </c>
      <c r="I102" s="96">
        <f t="shared" si="31"/>
        <v>0</v>
      </c>
      <c r="J102" s="219">
        <f t="shared" si="32"/>
        <v>0</v>
      </c>
      <c r="K102" s="220">
        <f t="shared" si="33"/>
        <v>0</v>
      </c>
      <c r="L102" s="100">
        <f t="shared" si="34"/>
        <v>0</v>
      </c>
      <c r="M102" s="221" t="str">
        <f t="shared" si="40"/>
        <v/>
      </c>
      <c r="N102" s="222">
        <f t="shared" si="35"/>
        <v>0</v>
      </c>
      <c r="O102" s="223">
        <f>IF(N102=0,0,IF(SUM($N$5:N102)&gt;251,1,0))</f>
        <v>0</v>
      </c>
      <c r="P102" s="408">
        <v>19</v>
      </c>
      <c r="Q102" s="409">
        <v>1</v>
      </c>
      <c r="R102" s="224"/>
      <c r="S102" s="411" t="s">
        <v>672</v>
      </c>
      <c r="T102" s="225" t="s">
        <v>697</v>
      </c>
      <c r="U102" s="226" t="s">
        <v>698</v>
      </c>
      <c r="V102" s="413" t="s">
        <v>695</v>
      </c>
      <c r="W102" s="225" t="s">
        <v>697</v>
      </c>
      <c r="X102" s="226" t="s">
        <v>698</v>
      </c>
      <c r="Y102" s="413" t="s">
        <v>696</v>
      </c>
      <c r="Z102" s="225" t="s">
        <v>699</v>
      </c>
      <c r="AA102" s="226" t="s">
        <v>698</v>
      </c>
      <c r="AB102" s="413"/>
      <c r="AC102" s="225">
        <f t="shared" si="46"/>
        <v>0</v>
      </c>
      <c r="AD102" s="226">
        <f t="shared" si="41"/>
        <v>0</v>
      </c>
      <c r="AE102" s="413"/>
      <c r="AF102" s="225">
        <f t="shared" si="47"/>
        <v>0</v>
      </c>
      <c r="AG102" s="226">
        <f t="shared" si="42"/>
        <v>0</v>
      </c>
      <c r="AH102" s="413"/>
      <c r="AI102" s="225">
        <f t="shared" si="48"/>
        <v>0</v>
      </c>
      <c r="AJ102" s="226">
        <f t="shared" si="43"/>
        <v>0</v>
      </c>
      <c r="AK102" s="413"/>
      <c r="AL102" s="225">
        <f t="shared" si="49"/>
        <v>0</v>
      </c>
      <c r="AM102" s="226">
        <f t="shared" si="44"/>
        <v>0</v>
      </c>
      <c r="AN102" s="462" t="str">
        <f t="shared" si="36"/>
        <v/>
      </c>
      <c r="AO102" s="416" t="str">
        <f t="shared" si="37"/>
        <v/>
      </c>
      <c r="AP102" s="416" t="str">
        <f t="shared" si="38"/>
        <v/>
      </c>
      <c r="AQ102" s="416" t="str">
        <f t="shared" si="39"/>
        <v/>
      </c>
      <c r="AR102" s="416" t="str">
        <f t="shared" si="45"/>
        <v/>
      </c>
    </row>
    <row r="103" spans="1:44" ht="14.25">
      <c r="A103" s="830"/>
      <c r="B103" s="99" t="s">
        <v>258</v>
      </c>
      <c r="C103" s="466" t="s">
        <v>186</v>
      </c>
      <c r="D103" s="125" t="s">
        <v>249</v>
      </c>
      <c r="E103" s="126">
        <v>0.375</v>
      </c>
      <c r="F103" s="126">
        <v>0.75</v>
      </c>
      <c r="G103" s="217">
        <f t="shared" si="29"/>
        <v>0.375</v>
      </c>
      <c r="H103" s="218">
        <f t="shared" si="30"/>
        <v>0</v>
      </c>
      <c r="I103" s="96">
        <f t="shared" si="31"/>
        <v>0</v>
      </c>
      <c r="J103" s="219">
        <f t="shared" si="32"/>
        <v>0</v>
      </c>
      <c r="K103" s="220">
        <f t="shared" si="33"/>
        <v>4.1666666666666685E-2</v>
      </c>
      <c r="L103" s="100">
        <f t="shared" si="34"/>
        <v>1</v>
      </c>
      <c r="M103" s="221" t="str">
        <f t="shared" si="40"/>
        <v/>
      </c>
      <c r="N103" s="222">
        <f t="shared" si="35"/>
        <v>1</v>
      </c>
      <c r="O103" s="223">
        <f>IF(N103=0,0,IF(SUM($N$5:N103)&gt;251,1,0))</f>
        <v>0</v>
      </c>
      <c r="P103" s="408">
        <v>1</v>
      </c>
      <c r="Q103" s="409">
        <v>0</v>
      </c>
      <c r="R103" s="224"/>
      <c r="S103" s="411" t="s">
        <v>672</v>
      </c>
      <c r="T103" s="225" t="s">
        <v>697</v>
      </c>
      <c r="U103" s="226" t="s">
        <v>698</v>
      </c>
      <c r="V103" s="413" t="s">
        <v>695</v>
      </c>
      <c r="W103" s="225" t="s">
        <v>697</v>
      </c>
      <c r="X103" s="226" t="s">
        <v>698</v>
      </c>
      <c r="Y103" s="413" t="s">
        <v>696</v>
      </c>
      <c r="Z103" s="225" t="s">
        <v>699</v>
      </c>
      <c r="AA103" s="226" t="s">
        <v>698</v>
      </c>
      <c r="AB103" s="413"/>
      <c r="AC103" s="225">
        <f t="shared" si="46"/>
        <v>0</v>
      </c>
      <c r="AD103" s="226">
        <f t="shared" si="41"/>
        <v>0</v>
      </c>
      <c r="AE103" s="413"/>
      <c r="AF103" s="225">
        <f t="shared" si="47"/>
        <v>0</v>
      </c>
      <c r="AG103" s="226">
        <f t="shared" si="42"/>
        <v>0</v>
      </c>
      <c r="AH103" s="413"/>
      <c r="AI103" s="225">
        <f t="shared" si="48"/>
        <v>0</v>
      </c>
      <c r="AJ103" s="226">
        <f t="shared" si="43"/>
        <v>0</v>
      </c>
      <c r="AK103" s="413"/>
      <c r="AL103" s="225">
        <f t="shared" si="49"/>
        <v>0</v>
      </c>
      <c r="AM103" s="226">
        <f t="shared" si="44"/>
        <v>0</v>
      </c>
      <c r="AN103" s="462" t="str">
        <f t="shared" si="36"/>
        <v/>
      </c>
      <c r="AO103" s="416" t="str">
        <f t="shared" si="37"/>
        <v/>
      </c>
      <c r="AP103" s="416" t="str">
        <f t="shared" si="38"/>
        <v/>
      </c>
      <c r="AQ103" s="416" t="str">
        <f t="shared" si="39"/>
        <v/>
      </c>
      <c r="AR103" s="416" t="str">
        <f t="shared" si="45"/>
        <v/>
      </c>
    </row>
    <row r="104" spans="1:44" ht="14.25">
      <c r="A104" s="830"/>
      <c r="B104" s="99" t="s">
        <v>259</v>
      </c>
      <c r="C104" s="466" t="s">
        <v>262</v>
      </c>
      <c r="D104" s="125" t="s">
        <v>251</v>
      </c>
      <c r="E104" s="126"/>
      <c r="F104" s="126"/>
      <c r="G104" s="217">
        <f t="shared" si="29"/>
        <v>0</v>
      </c>
      <c r="H104" s="218">
        <f t="shared" si="30"/>
        <v>0</v>
      </c>
      <c r="I104" s="96">
        <f t="shared" si="31"/>
        <v>0</v>
      </c>
      <c r="J104" s="219">
        <f t="shared" si="32"/>
        <v>0</v>
      </c>
      <c r="K104" s="220">
        <f t="shared" si="33"/>
        <v>0</v>
      </c>
      <c r="L104" s="100">
        <f t="shared" si="34"/>
        <v>0</v>
      </c>
      <c r="M104" s="221" t="str">
        <f t="shared" si="40"/>
        <v/>
      </c>
      <c r="N104" s="222">
        <f t="shared" si="35"/>
        <v>0</v>
      </c>
      <c r="O104" s="223">
        <f>IF(N104=0,0,IF(SUM($N$5:N104)&gt;251,1,0))</f>
        <v>0</v>
      </c>
      <c r="P104" s="408"/>
      <c r="Q104" s="409"/>
      <c r="R104" s="224"/>
      <c r="S104" s="411"/>
      <c r="T104" s="225">
        <f t="shared" si="50"/>
        <v>0</v>
      </c>
      <c r="U104" s="226">
        <f t="shared" si="51"/>
        <v>0</v>
      </c>
      <c r="V104" s="413"/>
      <c r="W104" s="225">
        <f t="shared" si="52"/>
        <v>0</v>
      </c>
      <c r="X104" s="226">
        <f t="shared" si="53"/>
        <v>0</v>
      </c>
      <c r="Y104" s="413"/>
      <c r="Z104" s="225">
        <f t="shared" si="54"/>
        <v>0</v>
      </c>
      <c r="AA104" s="226">
        <f t="shared" si="55"/>
        <v>0</v>
      </c>
      <c r="AB104" s="413"/>
      <c r="AC104" s="225">
        <f t="shared" si="46"/>
        <v>0</v>
      </c>
      <c r="AD104" s="226">
        <f t="shared" si="41"/>
        <v>0</v>
      </c>
      <c r="AE104" s="413"/>
      <c r="AF104" s="225">
        <f t="shared" si="47"/>
        <v>0</v>
      </c>
      <c r="AG104" s="226">
        <f t="shared" si="42"/>
        <v>0</v>
      </c>
      <c r="AH104" s="413"/>
      <c r="AI104" s="225">
        <f t="shared" si="48"/>
        <v>0</v>
      </c>
      <c r="AJ104" s="226">
        <f t="shared" si="43"/>
        <v>0</v>
      </c>
      <c r="AK104" s="413"/>
      <c r="AL104" s="225">
        <f t="shared" si="49"/>
        <v>0</v>
      </c>
      <c r="AM104" s="226">
        <f t="shared" si="44"/>
        <v>0</v>
      </c>
      <c r="AN104" s="462" t="str">
        <f t="shared" si="36"/>
        <v/>
      </c>
      <c r="AO104" s="416" t="str">
        <f t="shared" si="37"/>
        <v/>
      </c>
      <c r="AP104" s="416" t="str">
        <f t="shared" si="38"/>
        <v/>
      </c>
      <c r="AQ104" s="416" t="str">
        <f t="shared" si="39"/>
        <v/>
      </c>
      <c r="AR104" s="416" t="str">
        <f t="shared" si="45"/>
        <v/>
      </c>
    </row>
    <row r="105" spans="1:44" ht="14.25">
      <c r="A105" s="830"/>
      <c r="B105" s="99" t="s">
        <v>260</v>
      </c>
      <c r="C105" s="466" t="s">
        <v>182</v>
      </c>
      <c r="D105" s="125" t="s">
        <v>24</v>
      </c>
      <c r="E105" s="126">
        <v>0.58333333333333337</v>
      </c>
      <c r="F105" s="126">
        <v>0.79166666666666663</v>
      </c>
      <c r="G105" s="217">
        <f t="shared" si="29"/>
        <v>0.20833333333333326</v>
      </c>
      <c r="H105" s="218">
        <f t="shared" si="30"/>
        <v>0</v>
      </c>
      <c r="I105" s="96">
        <f t="shared" si="31"/>
        <v>0</v>
      </c>
      <c r="J105" s="219">
        <f t="shared" si="32"/>
        <v>0</v>
      </c>
      <c r="K105" s="220">
        <f t="shared" si="33"/>
        <v>0</v>
      </c>
      <c r="L105" s="100">
        <f t="shared" si="34"/>
        <v>0</v>
      </c>
      <c r="M105" s="221" t="str">
        <f t="shared" si="40"/>
        <v/>
      </c>
      <c r="N105" s="222">
        <f t="shared" si="35"/>
        <v>0</v>
      </c>
      <c r="O105" s="223">
        <f>IF(N105=0,0,IF(SUM($N$5:N105)&gt;251,1,0))</f>
        <v>0</v>
      </c>
      <c r="P105" s="408">
        <v>21</v>
      </c>
      <c r="Q105" s="409">
        <v>0</v>
      </c>
      <c r="R105" s="224"/>
      <c r="S105" s="411" t="s">
        <v>672</v>
      </c>
      <c r="T105" s="225" t="s">
        <v>697</v>
      </c>
      <c r="U105" s="226" t="s">
        <v>698</v>
      </c>
      <c r="V105" s="413" t="s">
        <v>695</v>
      </c>
      <c r="W105" s="225" t="s">
        <v>697</v>
      </c>
      <c r="X105" s="226" t="s">
        <v>698</v>
      </c>
      <c r="Y105" s="413" t="s">
        <v>696</v>
      </c>
      <c r="Z105" s="225" t="s">
        <v>699</v>
      </c>
      <c r="AA105" s="226" t="s">
        <v>698</v>
      </c>
      <c r="AB105" s="413"/>
      <c r="AC105" s="225">
        <f t="shared" si="46"/>
        <v>0</v>
      </c>
      <c r="AD105" s="226">
        <f t="shared" si="41"/>
        <v>0</v>
      </c>
      <c r="AE105" s="413"/>
      <c r="AF105" s="225">
        <f t="shared" si="47"/>
        <v>0</v>
      </c>
      <c r="AG105" s="226">
        <f t="shared" si="42"/>
        <v>0</v>
      </c>
      <c r="AH105" s="413"/>
      <c r="AI105" s="225">
        <f t="shared" si="48"/>
        <v>0</v>
      </c>
      <c r="AJ105" s="226">
        <f t="shared" si="43"/>
        <v>0</v>
      </c>
      <c r="AK105" s="413"/>
      <c r="AL105" s="225">
        <f t="shared" si="49"/>
        <v>0</v>
      </c>
      <c r="AM105" s="226">
        <f t="shared" si="44"/>
        <v>0</v>
      </c>
      <c r="AN105" s="462" t="str">
        <f t="shared" si="36"/>
        <v/>
      </c>
      <c r="AO105" s="416" t="str">
        <f t="shared" si="37"/>
        <v/>
      </c>
      <c r="AP105" s="416" t="str">
        <f t="shared" si="38"/>
        <v/>
      </c>
      <c r="AQ105" s="416" t="str">
        <f t="shared" si="39"/>
        <v/>
      </c>
      <c r="AR105" s="416" t="str">
        <f t="shared" si="45"/>
        <v/>
      </c>
    </row>
    <row r="106" spans="1:44" ht="14.25">
      <c r="A106" s="830"/>
      <c r="B106" s="99" t="s">
        <v>261</v>
      </c>
      <c r="C106" s="466" t="s">
        <v>187</v>
      </c>
      <c r="D106" s="125" t="s">
        <v>24</v>
      </c>
      <c r="E106" s="126">
        <v>0.58333333333333337</v>
      </c>
      <c r="F106" s="126">
        <v>0.79166666666666663</v>
      </c>
      <c r="G106" s="217">
        <f t="shared" si="29"/>
        <v>0.20833333333333326</v>
      </c>
      <c r="H106" s="218">
        <f t="shared" si="30"/>
        <v>0</v>
      </c>
      <c r="I106" s="96">
        <f t="shared" si="31"/>
        <v>0</v>
      </c>
      <c r="J106" s="219">
        <f t="shared" si="32"/>
        <v>0</v>
      </c>
      <c r="K106" s="220">
        <f t="shared" si="33"/>
        <v>0</v>
      </c>
      <c r="L106" s="100">
        <f t="shared" si="34"/>
        <v>0</v>
      </c>
      <c r="M106" s="221" t="str">
        <f t="shared" si="40"/>
        <v/>
      </c>
      <c r="N106" s="222">
        <f t="shared" si="35"/>
        <v>0</v>
      </c>
      <c r="O106" s="223">
        <f>IF(N106=0,0,IF(SUM($N$5:N106)&gt;251,1,0))</f>
        <v>0</v>
      </c>
      <c r="P106" s="408">
        <v>23</v>
      </c>
      <c r="Q106" s="409">
        <v>0</v>
      </c>
      <c r="R106" s="224"/>
      <c r="S106" s="411" t="s">
        <v>672</v>
      </c>
      <c r="T106" s="225" t="s">
        <v>697</v>
      </c>
      <c r="U106" s="226" t="s">
        <v>698</v>
      </c>
      <c r="V106" s="413" t="s">
        <v>695</v>
      </c>
      <c r="W106" s="225" t="s">
        <v>697</v>
      </c>
      <c r="X106" s="226" t="s">
        <v>698</v>
      </c>
      <c r="Y106" s="413" t="s">
        <v>696</v>
      </c>
      <c r="Z106" s="225" t="s">
        <v>699</v>
      </c>
      <c r="AA106" s="226" t="s">
        <v>698</v>
      </c>
      <c r="AB106" s="413"/>
      <c r="AC106" s="225">
        <f t="shared" si="46"/>
        <v>0</v>
      </c>
      <c r="AD106" s="226">
        <f t="shared" si="41"/>
        <v>0</v>
      </c>
      <c r="AE106" s="413"/>
      <c r="AF106" s="225">
        <f t="shared" si="47"/>
        <v>0</v>
      </c>
      <c r="AG106" s="226">
        <f t="shared" si="42"/>
        <v>0</v>
      </c>
      <c r="AH106" s="413"/>
      <c r="AI106" s="225">
        <f t="shared" si="48"/>
        <v>0</v>
      </c>
      <c r="AJ106" s="226">
        <f t="shared" si="43"/>
        <v>0</v>
      </c>
      <c r="AK106" s="413"/>
      <c r="AL106" s="225">
        <f t="shared" si="49"/>
        <v>0</v>
      </c>
      <c r="AM106" s="226">
        <f t="shared" si="44"/>
        <v>0</v>
      </c>
      <c r="AN106" s="462" t="str">
        <f t="shared" si="36"/>
        <v/>
      </c>
      <c r="AO106" s="416" t="str">
        <f t="shared" si="37"/>
        <v/>
      </c>
      <c r="AP106" s="416" t="str">
        <f t="shared" si="38"/>
        <v/>
      </c>
      <c r="AQ106" s="416" t="str">
        <f t="shared" si="39"/>
        <v/>
      </c>
      <c r="AR106" s="416" t="str">
        <f t="shared" si="45"/>
        <v/>
      </c>
    </row>
    <row r="107" spans="1:44" ht="14.25">
      <c r="A107" s="830"/>
      <c r="B107" s="99" t="s">
        <v>263</v>
      </c>
      <c r="C107" s="466" t="s">
        <v>183</v>
      </c>
      <c r="D107" s="125" t="s">
        <v>24</v>
      </c>
      <c r="E107" s="126">
        <v>0.58333333333333337</v>
      </c>
      <c r="F107" s="126">
        <v>0.79166666666666663</v>
      </c>
      <c r="G107" s="217">
        <f t="shared" si="29"/>
        <v>0.20833333333333326</v>
      </c>
      <c r="H107" s="218">
        <f t="shared" si="30"/>
        <v>0</v>
      </c>
      <c r="I107" s="96">
        <f t="shared" si="31"/>
        <v>0</v>
      </c>
      <c r="J107" s="219">
        <f t="shared" si="32"/>
        <v>0</v>
      </c>
      <c r="K107" s="220">
        <f t="shared" si="33"/>
        <v>0</v>
      </c>
      <c r="L107" s="100">
        <f t="shared" si="34"/>
        <v>0</v>
      </c>
      <c r="M107" s="221" t="str">
        <f t="shared" si="40"/>
        <v/>
      </c>
      <c r="N107" s="222">
        <f t="shared" si="35"/>
        <v>0</v>
      </c>
      <c r="O107" s="223">
        <f>IF(N107=0,0,IF(SUM($N$5:N107)&gt;251,1,0))</f>
        <v>0</v>
      </c>
      <c r="P107" s="408">
        <v>29</v>
      </c>
      <c r="Q107" s="409">
        <v>1</v>
      </c>
      <c r="R107" s="224"/>
      <c r="S107" s="411" t="s">
        <v>672</v>
      </c>
      <c r="T107" s="225" t="s">
        <v>697</v>
      </c>
      <c r="U107" s="226" t="s">
        <v>698</v>
      </c>
      <c r="V107" s="413" t="s">
        <v>695</v>
      </c>
      <c r="W107" s="225" t="s">
        <v>697</v>
      </c>
      <c r="X107" s="226" t="s">
        <v>698</v>
      </c>
      <c r="Y107" s="413" t="s">
        <v>696</v>
      </c>
      <c r="Z107" s="225" t="s">
        <v>699</v>
      </c>
      <c r="AA107" s="226" t="s">
        <v>698</v>
      </c>
      <c r="AB107" s="413"/>
      <c r="AC107" s="225">
        <f t="shared" si="46"/>
        <v>0</v>
      </c>
      <c r="AD107" s="226">
        <f t="shared" si="41"/>
        <v>0</v>
      </c>
      <c r="AE107" s="413"/>
      <c r="AF107" s="225">
        <f t="shared" si="47"/>
        <v>0</v>
      </c>
      <c r="AG107" s="226">
        <f t="shared" si="42"/>
        <v>0</v>
      </c>
      <c r="AH107" s="413"/>
      <c r="AI107" s="225">
        <f t="shared" si="48"/>
        <v>0</v>
      </c>
      <c r="AJ107" s="226">
        <f t="shared" si="43"/>
        <v>0</v>
      </c>
      <c r="AK107" s="413"/>
      <c r="AL107" s="225">
        <f t="shared" si="49"/>
        <v>0</v>
      </c>
      <c r="AM107" s="226">
        <f t="shared" si="44"/>
        <v>0</v>
      </c>
      <c r="AN107" s="462" t="str">
        <f t="shared" si="36"/>
        <v/>
      </c>
      <c r="AO107" s="416" t="str">
        <f t="shared" si="37"/>
        <v/>
      </c>
      <c r="AP107" s="416" t="str">
        <f t="shared" si="38"/>
        <v/>
      </c>
      <c r="AQ107" s="416" t="str">
        <f t="shared" si="39"/>
        <v/>
      </c>
      <c r="AR107" s="416" t="str">
        <f t="shared" si="45"/>
        <v/>
      </c>
    </row>
    <row r="108" spans="1:44" ht="14.25">
      <c r="A108" s="830"/>
      <c r="B108" s="99" t="s">
        <v>264</v>
      </c>
      <c r="C108" s="466" t="s">
        <v>184</v>
      </c>
      <c r="D108" s="125" t="s">
        <v>24</v>
      </c>
      <c r="E108" s="126">
        <v>0.58333333333333337</v>
      </c>
      <c r="F108" s="126">
        <v>0.79166666666666663</v>
      </c>
      <c r="G108" s="217">
        <f t="shared" si="29"/>
        <v>0.20833333333333326</v>
      </c>
      <c r="H108" s="218">
        <f t="shared" si="30"/>
        <v>0</v>
      </c>
      <c r="I108" s="96">
        <f t="shared" si="31"/>
        <v>0</v>
      </c>
      <c r="J108" s="219">
        <f t="shared" si="32"/>
        <v>0</v>
      </c>
      <c r="K108" s="220">
        <f t="shared" si="33"/>
        <v>0</v>
      </c>
      <c r="L108" s="100">
        <f t="shared" si="34"/>
        <v>0</v>
      </c>
      <c r="M108" s="221" t="str">
        <f t="shared" si="40"/>
        <v/>
      </c>
      <c r="N108" s="222">
        <f t="shared" si="35"/>
        <v>0</v>
      </c>
      <c r="O108" s="223">
        <f>IF(N108=0,0,IF(SUM($N$5:N108)&gt;251,1,0))</f>
        <v>0</v>
      </c>
      <c r="P108" s="408">
        <v>27</v>
      </c>
      <c r="Q108" s="409">
        <v>0</v>
      </c>
      <c r="R108" s="224"/>
      <c r="S108" s="411" t="s">
        <v>672</v>
      </c>
      <c r="T108" s="225" t="s">
        <v>697</v>
      </c>
      <c r="U108" s="226" t="s">
        <v>698</v>
      </c>
      <c r="V108" s="413" t="s">
        <v>695</v>
      </c>
      <c r="W108" s="225" t="s">
        <v>697</v>
      </c>
      <c r="X108" s="226" t="s">
        <v>698</v>
      </c>
      <c r="Y108" s="413" t="s">
        <v>696</v>
      </c>
      <c r="Z108" s="225" t="s">
        <v>699</v>
      </c>
      <c r="AA108" s="226" t="s">
        <v>698</v>
      </c>
      <c r="AB108" s="413"/>
      <c r="AC108" s="225">
        <f t="shared" si="46"/>
        <v>0</v>
      </c>
      <c r="AD108" s="226">
        <f t="shared" si="41"/>
        <v>0</v>
      </c>
      <c r="AE108" s="413"/>
      <c r="AF108" s="225">
        <f t="shared" si="47"/>
        <v>0</v>
      </c>
      <c r="AG108" s="226">
        <f t="shared" si="42"/>
        <v>0</v>
      </c>
      <c r="AH108" s="413"/>
      <c r="AI108" s="225">
        <f t="shared" si="48"/>
        <v>0</v>
      </c>
      <c r="AJ108" s="226">
        <f t="shared" si="43"/>
        <v>0</v>
      </c>
      <c r="AK108" s="413"/>
      <c r="AL108" s="225">
        <f t="shared" si="49"/>
        <v>0</v>
      </c>
      <c r="AM108" s="226">
        <f t="shared" si="44"/>
        <v>0</v>
      </c>
      <c r="AN108" s="462" t="str">
        <f t="shared" si="36"/>
        <v/>
      </c>
      <c r="AO108" s="416" t="str">
        <f t="shared" si="37"/>
        <v/>
      </c>
      <c r="AP108" s="416" t="str">
        <f t="shared" si="38"/>
        <v/>
      </c>
      <c r="AQ108" s="416" t="str">
        <f t="shared" si="39"/>
        <v/>
      </c>
      <c r="AR108" s="416" t="str">
        <f t="shared" si="45"/>
        <v/>
      </c>
    </row>
    <row r="109" spans="1:44" ht="14.25">
      <c r="A109" s="830"/>
      <c r="B109" s="99" t="s">
        <v>265</v>
      </c>
      <c r="C109" s="466" t="s">
        <v>185</v>
      </c>
      <c r="D109" s="125" t="s">
        <v>24</v>
      </c>
      <c r="E109" s="126">
        <v>0.58333333333333337</v>
      </c>
      <c r="F109" s="126">
        <v>0.79166666666666663</v>
      </c>
      <c r="G109" s="217">
        <f t="shared" si="29"/>
        <v>0.20833333333333326</v>
      </c>
      <c r="H109" s="218">
        <f t="shared" si="30"/>
        <v>0</v>
      </c>
      <c r="I109" s="96">
        <f t="shared" si="31"/>
        <v>0</v>
      </c>
      <c r="J109" s="219">
        <f t="shared" si="32"/>
        <v>0</v>
      </c>
      <c r="K109" s="220">
        <f t="shared" si="33"/>
        <v>0</v>
      </c>
      <c r="L109" s="100">
        <f t="shared" si="34"/>
        <v>0</v>
      </c>
      <c r="M109" s="221" t="str">
        <f t="shared" si="40"/>
        <v/>
      </c>
      <c r="N109" s="222">
        <f t="shared" si="35"/>
        <v>0</v>
      </c>
      <c r="O109" s="223">
        <f>IF(N109=0,0,IF(SUM($N$5:N109)&gt;251,1,0))</f>
        <v>0</v>
      </c>
      <c r="P109" s="408">
        <v>21</v>
      </c>
      <c r="Q109" s="409">
        <v>1</v>
      </c>
      <c r="R109" s="224"/>
      <c r="S109" s="411" t="s">
        <v>672</v>
      </c>
      <c r="T109" s="225" t="s">
        <v>697</v>
      </c>
      <c r="U109" s="226" t="s">
        <v>698</v>
      </c>
      <c r="V109" s="413" t="s">
        <v>695</v>
      </c>
      <c r="W109" s="225" t="s">
        <v>697</v>
      </c>
      <c r="X109" s="226" t="s">
        <v>698</v>
      </c>
      <c r="Y109" s="413" t="s">
        <v>696</v>
      </c>
      <c r="Z109" s="225" t="s">
        <v>699</v>
      </c>
      <c r="AA109" s="226" t="s">
        <v>698</v>
      </c>
      <c r="AB109" s="413"/>
      <c r="AC109" s="225">
        <f t="shared" si="46"/>
        <v>0</v>
      </c>
      <c r="AD109" s="226">
        <f t="shared" si="41"/>
        <v>0</v>
      </c>
      <c r="AE109" s="413"/>
      <c r="AF109" s="225">
        <f t="shared" si="47"/>
        <v>0</v>
      </c>
      <c r="AG109" s="226">
        <f t="shared" si="42"/>
        <v>0</v>
      </c>
      <c r="AH109" s="413"/>
      <c r="AI109" s="225">
        <f t="shared" si="48"/>
        <v>0</v>
      </c>
      <c r="AJ109" s="226">
        <f t="shared" si="43"/>
        <v>0</v>
      </c>
      <c r="AK109" s="413"/>
      <c r="AL109" s="225">
        <f t="shared" si="49"/>
        <v>0</v>
      </c>
      <c r="AM109" s="226">
        <f t="shared" si="44"/>
        <v>0</v>
      </c>
      <c r="AN109" s="462" t="str">
        <f t="shared" si="36"/>
        <v/>
      </c>
      <c r="AO109" s="416" t="str">
        <f t="shared" si="37"/>
        <v/>
      </c>
      <c r="AP109" s="416" t="str">
        <f t="shared" si="38"/>
        <v/>
      </c>
      <c r="AQ109" s="416" t="str">
        <f t="shared" si="39"/>
        <v/>
      </c>
      <c r="AR109" s="416" t="str">
        <f t="shared" si="45"/>
        <v/>
      </c>
    </row>
    <row r="110" spans="1:44" ht="14.25">
      <c r="A110" s="830"/>
      <c r="B110" s="99" t="s">
        <v>266</v>
      </c>
      <c r="C110" s="466" t="s">
        <v>186</v>
      </c>
      <c r="D110" s="125" t="s">
        <v>249</v>
      </c>
      <c r="E110" s="126">
        <v>0.375</v>
      </c>
      <c r="F110" s="126">
        <v>0.75</v>
      </c>
      <c r="G110" s="217">
        <f t="shared" si="29"/>
        <v>0.375</v>
      </c>
      <c r="H110" s="218">
        <f t="shared" si="30"/>
        <v>0</v>
      </c>
      <c r="I110" s="96">
        <f t="shared" si="31"/>
        <v>0</v>
      </c>
      <c r="J110" s="219">
        <f t="shared" si="32"/>
        <v>0</v>
      </c>
      <c r="K110" s="220">
        <f t="shared" si="33"/>
        <v>4.1666666666666685E-2</v>
      </c>
      <c r="L110" s="100">
        <f t="shared" si="34"/>
        <v>1</v>
      </c>
      <c r="M110" s="221" t="str">
        <f t="shared" si="40"/>
        <v/>
      </c>
      <c r="N110" s="222">
        <f t="shared" si="35"/>
        <v>1</v>
      </c>
      <c r="O110" s="223">
        <f>IF(N110=0,0,IF(SUM($N$5:N110)&gt;251,1,0))</f>
        <v>0</v>
      </c>
      <c r="P110" s="408">
        <v>5</v>
      </c>
      <c r="Q110" s="409">
        <v>1</v>
      </c>
      <c r="R110" s="224"/>
      <c r="S110" s="411" t="s">
        <v>672</v>
      </c>
      <c r="T110" s="225" t="s">
        <v>697</v>
      </c>
      <c r="U110" s="226" t="s">
        <v>698</v>
      </c>
      <c r="V110" s="413" t="s">
        <v>695</v>
      </c>
      <c r="W110" s="225" t="s">
        <v>697</v>
      </c>
      <c r="X110" s="226" t="s">
        <v>698</v>
      </c>
      <c r="Y110" s="413" t="s">
        <v>696</v>
      </c>
      <c r="Z110" s="225" t="s">
        <v>699</v>
      </c>
      <c r="AA110" s="226" t="s">
        <v>698</v>
      </c>
      <c r="AB110" s="413"/>
      <c r="AC110" s="225">
        <f t="shared" si="46"/>
        <v>0</v>
      </c>
      <c r="AD110" s="226">
        <f t="shared" si="41"/>
        <v>0</v>
      </c>
      <c r="AE110" s="413"/>
      <c r="AF110" s="225">
        <f t="shared" si="47"/>
        <v>0</v>
      </c>
      <c r="AG110" s="226">
        <f t="shared" si="42"/>
        <v>0</v>
      </c>
      <c r="AH110" s="413"/>
      <c r="AI110" s="225">
        <f t="shared" si="48"/>
        <v>0</v>
      </c>
      <c r="AJ110" s="226">
        <f t="shared" si="43"/>
        <v>0</v>
      </c>
      <c r="AK110" s="413"/>
      <c r="AL110" s="225">
        <f t="shared" si="49"/>
        <v>0</v>
      </c>
      <c r="AM110" s="226">
        <f t="shared" si="44"/>
        <v>0</v>
      </c>
      <c r="AN110" s="462" t="str">
        <f t="shared" si="36"/>
        <v/>
      </c>
      <c r="AO110" s="416" t="str">
        <f t="shared" si="37"/>
        <v/>
      </c>
      <c r="AP110" s="416" t="str">
        <f t="shared" si="38"/>
        <v/>
      </c>
      <c r="AQ110" s="416" t="str">
        <f t="shared" si="39"/>
        <v/>
      </c>
      <c r="AR110" s="416" t="str">
        <f t="shared" si="45"/>
        <v/>
      </c>
    </row>
    <row r="111" spans="1:44" ht="14.25">
      <c r="A111" s="830"/>
      <c r="B111" s="99" t="s">
        <v>267</v>
      </c>
      <c r="C111" s="466" t="s">
        <v>262</v>
      </c>
      <c r="D111" s="125" t="s">
        <v>251</v>
      </c>
      <c r="E111" s="126"/>
      <c r="F111" s="126"/>
      <c r="G111" s="217">
        <f t="shared" si="29"/>
        <v>0</v>
      </c>
      <c r="H111" s="218">
        <f t="shared" si="30"/>
        <v>0</v>
      </c>
      <c r="I111" s="96">
        <f t="shared" si="31"/>
        <v>0</v>
      </c>
      <c r="J111" s="219">
        <f t="shared" si="32"/>
        <v>0</v>
      </c>
      <c r="K111" s="220">
        <f t="shared" si="33"/>
        <v>0</v>
      </c>
      <c r="L111" s="100">
        <f t="shared" si="34"/>
        <v>0</v>
      </c>
      <c r="M111" s="221" t="str">
        <f t="shared" si="40"/>
        <v/>
      </c>
      <c r="N111" s="222">
        <f t="shared" si="35"/>
        <v>0</v>
      </c>
      <c r="O111" s="223">
        <f>IF(N111=0,0,IF(SUM($N$5:N111)&gt;251,1,0))</f>
        <v>0</v>
      </c>
      <c r="P111" s="408"/>
      <c r="Q111" s="409"/>
      <c r="R111" s="224"/>
      <c r="S111" s="411"/>
      <c r="T111" s="225">
        <f t="shared" si="50"/>
        <v>0</v>
      </c>
      <c r="U111" s="226">
        <f t="shared" si="51"/>
        <v>0</v>
      </c>
      <c r="V111" s="413"/>
      <c r="W111" s="225">
        <f t="shared" si="52"/>
        <v>0</v>
      </c>
      <c r="X111" s="226">
        <f t="shared" si="53"/>
        <v>0</v>
      </c>
      <c r="Y111" s="413"/>
      <c r="Z111" s="225">
        <f t="shared" si="54"/>
        <v>0</v>
      </c>
      <c r="AA111" s="226">
        <f t="shared" si="55"/>
        <v>0</v>
      </c>
      <c r="AB111" s="413"/>
      <c r="AC111" s="225">
        <f t="shared" si="46"/>
        <v>0</v>
      </c>
      <c r="AD111" s="226">
        <f t="shared" si="41"/>
        <v>0</v>
      </c>
      <c r="AE111" s="413"/>
      <c r="AF111" s="225">
        <f t="shared" si="47"/>
        <v>0</v>
      </c>
      <c r="AG111" s="226">
        <f t="shared" si="42"/>
        <v>0</v>
      </c>
      <c r="AH111" s="413"/>
      <c r="AI111" s="225">
        <f t="shared" si="48"/>
        <v>0</v>
      </c>
      <c r="AJ111" s="226">
        <f t="shared" si="43"/>
        <v>0</v>
      </c>
      <c r="AK111" s="413"/>
      <c r="AL111" s="225">
        <f t="shared" si="49"/>
        <v>0</v>
      </c>
      <c r="AM111" s="226">
        <f t="shared" si="44"/>
        <v>0</v>
      </c>
      <c r="AN111" s="462" t="str">
        <f t="shared" si="36"/>
        <v/>
      </c>
      <c r="AO111" s="416" t="str">
        <f t="shared" si="37"/>
        <v/>
      </c>
      <c r="AP111" s="416" t="str">
        <f t="shared" si="38"/>
        <v/>
      </c>
      <c r="AQ111" s="416" t="str">
        <f t="shared" si="39"/>
        <v/>
      </c>
      <c r="AR111" s="416" t="str">
        <f t="shared" si="45"/>
        <v/>
      </c>
    </row>
    <row r="112" spans="1:44" ht="14.25">
      <c r="A112" s="830"/>
      <c r="B112" s="99" t="s">
        <v>268</v>
      </c>
      <c r="C112" s="466" t="s">
        <v>600</v>
      </c>
      <c r="D112" s="125" t="s">
        <v>249</v>
      </c>
      <c r="E112" s="126">
        <v>0.375</v>
      </c>
      <c r="F112" s="126">
        <v>0.79166666666666663</v>
      </c>
      <c r="G112" s="217">
        <f>F112-E112</f>
        <v>0.41666666666666663</v>
      </c>
      <c r="H112" s="218">
        <f>IF(D112="平日",IF(E112+TIME(6,0,0)&lt;TIME(17,59,59),F112-TIME(18,0,0),0),0)</f>
        <v>0</v>
      </c>
      <c r="I112" s="96">
        <f>IF(D112="平日",IF(E112+TIME(6,0,0)&gt;TIME(17,59,59),MAX(F112-(E112+TIME(6,0,0)),0),0),0)</f>
        <v>0</v>
      </c>
      <c r="J112" s="219">
        <f t="shared" si="32"/>
        <v>0</v>
      </c>
      <c r="K112" s="220">
        <f>IF(D112="土・日・祝・長期休暇",MAX(G112-TIME(8,0,0),0),0)</f>
        <v>8.3333333333333315E-2</v>
      </c>
      <c r="L112" s="100">
        <f t="shared" si="34"/>
        <v>1</v>
      </c>
      <c r="M112" s="221" t="str">
        <f>IF(D112="休所",IF(E112&lt;&gt;"","入力にエラーがあります",""),"")</f>
        <v/>
      </c>
      <c r="N112" s="222">
        <f>IF(OR(D112="休所",D112="",D112="平日：開所とみなす閉所"),0,IF(OR(G112-TIME(7,59,59)&gt;0,D112="土日祝長期：開所とみなす閉所"),1,0))</f>
        <v>1</v>
      </c>
      <c r="O112" s="223">
        <f>IF(N112=0,0,IF(SUM($N$5:N112)&gt;251,1,0))</f>
        <v>0</v>
      </c>
      <c r="P112" s="408">
        <v>3</v>
      </c>
      <c r="Q112" s="409">
        <v>1</v>
      </c>
      <c r="R112" s="224"/>
      <c r="S112" s="411" t="s">
        <v>672</v>
      </c>
      <c r="T112" s="225" t="s">
        <v>697</v>
      </c>
      <c r="U112" s="226" t="s">
        <v>698</v>
      </c>
      <c r="V112" s="413" t="s">
        <v>695</v>
      </c>
      <c r="W112" s="225" t="s">
        <v>697</v>
      </c>
      <c r="X112" s="226" t="s">
        <v>698</v>
      </c>
      <c r="Y112" s="413" t="s">
        <v>696</v>
      </c>
      <c r="Z112" s="225" t="s">
        <v>699</v>
      </c>
      <c r="AA112" s="226" t="s">
        <v>698</v>
      </c>
      <c r="AB112" s="413"/>
      <c r="AC112" s="225">
        <f t="shared" si="46"/>
        <v>0</v>
      </c>
      <c r="AD112" s="226">
        <f t="shared" si="41"/>
        <v>0</v>
      </c>
      <c r="AE112" s="413"/>
      <c r="AF112" s="225">
        <f t="shared" si="47"/>
        <v>0</v>
      </c>
      <c r="AG112" s="226">
        <f t="shared" si="42"/>
        <v>0</v>
      </c>
      <c r="AH112" s="413"/>
      <c r="AI112" s="225">
        <f t="shared" si="48"/>
        <v>0</v>
      </c>
      <c r="AJ112" s="226">
        <f t="shared" si="43"/>
        <v>0</v>
      </c>
      <c r="AK112" s="413"/>
      <c r="AL112" s="225">
        <f t="shared" si="49"/>
        <v>0</v>
      </c>
      <c r="AM112" s="226">
        <f t="shared" si="44"/>
        <v>0</v>
      </c>
      <c r="AN112" s="462" t="str">
        <f>IF(OR(D112=$AS$6,D112=$AS$7,D112=$AS$8,D112=""),"",IF(COUNTIF(S112:AL112,"支援員")&gt;0,"","支援員がいません！"))</f>
        <v/>
      </c>
      <c r="AO112" s="416" t="str">
        <f>IF(OR(D112=$AS$6,D112=$AS$7,D112=$AS$8),"",IF(Q112&gt;0,IF(COUNTIF(S112:AM112,"対象")&gt;0,"","障害児加配対象職員がいません"),""))</f>
        <v/>
      </c>
      <c r="AP112" s="416" t="str">
        <f>IF(OR(D112=$AS$6,D112=$AS$7,D112=$AS$8),"",IF(Q112&gt;0,IF(COUNTA(S112:AM112)&gt;16,"","障害児加配の場合は３名以上の配置"),""))</f>
        <v/>
      </c>
      <c r="AQ112" s="416" t="str">
        <f>IF(OR(D112=$AS$6,D112=$AQS114,D112=$AS$8),"",IF(Q112&gt;2,IF(COUNTIF(S112:AM112,"対象")&gt;1,IF(AB112&lt;&gt;"","","障害児3人以上の場合は４名以上の配置")),""))</f>
        <v/>
      </c>
      <c r="AR112" s="416" t="str">
        <f>IF(AND(OR(D112="平日", D112="土・日・祝・長期休暇"), OR(P112=0, P112="")), "児童数が入力されていません！", "")</f>
        <v/>
      </c>
    </row>
    <row r="113" spans="1:44" ht="14.25">
      <c r="A113" s="830"/>
      <c r="B113" s="99" t="s">
        <v>269</v>
      </c>
      <c r="C113" s="466" t="s">
        <v>187</v>
      </c>
      <c r="D113" s="125" t="s">
        <v>24</v>
      </c>
      <c r="E113" s="126">
        <v>0.58333333333333337</v>
      </c>
      <c r="F113" s="126">
        <v>0.79166666666666663</v>
      </c>
      <c r="G113" s="217">
        <f t="shared" si="29"/>
        <v>0.20833333333333326</v>
      </c>
      <c r="H113" s="218">
        <f t="shared" si="30"/>
        <v>0</v>
      </c>
      <c r="I113" s="96">
        <f t="shared" si="31"/>
        <v>0</v>
      </c>
      <c r="J113" s="219">
        <f t="shared" si="32"/>
        <v>0</v>
      </c>
      <c r="K113" s="220">
        <f t="shared" si="33"/>
        <v>0</v>
      </c>
      <c r="L113" s="100">
        <f t="shared" si="34"/>
        <v>0</v>
      </c>
      <c r="M113" s="221" t="str">
        <f t="shared" si="40"/>
        <v/>
      </c>
      <c r="N113" s="222">
        <f t="shared" si="35"/>
        <v>0</v>
      </c>
      <c r="O113" s="223">
        <f>IF(N113=0,0,IF(SUM($N$5:N113)&gt;251,1,0))</f>
        <v>0</v>
      </c>
      <c r="P113" s="408">
        <v>5</v>
      </c>
      <c r="Q113" s="409">
        <v>1</v>
      </c>
      <c r="R113" s="224"/>
      <c r="S113" s="411" t="s">
        <v>672</v>
      </c>
      <c r="T113" s="225" t="s">
        <v>697</v>
      </c>
      <c r="U113" s="226" t="s">
        <v>698</v>
      </c>
      <c r="V113" s="413" t="s">
        <v>695</v>
      </c>
      <c r="W113" s="225" t="s">
        <v>697</v>
      </c>
      <c r="X113" s="226" t="s">
        <v>698</v>
      </c>
      <c r="Y113" s="413" t="s">
        <v>696</v>
      </c>
      <c r="Z113" s="225" t="s">
        <v>699</v>
      </c>
      <c r="AA113" s="226" t="s">
        <v>698</v>
      </c>
      <c r="AB113" s="413"/>
      <c r="AC113" s="225">
        <f t="shared" si="46"/>
        <v>0</v>
      </c>
      <c r="AD113" s="226">
        <f t="shared" si="41"/>
        <v>0</v>
      </c>
      <c r="AE113" s="413"/>
      <c r="AF113" s="225">
        <f t="shared" si="47"/>
        <v>0</v>
      </c>
      <c r="AG113" s="226">
        <f t="shared" si="42"/>
        <v>0</v>
      </c>
      <c r="AH113" s="413"/>
      <c r="AI113" s="225">
        <f t="shared" si="48"/>
        <v>0</v>
      </c>
      <c r="AJ113" s="226">
        <f t="shared" si="43"/>
        <v>0</v>
      </c>
      <c r="AK113" s="413"/>
      <c r="AL113" s="225">
        <f t="shared" si="49"/>
        <v>0</v>
      </c>
      <c r="AM113" s="226">
        <f t="shared" si="44"/>
        <v>0</v>
      </c>
      <c r="AN113" s="462" t="str">
        <f t="shared" si="36"/>
        <v/>
      </c>
      <c r="AO113" s="416" t="str">
        <f t="shared" si="37"/>
        <v/>
      </c>
      <c r="AP113" s="416" t="str">
        <f t="shared" si="38"/>
        <v/>
      </c>
      <c r="AQ113" s="416" t="str">
        <f t="shared" si="39"/>
        <v/>
      </c>
      <c r="AR113" s="416" t="str">
        <f t="shared" si="45"/>
        <v/>
      </c>
    </row>
    <row r="114" spans="1:44" ht="14.25">
      <c r="A114" s="830"/>
      <c r="B114" s="99" t="s">
        <v>270</v>
      </c>
      <c r="C114" s="466" t="s">
        <v>183</v>
      </c>
      <c r="D114" s="125" t="s">
        <v>24</v>
      </c>
      <c r="E114" s="126">
        <v>0.58333333333333337</v>
      </c>
      <c r="F114" s="126">
        <v>0.79166666666666663</v>
      </c>
      <c r="G114" s="217">
        <f t="shared" si="29"/>
        <v>0.20833333333333326</v>
      </c>
      <c r="H114" s="218">
        <f t="shared" si="30"/>
        <v>0</v>
      </c>
      <c r="I114" s="96">
        <f t="shared" si="31"/>
        <v>0</v>
      </c>
      <c r="J114" s="219">
        <f t="shared" si="32"/>
        <v>0</v>
      </c>
      <c r="K114" s="220">
        <f t="shared" si="33"/>
        <v>0</v>
      </c>
      <c r="L114" s="100">
        <f t="shared" si="34"/>
        <v>0</v>
      </c>
      <c r="M114" s="221" t="str">
        <f t="shared" si="40"/>
        <v/>
      </c>
      <c r="N114" s="222">
        <f t="shared" si="35"/>
        <v>0</v>
      </c>
      <c r="O114" s="223">
        <f>IF(N114=0,0,IF(SUM($N$5:N114)&gt;251,1,0))</f>
        <v>0</v>
      </c>
      <c r="P114" s="408">
        <v>10</v>
      </c>
      <c r="Q114" s="409">
        <v>1</v>
      </c>
      <c r="R114" s="224"/>
      <c r="S114" s="411" t="s">
        <v>672</v>
      </c>
      <c r="T114" s="225" t="s">
        <v>697</v>
      </c>
      <c r="U114" s="226" t="s">
        <v>698</v>
      </c>
      <c r="V114" s="413" t="s">
        <v>695</v>
      </c>
      <c r="W114" s="225" t="s">
        <v>697</v>
      </c>
      <c r="X114" s="226" t="s">
        <v>698</v>
      </c>
      <c r="Y114" s="413" t="s">
        <v>696</v>
      </c>
      <c r="Z114" s="225" t="s">
        <v>699</v>
      </c>
      <c r="AA114" s="226" t="s">
        <v>698</v>
      </c>
      <c r="AB114" s="413"/>
      <c r="AC114" s="225">
        <f t="shared" si="46"/>
        <v>0</v>
      </c>
      <c r="AD114" s="226">
        <f t="shared" si="41"/>
        <v>0</v>
      </c>
      <c r="AE114" s="413"/>
      <c r="AF114" s="225">
        <f t="shared" si="47"/>
        <v>0</v>
      </c>
      <c r="AG114" s="226">
        <f t="shared" si="42"/>
        <v>0</v>
      </c>
      <c r="AH114" s="413"/>
      <c r="AI114" s="225">
        <f t="shared" si="48"/>
        <v>0</v>
      </c>
      <c r="AJ114" s="226">
        <f t="shared" si="43"/>
        <v>0</v>
      </c>
      <c r="AK114" s="413"/>
      <c r="AL114" s="225">
        <f t="shared" si="49"/>
        <v>0</v>
      </c>
      <c r="AM114" s="226">
        <f t="shared" si="44"/>
        <v>0</v>
      </c>
      <c r="AN114" s="462" t="str">
        <f t="shared" si="36"/>
        <v/>
      </c>
      <c r="AO114" s="416" t="str">
        <f t="shared" si="37"/>
        <v/>
      </c>
      <c r="AP114" s="416" t="str">
        <f t="shared" si="38"/>
        <v/>
      </c>
      <c r="AQ114" s="416" t="str">
        <f t="shared" si="39"/>
        <v/>
      </c>
      <c r="AR114" s="416" t="str">
        <f t="shared" si="45"/>
        <v/>
      </c>
    </row>
    <row r="115" spans="1:44" ht="14.25">
      <c r="A115" s="830"/>
      <c r="B115" s="99" t="s">
        <v>271</v>
      </c>
      <c r="C115" s="466" t="s">
        <v>184</v>
      </c>
      <c r="D115" s="125" t="s">
        <v>24</v>
      </c>
      <c r="E115" s="126">
        <v>0.58333333333333337</v>
      </c>
      <c r="F115" s="126">
        <v>0.79166666666666663</v>
      </c>
      <c r="G115" s="217">
        <f t="shared" si="29"/>
        <v>0.20833333333333326</v>
      </c>
      <c r="H115" s="218">
        <f t="shared" si="30"/>
        <v>0</v>
      </c>
      <c r="I115" s="96">
        <f t="shared" si="31"/>
        <v>0</v>
      </c>
      <c r="J115" s="219">
        <f t="shared" si="32"/>
        <v>0</v>
      </c>
      <c r="K115" s="220">
        <f t="shared" si="33"/>
        <v>0</v>
      </c>
      <c r="L115" s="100">
        <f t="shared" si="34"/>
        <v>0</v>
      </c>
      <c r="M115" s="221" t="str">
        <f t="shared" si="40"/>
        <v/>
      </c>
      <c r="N115" s="222">
        <f t="shared" si="35"/>
        <v>0</v>
      </c>
      <c r="O115" s="223">
        <f>IF(N115=0,0,IF(SUM($N$5:N115)&gt;251,1,0))</f>
        <v>0</v>
      </c>
      <c r="P115" s="408">
        <v>18</v>
      </c>
      <c r="Q115" s="409">
        <v>0</v>
      </c>
      <c r="R115" s="224"/>
      <c r="S115" s="411" t="s">
        <v>672</v>
      </c>
      <c r="T115" s="225" t="s">
        <v>697</v>
      </c>
      <c r="U115" s="226" t="s">
        <v>698</v>
      </c>
      <c r="V115" s="413" t="s">
        <v>695</v>
      </c>
      <c r="W115" s="225" t="s">
        <v>697</v>
      </c>
      <c r="X115" s="226" t="s">
        <v>698</v>
      </c>
      <c r="Y115" s="413" t="s">
        <v>696</v>
      </c>
      <c r="Z115" s="225" t="s">
        <v>699</v>
      </c>
      <c r="AA115" s="226" t="s">
        <v>698</v>
      </c>
      <c r="AB115" s="413"/>
      <c r="AC115" s="225">
        <f t="shared" si="46"/>
        <v>0</v>
      </c>
      <c r="AD115" s="226">
        <f t="shared" si="41"/>
        <v>0</v>
      </c>
      <c r="AE115" s="413"/>
      <c r="AF115" s="225">
        <f t="shared" si="47"/>
        <v>0</v>
      </c>
      <c r="AG115" s="226">
        <f t="shared" si="42"/>
        <v>0</v>
      </c>
      <c r="AH115" s="413"/>
      <c r="AI115" s="225">
        <f t="shared" si="48"/>
        <v>0</v>
      </c>
      <c r="AJ115" s="226">
        <f t="shared" si="43"/>
        <v>0</v>
      </c>
      <c r="AK115" s="413"/>
      <c r="AL115" s="225">
        <f t="shared" si="49"/>
        <v>0</v>
      </c>
      <c r="AM115" s="226">
        <f t="shared" si="44"/>
        <v>0</v>
      </c>
      <c r="AN115" s="462" t="str">
        <f t="shared" si="36"/>
        <v/>
      </c>
      <c r="AO115" s="416" t="str">
        <f t="shared" si="37"/>
        <v/>
      </c>
      <c r="AP115" s="416" t="str">
        <f t="shared" si="38"/>
        <v/>
      </c>
      <c r="AQ115" s="416" t="str">
        <f t="shared" si="39"/>
        <v/>
      </c>
      <c r="AR115" s="416" t="str">
        <f t="shared" si="45"/>
        <v/>
      </c>
    </row>
    <row r="116" spans="1:44" ht="14.25">
      <c r="A116" s="830"/>
      <c r="B116" s="99" t="s">
        <v>272</v>
      </c>
      <c r="C116" s="466" t="s">
        <v>185</v>
      </c>
      <c r="D116" s="125" t="s">
        <v>249</v>
      </c>
      <c r="E116" s="126">
        <v>0.375</v>
      </c>
      <c r="F116" s="126">
        <v>0.75</v>
      </c>
      <c r="G116" s="217">
        <f t="shared" si="29"/>
        <v>0.375</v>
      </c>
      <c r="H116" s="218">
        <f t="shared" si="30"/>
        <v>0</v>
      </c>
      <c r="I116" s="96">
        <f t="shared" si="31"/>
        <v>0</v>
      </c>
      <c r="J116" s="219">
        <f t="shared" si="32"/>
        <v>0</v>
      </c>
      <c r="K116" s="220">
        <f t="shared" si="33"/>
        <v>4.1666666666666685E-2</v>
      </c>
      <c r="L116" s="100">
        <f t="shared" si="34"/>
        <v>1</v>
      </c>
      <c r="M116" s="221" t="str">
        <f t="shared" si="40"/>
        <v/>
      </c>
      <c r="N116" s="222">
        <f t="shared" si="35"/>
        <v>1</v>
      </c>
      <c r="O116" s="223">
        <f>IF(N116=0,0,IF(SUM($N$5:N116)&gt;251,1,0))</f>
        <v>0</v>
      </c>
      <c r="P116" s="408">
        <v>15</v>
      </c>
      <c r="Q116" s="409">
        <v>1</v>
      </c>
      <c r="R116" s="224"/>
      <c r="S116" s="411" t="s">
        <v>672</v>
      </c>
      <c r="T116" s="225" t="s">
        <v>697</v>
      </c>
      <c r="U116" s="226" t="s">
        <v>698</v>
      </c>
      <c r="V116" s="413" t="s">
        <v>695</v>
      </c>
      <c r="W116" s="225" t="s">
        <v>697</v>
      </c>
      <c r="X116" s="226" t="s">
        <v>698</v>
      </c>
      <c r="Y116" s="413" t="s">
        <v>696</v>
      </c>
      <c r="Z116" s="225" t="s">
        <v>699</v>
      </c>
      <c r="AA116" s="226" t="s">
        <v>698</v>
      </c>
      <c r="AB116" s="413"/>
      <c r="AC116" s="225">
        <f t="shared" si="46"/>
        <v>0</v>
      </c>
      <c r="AD116" s="226">
        <f t="shared" si="41"/>
        <v>0</v>
      </c>
      <c r="AE116" s="413"/>
      <c r="AF116" s="225">
        <f t="shared" si="47"/>
        <v>0</v>
      </c>
      <c r="AG116" s="226">
        <f t="shared" si="42"/>
        <v>0</v>
      </c>
      <c r="AH116" s="413"/>
      <c r="AI116" s="225">
        <f t="shared" si="48"/>
        <v>0</v>
      </c>
      <c r="AJ116" s="226">
        <f t="shared" si="43"/>
        <v>0</v>
      </c>
      <c r="AK116" s="413"/>
      <c r="AL116" s="225">
        <f t="shared" si="49"/>
        <v>0</v>
      </c>
      <c r="AM116" s="226">
        <f t="shared" si="44"/>
        <v>0</v>
      </c>
      <c r="AN116" s="462" t="str">
        <f t="shared" si="36"/>
        <v/>
      </c>
      <c r="AO116" s="416" t="str">
        <f t="shared" si="37"/>
        <v/>
      </c>
      <c r="AP116" s="416" t="str">
        <f t="shared" si="38"/>
        <v/>
      </c>
      <c r="AQ116" s="416" t="str">
        <f t="shared" si="39"/>
        <v/>
      </c>
      <c r="AR116" s="416" t="str">
        <f t="shared" si="45"/>
        <v/>
      </c>
    </row>
    <row r="117" spans="1:44" ht="14.25">
      <c r="A117" s="830"/>
      <c r="B117" s="99" t="s">
        <v>273</v>
      </c>
      <c r="C117" s="466" t="s">
        <v>186</v>
      </c>
      <c r="D117" s="125" t="s">
        <v>249</v>
      </c>
      <c r="E117" s="126">
        <v>0.375</v>
      </c>
      <c r="F117" s="126">
        <v>0.75</v>
      </c>
      <c r="G117" s="217">
        <f t="shared" si="29"/>
        <v>0.375</v>
      </c>
      <c r="H117" s="218">
        <f t="shared" si="30"/>
        <v>0</v>
      </c>
      <c r="I117" s="96">
        <f t="shared" si="31"/>
        <v>0</v>
      </c>
      <c r="J117" s="219">
        <f t="shared" si="32"/>
        <v>0</v>
      </c>
      <c r="K117" s="220">
        <f t="shared" si="33"/>
        <v>4.1666666666666685E-2</v>
      </c>
      <c r="L117" s="100">
        <f t="shared" si="34"/>
        <v>1</v>
      </c>
      <c r="M117" s="221" t="str">
        <f t="shared" si="40"/>
        <v/>
      </c>
      <c r="N117" s="222">
        <f t="shared" si="35"/>
        <v>1</v>
      </c>
      <c r="O117" s="223">
        <f>IF(N117=0,0,IF(SUM($N$5:N117)&gt;251,1,0))</f>
        <v>0</v>
      </c>
      <c r="P117" s="408">
        <v>4</v>
      </c>
      <c r="Q117" s="409">
        <v>0</v>
      </c>
      <c r="R117" s="224"/>
      <c r="S117" s="411" t="s">
        <v>672</v>
      </c>
      <c r="T117" s="225" t="s">
        <v>697</v>
      </c>
      <c r="U117" s="226" t="s">
        <v>698</v>
      </c>
      <c r="V117" s="413" t="s">
        <v>695</v>
      </c>
      <c r="W117" s="225" t="s">
        <v>697</v>
      </c>
      <c r="X117" s="226" t="s">
        <v>698</v>
      </c>
      <c r="Y117" s="413" t="s">
        <v>696</v>
      </c>
      <c r="Z117" s="225" t="s">
        <v>699</v>
      </c>
      <c r="AA117" s="226" t="s">
        <v>698</v>
      </c>
      <c r="AB117" s="413"/>
      <c r="AC117" s="225">
        <f t="shared" si="46"/>
        <v>0</v>
      </c>
      <c r="AD117" s="226">
        <f t="shared" si="41"/>
        <v>0</v>
      </c>
      <c r="AE117" s="413"/>
      <c r="AF117" s="225">
        <f t="shared" si="47"/>
        <v>0</v>
      </c>
      <c r="AG117" s="226">
        <f t="shared" si="42"/>
        <v>0</v>
      </c>
      <c r="AH117" s="413"/>
      <c r="AI117" s="225">
        <f t="shared" si="48"/>
        <v>0</v>
      </c>
      <c r="AJ117" s="226">
        <f t="shared" si="43"/>
        <v>0</v>
      </c>
      <c r="AK117" s="413"/>
      <c r="AL117" s="225">
        <f t="shared" si="49"/>
        <v>0</v>
      </c>
      <c r="AM117" s="226">
        <f t="shared" si="44"/>
        <v>0</v>
      </c>
      <c r="AN117" s="462" t="str">
        <f t="shared" si="36"/>
        <v/>
      </c>
      <c r="AO117" s="416" t="str">
        <f t="shared" si="37"/>
        <v/>
      </c>
      <c r="AP117" s="416" t="str">
        <f t="shared" si="38"/>
        <v/>
      </c>
      <c r="AQ117" s="416" t="str">
        <f t="shared" si="39"/>
        <v/>
      </c>
      <c r="AR117" s="416" t="str">
        <f t="shared" si="45"/>
        <v/>
      </c>
    </row>
    <row r="118" spans="1:44" ht="14.25">
      <c r="A118" s="830"/>
      <c r="B118" s="99" t="s">
        <v>274</v>
      </c>
      <c r="C118" s="466" t="s">
        <v>262</v>
      </c>
      <c r="D118" s="125" t="s">
        <v>251</v>
      </c>
      <c r="E118" s="126"/>
      <c r="F118" s="126"/>
      <c r="G118" s="217">
        <f t="shared" si="29"/>
        <v>0</v>
      </c>
      <c r="H118" s="218">
        <f t="shared" si="30"/>
        <v>0</v>
      </c>
      <c r="I118" s="96">
        <f t="shared" si="31"/>
        <v>0</v>
      </c>
      <c r="J118" s="219">
        <f t="shared" si="32"/>
        <v>0</v>
      </c>
      <c r="K118" s="220">
        <f t="shared" si="33"/>
        <v>0</v>
      </c>
      <c r="L118" s="100">
        <f t="shared" si="34"/>
        <v>0</v>
      </c>
      <c r="M118" s="221" t="str">
        <f t="shared" si="40"/>
        <v/>
      </c>
      <c r="N118" s="222">
        <f t="shared" si="35"/>
        <v>0</v>
      </c>
      <c r="O118" s="223">
        <f>IF(N118=0,0,IF(SUM($N$5:N118)&gt;251,1,0))</f>
        <v>0</v>
      </c>
      <c r="P118" s="408"/>
      <c r="Q118" s="409"/>
      <c r="R118" s="224"/>
      <c r="S118" s="411"/>
      <c r="T118" s="225">
        <f t="shared" si="50"/>
        <v>0</v>
      </c>
      <c r="U118" s="226">
        <f t="shared" si="51"/>
        <v>0</v>
      </c>
      <c r="V118" s="413"/>
      <c r="W118" s="225">
        <f t="shared" si="52"/>
        <v>0</v>
      </c>
      <c r="X118" s="226">
        <f t="shared" si="53"/>
        <v>0</v>
      </c>
      <c r="Y118" s="413"/>
      <c r="Z118" s="225">
        <f t="shared" si="54"/>
        <v>0</v>
      </c>
      <c r="AA118" s="226">
        <f t="shared" si="55"/>
        <v>0</v>
      </c>
      <c r="AB118" s="413"/>
      <c r="AC118" s="225">
        <f t="shared" si="46"/>
        <v>0</v>
      </c>
      <c r="AD118" s="226">
        <f t="shared" si="41"/>
        <v>0</v>
      </c>
      <c r="AE118" s="413"/>
      <c r="AF118" s="225">
        <f t="shared" si="47"/>
        <v>0</v>
      </c>
      <c r="AG118" s="226">
        <f t="shared" si="42"/>
        <v>0</v>
      </c>
      <c r="AH118" s="413"/>
      <c r="AI118" s="225">
        <f t="shared" si="48"/>
        <v>0</v>
      </c>
      <c r="AJ118" s="226">
        <f t="shared" si="43"/>
        <v>0</v>
      </c>
      <c r="AK118" s="413"/>
      <c r="AL118" s="225">
        <f t="shared" si="49"/>
        <v>0</v>
      </c>
      <c r="AM118" s="226">
        <f t="shared" si="44"/>
        <v>0</v>
      </c>
      <c r="AN118" s="462" t="str">
        <f t="shared" si="36"/>
        <v/>
      </c>
      <c r="AO118" s="416" t="str">
        <f t="shared" si="37"/>
        <v/>
      </c>
      <c r="AP118" s="416" t="str">
        <f t="shared" si="38"/>
        <v/>
      </c>
      <c r="AQ118" s="416" t="str">
        <f t="shared" si="39"/>
        <v/>
      </c>
      <c r="AR118" s="416" t="str">
        <f t="shared" si="45"/>
        <v/>
      </c>
    </row>
    <row r="119" spans="1:44" ht="14.25">
      <c r="A119" s="830"/>
      <c r="B119" s="99" t="s">
        <v>275</v>
      </c>
      <c r="C119" s="466" t="s">
        <v>182</v>
      </c>
      <c r="D119" s="125" t="s">
        <v>249</v>
      </c>
      <c r="E119" s="126">
        <v>0.375</v>
      </c>
      <c r="F119" s="126">
        <v>0.75</v>
      </c>
      <c r="G119" s="217">
        <f t="shared" si="29"/>
        <v>0.375</v>
      </c>
      <c r="H119" s="218">
        <f t="shared" si="30"/>
        <v>0</v>
      </c>
      <c r="I119" s="96">
        <f t="shared" si="31"/>
        <v>0</v>
      </c>
      <c r="J119" s="219">
        <f t="shared" si="32"/>
        <v>0</v>
      </c>
      <c r="K119" s="220">
        <f t="shared" si="33"/>
        <v>4.1666666666666685E-2</v>
      </c>
      <c r="L119" s="100">
        <f t="shared" si="34"/>
        <v>1</v>
      </c>
      <c r="M119" s="221" t="str">
        <f t="shared" si="40"/>
        <v/>
      </c>
      <c r="N119" s="222">
        <f t="shared" si="35"/>
        <v>1</v>
      </c>
      <c r="O119" s="223">
        <f>IF(N119=0,0,IF(SUM($N$5:N119)&gt;251,1,0))</f>
        <v>0</v>
      </c>
      <c r="P119" s="408">
        <v>18</v>
      </c>
      <c r="Q119" s="409">
        <v>0</v>
      </c>
      <c r="R119" s="224"/>
      <c r="S119" s="411" t="s">
        <v>672</v>
      </c>
      <c r="T119" s="225" t="s">
        <v>697</v>
      </c>
      <c r="U119" s="226" t="s">
        <v>698</v>
      </c>
      <c r="V119" s="413" t="s">
        <v>695</v>
      </c>
      <c r="W119" s="225" t="s">
        <v>697</v>
      </c>
      <c r="X119" s="226" t="s">
        <v>698</v>
      </c>
      <c r="Y119" s="413" t="s">
        <v>696</v>
      </c>
      <c r="Z119" s="225" t="s">
        <v>699</v>
      </c>
      <c r="AA119" s="226" t="s">
        <v>698</v>
      </c>
      <c r="AB119" s="413"/>
      <c r="AC119" s="225">
        <f t="shared" si="46"/>
        <v>0</v>
      </c>
      <c r="AD119" s="226">
        <f t="shared" si="41"/>
        <v>0</v>
      </c>
      <c r="AE119" s="413"/>
      <c r="AF119" s="225">
        <f t="shared" si="47"/>
        <v>0</v>
      </c>
      <c r="AG119" s="226">
        <f t="shared" si="42"/>
        <v>0</v>
      </c>
      <c r="AH119" s="413"/>
      <c r="AI119" s="225">
        <f t="shared" si="48"/>
        <v>0</v>
      </c>
      <c r="AJ119" s="226">
        <f t="shared" si="43"/>
        <v>0</v>
      </c>
      <c r="AK119" s="413"/>
      <c r="AL119" s="225">
        <f t="shared" si="49"/>
        <v>0</v>
      </c>
      <c r="AM119" s="226">
        <f t="shared" si="44"/>
        <v>0</v>
      </c>
      <c r="AN119" s="462" t="str">
        <f t="shared" si="36"/>
        <v/>
      </c>
      <c r="AO119" s="416" t="str">
        <f t="shared" si="37"/>
        <v/>
      </c>
      <c r="AP119" s="416" t="str">
        <f t="shared" si="38"/>
        <v/>
      </c>
      <c r="AQ119" s="416" t="str">
        <f t="shared" si="39"/>
        <v/>
      </c>
      <c r="AR119" s="416" t="str">
        <f t="shared" si="45"/>
        <v/>
      </c>
    </row>
    <row r="120" spans="1:44" ht="14.25">
      <c r="A120" s="830"/>
      <c r="B120" s="99" t="s">
        <v>276</v>
      </c>
      <c r="C120" s="466" t="s">
        <v>187</v>
      </c>
      <c r="D120" s="125" t="s">
        <v>249</v>
      </c>
      <c r="E120" s="126">
        <v>0.375</v>
      </c>
      <c r="F120" s="126">
        <v>0.75</v>
      </c>
      <c r="G120" s="217">
        <f t="shared" si="29"/>
        <v>0.375</v>
      </c>
      <c r="H120" s="218">
        <f t="shared" si="30"/>
        <v>0</v>
      </c>
      <c r="I120" s="96">
        <f t="shared" si="31"/>
        <v>0</v>
      </c>
      <c r="J120" s="219">
        <f t="shared" si="32"/>
        <v>0</v>
      </c>
      <c r="K120" s="220">
        <f t="shared" si="33"/>
        <v>4.1666666666666685E-2</v>
      </c>
      <c r="L120" s="100">
        <f t="shared" si="34"/>
        <v>1</v>
      </c>
      <c r="M120" s="221" t="str">
        <f t="shared" si="40"/>
        <v/>
      </c>
      <c r="N120" s="222">
        <f t="shared" si="35"/>
        <v>1</v>
      </c>
      <c r="O120" s="223">
        <f>IF(N120=0,0,IF(SUM($N$5:N120)&gt;251,1,0))</f>
        <v>0</v>
      </c>
      <c r="P120" s="408">
        <v>20</v>
      </c>
      <c r="Q120" s="409">
        <v>0</v>
      </c>
      <c r="R120" s="224"/>
      <c r="S120" s="411" t="s">
        <v>672</v>
      </c>
      <c r="T120" s="225" t="s">
        <v>697</v>
      </c>
      <c r="U120" s="226" t="s">
        <v>698</v>
      </c>
      <c r="V120" s="413" t="s">
        <v>695</v>
      </c>
      <c r="W120" s="225" t="s">
        <v>697</v>
      </c>
      <c r="X120" s="226" t="s">
        <v>698</v>
      </c>
      <c r="Y120" s="413" t="s">
        <v>696</v>
      </c>
      <c r="Z120" s="225" t="s">
        <v>699</v>
      </c>
      <c r="AA120" s="226" t="s">
        <v>698</v>
      </c>
      <c r="AB120" s="413"/>
      <c r="AC120" s="225">
        <f t="shared" si="46"/>
        <v>0</v>
      </c>
      <c r="AD120" s="226">
        <f t="shared" si="41"/>
        <v>0</v>
      </c>
      <c r="AE120" s="413"/>
      <c r="AF120" s="225">
        <f t="shared" si="47"/>
        <v>0</v>
      </c>
      <c r="AG120" s="226">
        <f t="shared" si="42"/>
        <v>0</v>
      </c>
      <c r="AH120" s="413"/>
      <c r="AI120" s="225">
        <f t="shared" si="48"/>
        <v>0</v>
      </c>
      <c r="AJ120" s="226">
        <f t="shared" si="43"/>
        <v>0</v>
      </c>
      <c r="AK120" s="413"/>
      <c r="AL120" s="225">
        <f t="shared" si="49"/>
        <v>0</v>
      </c>
      <c r="AM120" s="226">
        <f t="shared" si="44"/>
        <v>0</v>
      </c>
      <c r="AN120" s="462" t="str">
        <f t="shared" si="36"/>
        <v/>
      </c>
      <c r="AO120" s="416" t="str">
        <f t="shared" si="37"/>
        <v/>
      </c>
      <c r="AP120" s="416" t="str">
        <f t="shared" si="38"/>
        <v/>
      </c>
      <c r="AQ120" s="416" t="str">
        <f t="shared" si="39"/>
        <v/>
      </c>
      <c r="AR120" s="416" t="str">
        <f t="shared" si="45"/>
        <v/>
      </c>
    </row>
    <row r="121" spans="1:44" ht="14.25">
      <c r="A121" s="830"/>
      <c r="B121" s="99" t="s">
        <v>277</v>
      </c>
      <c r="C121" s="466" t="s">
        <v>183</v>
      </c>
      <c r="D121" s="125" t="s">
        <v>249</v>
      </c>
      <c r="E121" s="126">
        <v>0.375</v>
      </c>
      <c r="F121" s="126">
        <v>0.75</v>
      </c>
      <c r="G121" s="217">
        <f t="shared" si="29"/>
        <v>0.375</v>
      </c>
      <c r="H121" s="218">
        <f t="shared" si="30"/>
        <v>0</v>
      </c>
      <c r="I121" s="96">
        <f t="shared" si="31"/>
        <v>0</v>
      </c>
      <c r="J121" s="219">
        <f t="shared" si="32"/>
        <v>0</v>
      </c>
      <c r="K121" s="220">
        <f t="shared" si="33"/>
        <v>4.1666666666666685E-2</v>
      </c>
      <c r="L121" s="100">
        <f t="shared" si="34"/>
        <v>1</v>
      </c>
      <c r="M121" s="221" t="str">
        <f t="shared" si="40"/>
        <v/>
      </c>
      <c r="N121" s="222">
        <f t="shared" si="35"/>
        <v>1</v>
      </c>
      <c r="O121" s="223">
        <f>IF(N121=0,0,IF(SUM($N$5:N121)&gt;251,1,0))</f>
        <v>0</v>
      </c>
      <c r="P121" s="408">
        <v>20</v>
      </c>
      <c r="Q121" s="409">
        <v>0</v>
      </c>
      <c r="R121" s="224"/>
      <c r="S121" s="411" t="s">
        <v>672</v>
      </c>
      <c r="T121" s="225" t="s">
        <v>697</v>
      </c>
      <c r="U121" s="226" t="s">
        <v>698</v>
      </c>
      <c r="V121" s="413" t="s">
        <v>695</v>
      </c>
      <c r="W121" s="225" t="s">
        <v>697</v>
      </c>
      <c r="X121" s="226" t="s">
        <v>698</v>
      </c>
      <c r="Y121" s="413" t="s">
        <v>696</v>
      </c>
      <c r="Z121" s="225" t="s">
        <v>699</v>
      </c>
      <c r="AA121" s="226" t="s">
        <v>698</v>
      </c>
      <c r="AB121" s="413"/>
      <c r="AC121" s="225">
        <f t="shared" si="46"/>
        <v>0</v>
      </c>
      <c r="AD121" s="226">
        <f t="shared" si="41"/>
        <v>0</v>
      </c>
      <c r="AE121" s="413"/>
      <c r="AF121" s="225">
        <f t="shared" si="47"/>
        <v>0</v>
      </c>
      <c r="AG121" s="226">
        <f t="shared" si="42"/>
        <v>0</v>
      </c>
      <c r="AH121" s="413"/>
      <c r="AI121" s="225">
        <f t="shared" si="48"/>
        <v>0</v>
      </c>
      <c r="AJ121" s="226">
        <f t="shared" si="43"/>
        <v>0</v>
      </c>
      <c r="AK121" s="413"/>
      <c r="AL121" s="225">
        <f t="shared" si="49"/>
        <v>0</v>
      </c>
      <c r="AM121" s="226">
        <f t="shared" si="44"/>
        <v>0</v>
      </c>
      <c r="AN121" s="462" t="str">
        <f t="shared" si="36"/>
        <v/>
      </c>
      <c r="AO121" s="416" t="str">
        <f t="shared" si="37"/>
        <v/>
      </c>
      <c r="AP121" s="416" t="str">
        <f t="shared" si="38"/>
        <v/>
      </c>
      <c r="AQ121" s="416" t="str">
        <f t="shared" si="39"/>
        <v/>
      </c>
      <c r="AR121" s="416" t="str">
        <f t="shared" si="45"/>
        <v/>
      </c>
    </row>
    <row r="122" spans="1:44" ht="14.25">
      <c r="A122" s="830"/>
      <c r="B122" s="99" t="s">
        <v>278</v>
      </c>
      <c r="C122" s="466" t="s">
        <v>184</v>
      </c>
      <c r="D122" s="125" t="s">
        <v>249</v>
      </c>
      <c r="E122" s="126">
        <v>0.375</v>
      </c>
      <c r="F122" s="126">
        <v>0.75</v>
      </c>
      <c r="G122" s="217">
        <f t="shared" si="29"/>
        <v>0.375</v>
      </c>
      <c r="H122" s="218">
        <f t="shared" si="30"/>
        <v>0</v>
      </c>
      <c r="I122" s="96">
        <f t="shared" si="31"/>
        <v>0</v>
      </c>
      <c r="J122" s="219">
        <f t="shared" si="32"/>
        <v>0</v>
      </c>
      <c r="K122" s="220">
        <f t="shared" si="33"/>
        <v>4.1666666666666685E-2</v>
      </c>
      <c r="L122" s="100">
        <f t="shared" si="34"/>
        <v>1</v>
      </c>
      <c r="M122" s="221" t="str">
        <f t="shared" si="40"/>
        <v/>
      </c>
      <c r="N122" s="222">
        <f t="shared" si="35"/>
        <v>1</v>
      </c>
      <c r="O122" s="223">
        <f>IF(N122=0,0,IF(SUM($N$5:N122)&gt;251,1,0))</f>
        <v>0</v>
      </c>
      <c r="P122" s="408">
        <v>20</v>
      </c>
      <c r="Q122" s="409">
        <v>1</v>
      </c>
      <c r="R122" s="224"/>
      <c r="S122" s="411" t="s">
        <v>672</v>
      </c>
      <c r="T122" s="225" t="s">
        <v>697</v>
      </c>
      <c r="U122" s="226" t="s">
        <v>698</v>
      </c>
      <c r="V122" s="413" t="s">
        <v>695</v>
      </c>
      <c r="W122" s="225" t="s">
        <v>697</v>
      </c>
      <c r="X122" s="226" t="s">
        <v>698</v>
      </c>
      <c r="Y122" s="413" t="s">
        <v>696</v>
      </c>
      <c r="Z122" s="225" t="s">
        <v>699</v>
      </c>
      <c r="AA122" s="226" t="s">
        <v>698</v>
      </c>
      <c r="AB122" s="413"/>
      <c r="AC122" s="225">
        <f t="shared" si="46"/>
        <v>0</v>
      </c>
      <c r="AD122" s="226">
        <f t="shared" si="41"/>
        <v>0</v>
      </c>
      <c r="AE122" s="413"/>
      <c r="AF122" s="225">
        <f t="shared" si="47"/>
        <v>0</v>
      </c>
      <c r="AG122" s="226">
        <f t="shared" si="42"/>
        <v>0</v>
      </c>
      <c r="AH122" s="413"/>
      <c r="AI122" s="225">
        <f t="shared" si="48"/>
        <v>0</v>
      </c>
      <c r="AJ122" s="226">
        <f t="shared" si="43"/>
        <v>0</v>
      </c>
      <c r="AK122" s="413"/>
      <c r="AL122" s="225">
        <f t="shared" si="49"/>
        <v>0</v>
      </c>
      <c r="AM122" s="226">
        <f t="shared" si="44"/>
        <v>0</v>
      </c>
      <c r="AN122" s="462" t="str">
        <f t="shared" si="36"/>
        <v/>
      </c>
      <c r="AO122" s="416" t="str">
        <f t="shared" si="37"/>
        <v/>
      </c>
      <c r="AP122" s="416" t="str">
        <f t="shared" si="38"/>
        <v/>
      </c>
      <c r="AQ122" s="416" t="str">
        <f t="shared" si="39"/>
        <v/>
      </c>
      <c r="AR122" s="416" t="str">
        <f t="shared" si="45"/>
        <v/>
      </c>
    </row>
    <row r="123" spans="1:44" ht="14.25">
      <c r="A123" s="830"/>
      <c r="B123" s="99" t="s">
        <v>279</v>
      </c>
      <c r="C123" s="466" t="s">
        <v>185</v>
      </c>
      <c r="D123" s="125" t="s">
        <v>249</v>
      </c>
      <c r="E123" s="126">
        <v>0.375</v>
      </c>
      <c r="F123" s="126">
        <v>0.75</v>
      </c>
      <c r="G123" s="217">
        <f t="shared" si="29"/>
        <v>0.375</v>
      </c>
      <c r="H123" s="218">
        <f t="shared" si="30"/>
        <v>0</v>
      </c>
      <c r="I123" s="96">
        <f t="shared" si="31"/>
        <v>0</v>
      </c>
      <c r="J123" s="219">
        <f t="shared" si="32"/>
        <v>0</v>
      </c>
      <c r="K123" s="220">
        <f t="shared" si="33"/>
        <v>4.1666666666666685E-2</v>
      </c>
      <c r="L123" s="100">
        <f t="shared" si="34"/>
        <v>1</v>
      </c>
      <c r="M123" s="221" t="str">
        <f t="shared" si="40"/>
        <v/>
      </c>
      <c r="N123" s="222">
        <f t="shared" si="35"/>
        <v>1</v>
      </c>
      <c r="O123" s="223">
        <f>IF(N123=0,0,IF(SUM($N$5:N123)&gt;251,1,0))</f>
        <v>0</v>
      </c>
      <c r="P123" s="408">
        <v>20</v>
      </c>
      <c r="Q123" s="409">
        <v>0</v>
      </c>
      <c r="R123" s="224"/>
      <c r="S123" s="411" t="s">
        <v>672</v>
      </c>
      <c r="T123" s="225" t="s">
        <v>697</v>
      </c>
      <c r="U123" s="226" t="s">
        <v>698</v>
      </c>
      <c r="V123" s="413" t="s">
        <v>695</v>
      </c>
      <c r="W123" s="225" t="s">
        <v>697</v>
      </c>
      <c r="X123" s="226" t="s">
        <v>698</v>
      </c>
      <c r="Y123" s="413" t="s">
        <v>696</v>
      </c>
      <c r="Z123" s="225" t="s">
        <v>699</v>
      </c>
      <c r="AA123" s="226" t="s">
        <v>698</v>
      </c>
      <c r="AB123" s="413"/>
      <c r="AC123" s="225">
        <f t="shared" si="46"/>
        <v>0</v>
      </c>
      <c r="AD123" s="226">
        <f t="shared" si="41"/>
        <v>0</v>
      </c>
      <c r="AE123" s="413"/>
      <c r="AF123" s="225">
        <f t="shared" si="47"/>
        <v>0</v>
      </c>
      <c r="AG123" s="226">
        <f t="shared" si="42"/>
        <v>0</v>
      </c>
      <c r="AH123" s="413"/>
      <c r="AI123" s="225">
        <f t="shared" si="48"/>
        <v>0</v>
      </c>
      <c r="AJ123" s="226">
        <f t="shared" si="43"/>
        <v>0</v>
      </c>
      <c r="AK123" s="413"/>
      <c r="AL123" s="225">
        <f t="shared" si="49"/>
        <v>0</v>
      </c>
      <c r="AM123" s="226">
        <f t="shared" si="44"/>
        <v>0</v>
      </c>
      <c r="AN123" s="462" t="str">
        <f t="shared" si="36"/>
        <v/>
      </c>
      <c r="AO123" s="416" t="str">
        <f t="shared" si="37"/>
        <v/>
      </c>
      <c r="AP123" s="416" t="str">
        <f t="shared" si="38"/>
        <v/>
      </c>
      <c r="AQ123" s="416" t="str">
        <f t="shared" si="39"/>
        <v/>
      </c>
      <c r="AR123" s="416" t="str">
        <f t="shared" si="45"/>
        <v/>
      </c>
    </row>
    <row r="124" spans="1:44" ht="14.25">
      <c r="A124" s="830"/>
      <c r="B124" s="99" t="s">
        <v>280</v>
      </c>
      <c r="C124" s="466" t="s">
        <v>186</v>
      </c>
      <c r="D124" s="125" t="s">
        <v>249</v>
      </c>
      <c r="E124" s="126">
        <v>0.375</v>
      </c>
      <c r="F124" s="126">
        <v>0.75</v>
      </c>
      <c r="G124" s="217">
        <f t="shared" si="29"/>
        <v>0.375</v>
      </c>
      <c r="H124" s="218">
        <f t="shared" si="30"/>
        <v>0</v>
      </c>
      <c r="I124" s="96">
        <f t="shared" si="31"/>
        <v>0</v>
      </c>
      <c r="J124" s="219">
        <f t="shared" si="32"/>
        <v>0</v>
      </c>
      <c r="K124" s="220">
        <f t="shared" si="33"/>
        <v>4.1666666666666685E-2</v>
      </c>
      <c r="L124" s="100">
        <f t="shared" si="34"/>
        <v>1</v>
      </c>
      <c r="M124" s="221" t="str">
        <f t="shared" si="40"/>
        <v/>
      </c>
      <c r="N124" s="222">
        <f t="shared" si="35"/>
        <v>1</v>
      </c>
      <c r="O124" s="223">
        <f>IF(N124=0,0,IF(SUM($N$5:N124)&gt;251,1,0))</f>
        <v>0</v>
      </c>
      <c r="P124" s="408">
        <v>2</v>
      </c>
      <c r="Q124" s="409">
        <v>0</v>
      </c>
      <c r="R124" s="224"/>
      <c r="S124" s="411" t="s">
        <v>672</v>
      </c>
      <c r="T124" s="225" t="s">
        <v>697</v>
      </c>
      <c r="U124" s="226" t="s">
        <v>698</v>
      </c>
      <c r="V124" s="413" t="s">
        <v>695</v>
      </c>
      <c r="W124" s="225" t="s">
        <v>697</v>
      </c>
      <c r="X124" s="226" t="s">
        <v>698</v>
      </c>
      <c r="Y124" s="413" t="s">
        <v>696</v>
      </c>
      <c r="Z124" s="225" t="s">
        <v>699</v>
      </c>
      <c r="AA124" s="226" t="s">
        <v>698</v>
      </c>
      <c r="AB124" s="413"/>
      <c r="AC124" s="225">
        <f t="shared" si="46"/>
        <v>0</v>
      </c>
      <c r="AD124" s="226">
        <f t="shared" si="41"/>
        <v>0</v>
      </c>
      <c r="AE124" s="413"/>
      <c r="AF124" s="225">
        <f t="shared" si="47"/>
        <v>0</v>
      </c>
      <c r="AG124" s="226">
        <f t="shared" si="42"/>
        <v>0</v>
      </c>
      <c r="AH124" s="413"/>
      <c r="AI124" s="225">
        <f t="shared" si="48"/>
        <v>0</v>
      </c>
      <c r="AJ124" s="226">
        <f t="shared" si="43"/>
        <v>0</v>
      </c>
      <c r="AK124" s="413"/>
      <c r="AL124" s="225">
        <f t="shared" si="49"/>
        <v>0</v>
      </c>
      <c r="AM124" s="226">
        <f t="shared" si="44"/>
        <v>0</v>
      </c>
      <c r="AN124" s="462" t="str">
        <f t="shared" si="36"/>
        <v/>
      </c>
      <c r="AO124" s="416" t="str">
        <f t="shared" si="37"/>
        <v/>
      </c>
      <c r="AP124" s="416" t="str">
        <f t="shared" si="38"/>
        <v/>
      </c>
      <c r="AQ124" s="416" t="str">
        <f t="shared" si="39"/>
        <v/>
      </c>
      <c r="AR124" s="416" t="str">
        <f t="shared" si="45"/>
        <v/>
      </c>
    </row>
    <row r="125" spans="1:44" ht="14.25">
      <c r="A125" s="830"/>
      <c r="B125" s="99" t="s">
        <v>281</v>
      </c>
      <c r="C125" s="466" t="s">
        <v>262</v>
      </c>
      <c r="D125" s="125" t="s">
        <v>251</v>
      </c>
      <c r="E125" s="126"/>
      <c r="F125" s="126"/>
      <c r="G125" s="217">
        <f t="shared" si="29"/>
        <v>0</v>
      </c>
      <c r="H125" s="218">
        <f t="shared" si="30"/>
        <v>0</v>
      </c>
      <c r="I125" s="96">
        <f t="shared" si="31"/>
        <v>0</v>
      </c>
      <c r="J125" s="219">
        <f t="shared" si="32"/>
        <v>0</v>
      </c>
      <c r="K125" s="220">
        <f t="shared" si="33"/>
        <v>0</v>
      </c>
      <c r="L125" s="100">
        <f t="shared" si="34"/>
        <v>0</v>
      </c>
      <c r="M125" s="221" t="str">
        <f t="shared" si="40"/>
        <v/>
      </c>
      <c r="N125" s="222">
        <f t="shared" si="35"/>
        <v>0</v>
      </c>
      <c r="O125" s="223">
        <f>IF(N125=0,0,IF(SUM($N$5:N125)&gt;251,1,0))</f>
        <v>0</v>
      </c>
      <c r="P125" s="408"/>
      <c r="Q125" s="409"/>
      <c r="R125" s="224"/>
      <c r="S125" s="411"/>
      <c r="T125" s="225">
        <f t="shared" si="50"/>
        <v>0</v>
      </c>
      <c r="U125" s="226">
        <f t="shared" si="51"/>
        <v>0</v>
      </c>
      <c r="V125" s="413"/>
      <c r="W125" s="225">
        <f t="shared" si="52"/>
        <v>0</v>
      </c>
      <c r="X125" s="226">
        <f t="shared" si="53"/>
        <v>0</v>
      </c>
      <c r="Y125" s="413"/>
      <c r="Z125" s="225">
        <f t="shared" si="54"/>
        <v>0</v>
      </c>
      <c r="AA125" s="226">
        <f t="shared" si="55"/>
        <v>0</v>
      </c>
      <c r="AB125" s="413"/>
      <c r="AC125" s="225">
        <f t="shared" si="46"/>
        <v>0</v>
      </c>
      <c r="AD125" s="226">
        <f t="shared" si="41"/>
        <v>0</v>
      </c>
      <c r="AE125" s="413"/>
      <c r="AF125" s="225">
        <f t="shared" si="47"/>
        <v>0</v>
      </c>
      <c r="AG125" s="226">
        <f t="shared" si="42"/>
        <v>0</v>
      </c>
      <c r="AH125" s="413"/>
      <c r="AI125" s="225">
        <f t="shared" si="48"/>
        <v>0</v>
      </c>
      <c r="AJ125" s="226">
        <f t="shared" si="43"/>
        <v>0</v>
      </c>
      <c r="AK125" s="413"/>
      <c r="AL125" s="225">
        <f t="shared" si="49"/>
        <v>0</v>
      </c>
      <c r="AM125" s="226">
        <f t="shared" si="44"/>
        <v>0</v>
      </c>
      <c r="AN125" s="462" t="str">
        <f t="shared" si="36"/>
        <v/>
      </c>
      <c r="AO125" s="416" t="str">
        <f t="shared" si="37"/>
        <v/>
      </c>
      <c r="AP125" s="416" t="str">
        <f t="shared" si="38"/>
        <v/>
      </c>
      <c r="AQ125" s="416" t="str">
        <f t="shared" si="39"/>
        <v/>
      </c>
      <c r="AR125" s="416" t="str">
        <f t="shared" si="45"/>
        <v/>
      </c>
    </row>
    <row r="126" spans="1:44" ht="15" thickBot="1">
      <c r="A126" s="831"/>
      <c r="B126" s="101" t="s">
        <v>292</v>
      </c>
      <c r="C126" s="102" t="s">
        <v>182</v>
      </c>
      <c r="D126" s="125" t="s">
        <v>249</v>
      </c>
      <c r="E126" s="126">
        <v>0.375</v>
      </c>
      <c r="F126" s="126">
        <v>0.75</v>
      </c>
      <c r="G126" s="227">
        <f t="shared" si="29"/>
        <v>0.375</v>
      </c>
      <c r="H126" s="228">
        <f t="shared" si="30"/>
        <v>0</v>
      </c>
      <c r="I126" s="103">
        <f t="shared" si="31"/>
        <v>0</v>
      </c>
      <c r="J126" s="229">
        <f t="shared" si="32"/>
        <v>0</v>
      </c>
      <c r="K126" s="230">
        <f t="shared" si="33"/>
        <v>4.1666666666666685E-2</v>
      </c>
      <c r="L126" s="104">
        <f t="shared" si="34"/>
        <v>1</v>
      </c>
      <c r="M126" s="231" t="str">
        <f t="shared" si="40"/>
        <v/>
      </c>
      <c r="N126" s="232">
        <f t="shared" si="35"/>
        <v>1</v>
      </c>
      <c r="O126" s="233">
        <f>IF(N126=0,0,IF(SUM($N$5:N126)&gt;251,1,0))</f>
        <v>0</v>
      </c>
      <c r="P126" s="408">
        <v>18</v>
      </c>
      <c r="Q126" s="409">
        <v>0</v>
      </c>
      <c r="R126" s="236">
        <f>SUM(P96:P126)</f>
        <v>420</v>
      </c>
      <c r="S126" s="411" t="s">
        <v>672</v>
      </c>
      <c r="T126" s="225" t="s">
        <v>697</v>
      </c>
      <c r="U126" s="235" t="s">
        <v>698</v>
      </c>
      <c r="V126" s="414" t="s">
        <v>695</v>
      </c>
      <c r="W126" s="225" t="s">
        <v>697</v>
      </c>
      <c r="X126" s="235" t="s">
        <v>698</v>
      </c>
      <c r="Y126" s="414" t="s">
        <v>696</v>
      </c>
      <c r="Z126" s="225" t="s">
        <v>699</v>
      </c>
      <c r="AA126" s="235" t="s">
        <v>698</v>
      </c>
      <c r="AB126" s="414"/>
      <c r="AC126" s="225">
        <f t="shared" si="46"/>
        <v>0</v>
      </c>
      <c r="AD126" s="235">
        <f t="shared" si="41"/>
        <v>0</v>
      </c>
      <c r="AE126" s="414"/>
      <c r="AF126" s="225">
        <f t="shared" si="47"/>
        <v>0</v>
      </c>
      <c r="AG126" s="235">
        <f t="shared" si="42"/>
        <v>0</v>
      </c>
      <c r="AH126" s="414"/>
      <c r="AI126" s="225">
        <f t="shared" si="48"/>
        <v>0</v>
      </c>
      <c r="AJ126" s="235">
        <f t="shared" si="43"/>
        <v>0</v>
      </c>
      <c r="AK126" s="414"/>
      <c r="AL126" s="225">
        <f t="shared" si="49"/>
        <v>0</v>
      </c>
      <c r="AM126" s="235">
        <f t="shared" si="44"/>
        <v>0</v>
      </c>
      <c r="AN126" s="463" t="str">
        <f t="shared" si="36"/>
        <v/>
      </c>
      <c r="AO126" s="417" t="str">
        <f t="shared" si="37"/>
        <v/>
      </c>
      <c r="AP126" s="417" t="str">
        <f t="shared" si="38"/>
        <v/>
      </c>
      <c r="AQ126" s="417" t="str">
        <f t="shared" si="39"/>
        <v/>
      </c>
      <c r="AR126" s="416" t="str">
        <f t="shared" si="45"/>
        <v/>
      </c>
    </row>
    <row r="127" spans="1:44" ht="14.25">
      <c r="A127" s="829" t="s">
        <v>284</v>
      </c>
      <c r="B127" s="467" t="s">
        <v>248</v>
      </c>
      <c r="C127" s="468" t="s">
        <v>187</v>
      </c>
      <c r="D127" s="125" t="s">
        <v>249</v>
      </c>
      <c r="E127" s="126">
        <v>0.375</v>
      </c>
      <c r="F127" s="126">
        <v>0.75</v>
      </c>
      <c r="G127" s="207">
        <f t="shared" si="29"/>
        <v>0.375</v>
      </c>
      <c r="H127" s="208">
        <f t="shared" si="30"/>
        <v>0</v>
      </c>
      <c r="I127" s="95">
        <f t="shared" si="31"/>
        <v>0</v>
      </c>
      <c r="J127" s="209">
        <f t="shared" si="32"/>
        <v>0</v>
      </c>
      <c r="K127" s="210">
        <f t="shared" si="33"/>
        <v>4.1666666666666685E-2</v>
      </c>
      <c r="L127" s="97">
        <f t="shared" si="34"/>
        <v>1</v>
      </c>
      <c r="M127" s="211" t="str">
        <f t="shared" si="40"/>
        <v/>
      </c>
      <c r="N127" s="212">
        <f t="shared" si="35"/>
        <v>1</v>
      </c>
      <c r="O127" s="213">
        <f>IF(N127=0,0,IF(SUM($N$5:N127)&gt;251,1,0))</f>
        <v>0</v>
      </c>
      <c r="P127" s="408">
        <v>20</v>
      </c>
      <c r="Q127" s="409">
        <v>0</v>
      </c>
      <c r="R127" s="214"/>
      <c r="S127" s="411" t="s">
        <v>672</v>
      </c>
      <c r="T127" s="225" t="s">
        <v>697</v>
      </c>
      <c r="U127" s="216" t="s">
        <v>698</v>
      </c>
      <c r="V127" s="412" t="s">
        <v>695</v>
      </c>
      <c r="W127" s="225" t="s">
        <v>697</v>
      </c>
      <c r="X127" s="216" t="s">
        <v>698</v>
      </c>
      <c r="Y127" s="412" t="s">
        <v>696</v>
      </c>
      <c r="Z127" s="225" t="s">
        <v>699</v>
      </c>
      <c r="AA127" s="216" t="s">
        <v>698</v>
      </c>
      <c r="AB127" s="412"/>
      <c r="AC127" s="225">
        <f t="shared" si="46"/>
        <v>0</v>
      </c>
      <c r="AD127" s="216">
        <f t="shared" si="41"/>
        <v>0</v>
      </c>
      <c r="AE127" s="412"/>
      <c r="AF127" s="225">
        <f t="shared" si="47"/>
        <v>0</v>
      </c>
      <c r="AG127" s="216">
        <f t="shared" si="42"/>
        <v>0</v>
      </c>
      <c r="AH127" s="412"/>
      <c r="AI127" s="225">
        <f t="shared" si="48"/>
        <v>0</v>
      </c>
      <c r="AJ127" s="216">
        <f t="shared" si="43"/>
        <v>0</v>
      </c>
      <c r="AK127" s="412"/>
      <c r="AL127" s="225">
        <f t="shared" si="49"/>
        <v>0</v>
      </c>
      <c r="AM127" s="216">
        <f t="shared" si="44"/>
        <v>0</v>
      </c>
      <c r="AN127" s="461" t="str">
        <f t="shared" si="36"/>
        <v/>
      </c>
      <c r="AO127" s="418" t="str">
        <f t="shared" si="37"/>
        <v/>
      </c>
      <c r="AP127" s="418" t="str">
        <f t="shared" si="38"/>
        <v/>
      </c>
      <c r="AQ127" s="415" t="str">
        <f t="shared" si="39"/>
        <v/>
      </c>
      <c r="AR127" s="416" t="str">
        <f t="shared" si="45"/>
        <v/>
      </c>
    </row>
    <row r="128" spans="1:44" ht="14.25">
      <c r="A128" s="830"/>
      <c r="B128" s="99" t="s">
        <v>250</v>
      </c>
      <c r="C128" s="466" t="s">
        <v>183</v>
      </c>
      <c r="D128" s="125" t="s">
        <v>249</v>
      </c>
      <c r="E128" s="126">
        <v>0.375</v>
      </c>
      <c r="F128" s="126">
        <v>0.75</v>
      </c>
      <c r="G128" s="217">
        <f t="shared" si="29"/>
        <v>0.375</v>
      </c>
      <c r="H128" s="218">
        <f t="shared" si="30"/>
        <v>0</v>
      </c>
      <c r="I128" s="96">
        <f t="shared" si="31"/>
        <v>0</v>
      </c>
      <c r="J128" s="219">
        <f t="shared" si="32"/>
        <v>0</v>
      </c>
      <c r="K128" s="220">
        <f t="shared" si="33"/>
        <v>4.1666666666666685E-2</v>
      </c>
      <c r="L128" s="100">
        <f t="shared" si="34"/>
        <v>1</v>
      </c>
      <c r="M128" s="221" t="str">
        <f t="shared" si="40"/>
        <v/>
      </c>
      <c r="N128" s="222">
        <f t="shared" si="35"/>
        <v>1</v>
      </c>
      <c r="O128" s="223">
        <f>IF(N128=0,0,IF(SUM($N$5:N128)&gt;251,1,0))</f>
        <v>0</v>
      </c>
      <c r="P128" s="408">
        <v>20</v>
      </c>
      <c r="Q128" s="409">
        <v>0</v>
      </c>
      <c r="R128" s="224"/>
      <c r="S128" s="411" t="s">
        <v>672</v>
      </c>
      <c r="T128" s="225" t="s">
        <v>697</v>
      </c>
      <c r="U128" s="226" t="s">
        <v>698</v>
      </c>
      <c r="V128" s="413" t="s">
        <v>695</v>
      </c>
      <c r="W128" s="225" t="s">
        <v>697</v>
      </c>
      <c r="X128" s="226" t="s">
        <v>698</v>
      </c>
      <c r="Y128" s="413" t="s">
        <v>696</v>
      </c>
      <c r="Z128" s="225" t="s">
        <v>699</v>
      </c>
      <c r="AA128" s="226" t="s">
        <v>698</v>
      </c>
      <c r="AB128" s="413"/>
      <c r="AC128" s="225">
        <f t="shared" si="46"/>
        <v>0</v>
      </c>
      <c r="AD128" s="226">
        <f t="shared" si="41"/>
        <v>0</v>
      </c>
      <c r="AE128" s="413"/>
      <c r="AF128" s="225">
        <f t="shared" si="47"/>
        <v>0</v>
      </c>
      <c r="AG128" s="226">
        <f t="shared" si="42"/>
        <v>0</v>
      </c>
      <c r="AH128" s="413"/>
      <c r="AI128" s="225">
        <f t="shared" si="48"/>
        <v>0</v>
      </c>
      <c r="AJ128" s="226">
        <f t="shared" si="43"/>
        <v>0</v>
      </c>
      <c r="AK128" s="413"/>
      <c r="AL128" s="225">
        <f t="shared" si="49"/>
        <v>0</v>
      </c>
      <c r="AM128" s="226">
        <f t="shared" si="44"/>
        <v>0</v>
      </c>
      <c r="AN128" s="462" t="str">
        <f t="shared" si="36"/>
        <v/>
      </c>
      <c r="AO128" s="416" t="str">
        <f t="shared" si="37"/>
        <v/>
      </c>
      <c r="AP128" s="416" t="str">
        <f t="shared" si="38"/>
        <v/>
      </c>
      <c r="AQ128" s="416" t="str">
        <f t="shared" si="39"/>
        <v/>
      </c>
      <c r="AR128" s="416" t="str">
        <f t="shared" si="45"/>
        <v/>
      </c>
    </row>
    <row r="129" spans="1:44" ht="14.25">
      <c r="A129" s="830"/>
      <c r="B129" s="99" t="s">
        <v>252</v>
      </c>
      <c r="C129" s="466" t="s">
        <v>184</v>
      </c>
      <c r="D129" s="125" t="s">
        <v>249</v>
      </c>
      <c r="E129" s="126">
        <v>0.375</v>
      </c>
      <c r="F129" s="126">
        <v>0.75</v>
      </c>
      <c r="G129" s="217">
        <f t="shared" si="29"/>
        <v>0.375</v>
      </c>
      <c r="H129" s="218">
        <f t="shared" si="30"/>
        <v>0</v>
      </c>
      <c r="I129" s="96">
        <f t="shared" si="31"/>
        <v>0</v>
      </c>
      <c r="J129" s="219">
        <f t="shared" si="32"/>
        <v>0</v>
      </c>
      <c r="K129" s="220">
        <f t="shared" si="33"/>
        <v>4.1666666666666685E-2</v>
      </c>
      <c r="L129" s="100">
        <f t="shared" si="34"/>
        <v>1</v>
      </c>
      <c r="M129" s="221" t="str">
        <f t="shared" si="40"/>
        <v/>
      </c>
      <c r="N129" s="222">
        <f t="shared" si="35"/>
        <v>1</v>
      </c>
      <c r="O129" s="223">
        <f>IF(N129=0,0,IF(SUM($N$5:N129)&gt;251,1,0))</f>
        <v>0</v>
      </c>
      <c r="P129" s="408">
        <v>20</v>
      </c>
      <c r="Q129" s="409">
        <v>1</v>
      </c>
      <c r="R129" s="224"/>
      <c r="S129" s="411" t="s">
        <v>672</v>
      </c>
      <c r="T129" s="225" t="s">
        <v>697</v>
      </c>
      <c r="U129" s="226" t="s">
        <v>698</v>
      </c>
      <c r="V129" s="413" t="s">
        <v>695</v>
      </c>
      <c r="W129" s="225" t="s">
        <v>697</v>
      </c>
      <c r="X129" s="226" t="s">
        <v>698</v>
      </c>
      <c r="Y129" s="413" t="s">
        <v>696</v>
      </c>
      <c r="Z129" s="225" t="s">
        <v>699</v>
      </c>
      <c r="AA129" s="226" t="s">
        <v>698</v>
      </c>
      <c r="AB129" s="413"/>
      <c r="AC129" s="225">
        <f t="shared" si="46"/>
        <v>0</v>
      </c>
      <c r="AD129" s="226">
        <f t="shared" si="41"/>
        <v>0</v>
      </c>
      <c r="AE129" s="413"/>
      <c r="AF129" s="225">
        <f t="shared" si="47"/>
        <v>0</v>
      </c>
      <c r="AG129" s="226">
        <f t="shared" si="42"/>
        <v>0</v>
      </c>
      <c r="AH129" s="413"/>
      <c r="AI129" s="225">
        <f t="shared" si="48"/>
        <v>0</v>
      </c>
      <c r="AJ129" s="226">
        <f t="shared" si="43"/>
        <v>0</v>
      </c>
      <c r="AK129" s="413"/>
      <c r="AL129" s="225">
        <f t="shared" si="49"/>
        <v>0</v>
      </c>
      <c r="AM129" s="226">
        <f t="shared" si="44"/>
        <v>0</v>
      </c>
      <c r="AN129" s="462" t="str">
        <f t="shared" si="36"/>
        <v/>
      </c>
      <c r="AO129" s="416" t="str">
        <f t="shared" si="37"/>
        <v/>
      </c>
      <c r="AP129" s="416" t="str">
        <f t="shared" si="38"/>
        <v/>
      </c>
      <c r="AQ129" s="416" t="str">
        <f t="shared" si="39"/>
        <v/>
      </c>
      <c r="AR129" s="416" t="str">
        <f t="shared" si="45"/>
        <v/>
      </c>
    </row>
    <row r="130" spans="1:44" ht="14.25">
      <c r="A130" s="830"/>
      <c r="B130" s="99" t="s">
        <v>254</v>
      </c>
      <c r="C130" s="466" t="s">
        <v>185</v>
      </c>
      <c r="D130" s="125" t="s">
        <v>249</v>
      </c>
      <c r="E130" s="126">
        <v>0.375</v>
      </c>
      <c r="F130" s="126">
        <v>0.75</v>
      </c>
      <c r="G130" s="217">
        <f t="shared" si="29"/>
        <v>0.375</v>
      </c>
      <c r="H130" s="218">
        <f t="shared" si="30"/>
        <v>0</v>
      </c>
      <c r="I130" s="96">
        <f t="shared" si="31"/>
        <v>0</v>
      </c>
      <c r="J130" s="219">
        <f t="shared" si="32"/>
        <v>0</v>
      </c>
      <c r="K130" s="220">
        <f t="shared" si="33"/>
        <v>4.1666666666666685E-2</v>
      </c>
      <c r="L130" s="100">
        <f t="shared" si="34"/>
        <v>1</v>
      </c>
      <c r="M130" s="221" t="str">
        <f t="shared" si="40"/>
        <v/>
      </c>
      <c r="N130" s="222">
        <f t="shared" si="35"/>
        <v>1</v>
      </c>
      <c r="O130" s="223">
        <f>IF(N130=0,0,IF(SUM($N$5:N130)&gt;251,1,0))</f>
        <v>0</v>
      </c>
      <c r="P130" s="408">
        <v>20</v>
      </c>
      <c r="Q130" s="409">
        <v>0</v>
      </c>
      <c r="R130" s="224"/>
      <c r="S130" s="411" t="s">
        <v>672</v>
      </c>
      <c r="T130" s="225" t="s">
        <v>697</v>
      </c>
      <c r="U130" s="226" t="s">
        <v>698</v>
      </c>
      <c r="V130" s="413" t="s">
        <v>695</v>
      </c>
      <c r="W130" s="225" t="s">
        <v>697</v>
      </c>
      <c r="X130" s="226" t="s">
        <v>698</v>
      </c>
      <c r="Y130" s="413" t="s">
        <v>696</v>
      </c>
      <c r="Z130" s="225" t="s">
        <v>699</v>
      </c>
      <c r="AA130" s="226" t="s">
        <v>698</v>
      </c>
      <c r="AB130" s="413"/>
      <c r="AC130" s="225">
        <f t="shared" si="46"/>
        <v>0</v>
      </c>
      <c r="AD130" s="226">
        <f t="shared" si="41"/>
        <v>0</v>
      </c>
      <c r="AE130" s="413"/>
      <c r="AF130" s="225">
        <f t="shared" si="47"/>
        <v>0</v>
      </c>
      <c r="AG130" s="226">
        <f t="shared" si="42"/>
        <v>0</v>
      </c>
      <c r="AH130" s="413"/>
      <c r="AI130" s="225">
        <f t="shared" si="48"/>
        <v>0</v>
      </c>
      <c r="AJ130" s="226">
        <f t="shared" si="43"/>
        <v>0</v>
      </c>
      <c r="AK130" s="413"/>
      <c r="AL130" s="225">
        <f t="shared" si="49"/>
        <v>0</v>
      </c>
      <c r="AM130" s="226">
        <f t="shared" si="44"/>
        <v>0</v>
      </c>
      <c r="AN130" s="462" t="str">
        <f t="shared" si="36"/>
        <v/>
      </c>
      <c r="AO130" s="416" t="str">
        <f t="shared" si="37"/>
        <v/>
      </c>
      <c r="AP130" s="416" t="str">
        <f t="shared" si="38"/>
        <v/>
      </c>
      <c r="AQ130" s="416" t="str">
        <f t="shared" si="39"/>
        <v/>
      </c>
      <c r="AR130" s="416" t="str">
        <f t="shared" si="45"/>
        <v/>
      </c>
    </row>
    <row r="131" spans="1:44" ht="14.25">
      <c r="A131" s="830"/>
      <c r="B131" s="99" t="s">
        <v>255</v>
      </c>
      <c r="C131" s="466" t="s">
        <v>186</v>
      </c>
      <c r="D131" s="125" t="s">
        <v>249</v>
      </c>
      <c r="E131" s="126">
        <v>0.375</v>
      </c>
      <c r="F131" s="126">
        <v>0.75</v>
      </c>
      <c r="G131" s="217">
        <f t="shared" si="29"/>
        <v>0.375</v>
      </c>
      <c r="H131" s="218">
        <f t="shared" si="30"/>
        <v>0</v>
      </c>
      <c r="I131" s="96">
        <f t="shared" si="31"/>
        <v>0</v>
      </c>
      <c r="J131" s="219">
        <f t="shared" si="32"/>
        <v>0</v>
      </c>
      <c r="K131" s="220">
        <f t="shared" si="33"/>
        <v>4.1666666666666685E-2</v>
      </c>
      <c r="L131" s="100">
        <f t="shared" si="34"/>
        <v>1</v>
      </c>
      <c r="M131" s="221" t="str">
        <f t="shared" si="40"/>
        <v/>
      </c>
      <c r="N131" s="222">
        <f t="shared" si="35"/>
        <v>1</v>
      </c>
      <c r="O131" s="223">
        <f>IF(N131=0,0,IF(SUM($N$5:N131)&gt;251,1,0))</f>
        <v>0</v>
      </c>
      <c r="P131" s="408">
        <v>2</v>
      </c>
      <c r="Q131" s="409">
        <v>0</v>
      </c>
      <c r="R131" s="224"/>
      <c r="S131" s="411" t="s">
        <v>672</v>
      </c>
      <c r="T131" s="225" t="s">
        <v>697</v>
      </c>
      <c r="U131" s="226" t="s">
        <v>698</v>
      </c>
      <c r="V131" s="413" t="s">
        <v>695</v>
      </c>
      <c r="W131" s="225" t="s">
        <v>697</v>
      </c>
      <c r="X131" s="226" t="s">
        <v>698</v>
      </c>
      <c r="Y131" s="413" t="s">
        <v>696</v>
      </c>
      <c r="Z131" s="225" t="s">
        <v>699</v>
      </c>
      <c r="AA131" s="226" t="s">
        <v>698</v>
      </c>
      <c r="AB131" s="413"/>
      <c r="AC131" s="225">
        <f t="shared" si="46"/>
        <v>0</v>
      </c>
      <c r="AD131" s="226">
        <f t="shared" si="41"/>
        <v>0</v>
      </c>
      <c r="AE131" s="413"/>
      <c r="AF131" s="225">
        <f t="shared" si="47"/>
        <v>0</v>
      </c>
      <c r="AG131" s="226">
        <f t="shared" si="42"/>
        <v>0</v>
      </c>
      <c r="AH131" s="413"/>
      <c r="AI131" s="225">
        <f t="shared" si="48"/>
        <v>0</v>
      </c>
      <c r="AJ131" s="226">
        <f t="shared" si="43"/>
        <v>0</v>
      </c>
      <c r="AK131" s="413"/>
      <c r="AL131" s="225">
        <f t="shared" si="49"/>
        <v>0</v>
      </c>
      <c r="AM131" s="226">
        <f t="shared" si="44"/>
        <v>0</v>
      </c>
      <c r="AN131" s="462" t="str">
        <f t="shared" si="36"/>
        <v/>
      </c>
      <c r="AO131" s="416" t="str">
        <f t="shared" si="37"/>
        <v/>
      </c>
      <c r="AP131" s="416" t="str">
        <f t="shared" si="38"/>
        <v/>
      </c>
      <c r="AQ131" s="416" t="str">
        <f t="shared" si="39"/>
        <v/>
      </c>
      <c r="AR131" s="416" t="str">
        <f t="shared" si="45"/>
        <v/>
      </c>
    </row>
    <row r="132" spans="1:44" ht="14.25">
      <c r="A132" s="830"/>
      <c r="B132" s="99" t="s">
        <v>256</v>
      </c>
      <c r="C132" s="466" t="s">
        <v>262</v>
      </c>
      <c r="D132" s="125" t="s">
        <v>251</v>
      </c>
      <c r="E132" s="126"/>
      <c r="F132" s="126"/>
      <c r="G132" s="217">
        <f t="shared" si="29"/>
        <v>0</v>
      </c>
      <c r="H132" s="218">
        <f t="shared" si="30"/>
        <v>0</v>
      </c>
      <c r="I132" s="96">
        <f t="shared" si="31"/>
        <v>0</v>
      </c>
      <c r="J132" s="219">
        <f t="shared" si="32"/>
        <v>0</v>
      </c>
      <c r="K132" s="220">
        <f t="shared" si="33"/>
        <v>0</v>
      </c>
      <c r="L132" s="100">
        <f t="shared" si="34"/>
        <v>0</v>
      </c>
      <c r="M132" s="221" t="str">
        <f t="shared" si="40"/>
        <v/>
      </c>
      <c r="N132" s="222">
        <f t="shared" si="35"/>
        <v>0</v>
      </c>
      <c r="O132" s="223">
        <f>IF(N132=0,0,IF(SUM($N$5:N132)&gt;251,1,0))</f>
        <v>0</v>
      </c>
      <c r="P132" s="408"/>
      <c r="Q132" s="409"/>
      <c r="R132" s="224"/>
      <c r="S132" s="411"/>
      <c r="T132" s="225">
        <f t="shared" si="50"/>
        <v>0</v>
      </c>
      <c r="U132" s="226">
        <f t="shared" si="51"/>
        <v>0</v>
      </c>
      <c r="V132" s="413"/>
      <c r="W132" s="225">
        <f t="shared" si="52"/>
        <v>0</v>
      </c>
      <c r="X132" s="226">
        <f t="shared" si="53"/>
        <v>0</v>
      </c>
      <c r="Y132" s="413"/>
      <c r="Z132" s="225">
        <f t="shared" si="54"/>
        <v>0</v>
      </c>
      <c r="AA132" s="226">
        <f t="shared" si="55"/>
        <v>0</v>
      </c>
      <c r="AB132" s="413"/>
      <c r="AC132" s="225">
        <f t="shared" si="46"/>
        <v>0</v>
      </c>
      <c r="AD132" s="226">
        <f t="shared" si="41"/>
        <v>0</v>
      </c>
      <c r="AE132" s="413"/>
      <c r="AF132" s="225">
        <f t="shared" si="47"/>
        <v>0</v>
      </c>
      <c r="AG132" s="226">
        <f t="shared" si="42"/>
        <v>0</v>
      </c>
      <c r="AH132" s="413"/>
      <c r="AI132" s="225">
        <f t="shared" si="48"/>
        <v>0</v>
      </c>
      <c r="AJ132" s="226">
        <f t="shared" si="43"/>
        <v>0</v>
      </c>
      <c r="AK132" s="413"/>
      <c r="AL132" s="225">
        <f t="shared" si="49"/>
        <v>0</v>
      </c>
      <c r="AM132" s="226">
        <f t="shared" si="44"/>
        <v>0</v>
      </c>
      <c r="AN132" s="462" t="str">
        <f t="shared" si="36"/>
        <v/>
      </c>
      <c r="AO132" s="416" t="str">
        <f t="shared" si="37"/>
        <v/>
      </c>
      <c r="AP132" s="416" t="str">
        <f t="shared" si="38"/>
        <v/>
      </c>
      <c r="AQ132" s="416" t="str">
        <f t="shared" si="39"/>
        <v/>
      </c>
      <c r="AR132" s="416" t="str">
        <f t="shared" si="45"/>
        <v/>
      </c>
    </row>
    <row r="133" spans="1:44" ht="14.25">
      <c r="A133" s="830"/>
      <c r="B133" s="99" t="s">
        <v>257</v>
      </c>
      <c r="C133" s="466" t="s">
        <v>182</v>
      </c>
      <c r="D133" s="125" t="s">
        <v>249</v>
      </c>
      <c r="E133" s="126">
        <v>0.375</v>
      </c>
      <c r="F133" s="126">
        <v>0.75</v>
      </c>
      <c r="G133" s="217">
        <f t="shared" ref="G133:G196" si="56">F133-E133</f>
        <v>0.375</v>
      </c>
      <c r="H133" s="218">
        <f t="shared" ref="H133:H196" si="57">IF(D133="平日",IF(E133+TIME(6,0,0)&lt;TIME(17,59,59),F133-TIME(18,0,0),0),0)</f>
        <v>0</v>
      </c>
      <c r="I133" s="96">
        <f t="shared" ref="I133:I196" si="58">IF(D133="平日",IF(E133+TIME(6,0,0)&gt;TIME(17,59,59),MAX(F133-(E133+TIME(6,0,0)),0),0),0)</f>
        <v>0</v>
      </c>
      <c r="J133" s="219">
        <f t="shared" ref="J133:J196" si="59">IF(AND(H133=0,I133=0),0,1)</f>
        <v>0</v>
      </c>
      <c r="K133" s="220">
        <f t="shared" ref="K133:K196" si="60">IF(D133="土・日・祝・長期休暇",MAX(G133-TIME(8,0,0),0),0)</f>
        <v>4.1666666666666685E-2</v>
      </c>
      <c r="L133" s="100">
        <f t="shared" ref="L133:L196" si="61">IF(K133&gt;=TIME(0,0,1),1,0)</f>
        <v>1</v>
      </c>
      <c r="M133" s="221" t="str">
        <f t="shared" si="40"/>
        <v/>
      </c>
      <c r="N133" s="222">
        <f t="shared" ref="N133:N196" si="62">IF(OR(D133="休所",D133="",D133="平日：開所とみなす閉所"),0,IF(OR(G133-TIME(7,59,59)&gt;0,D133="土日祝長期：開所とみなす閉所"),1,0))</f>
        <v>1</v>
      </c>
      <c r="O133" s="223">
        <f>IF(N133=0,0,IF(SUM($N$5:N133)&gt;251,1,0))</f>
        <v>0</v>
      </c>
      <c r="P133" s="408">
        <v>18</v>
      </c>
      <c r="Q133" s="409">
        <v>0</v>
      </c>
      <c r="R133" s="224"/>
      <c r="S133" s="411" t="s">
        <v>672</v>
      </c>
      <c r="T133" s="225" t="s">
        <v>697</v>
      </c>
      <c r="U133" s="226" t="s">
        <v>698</v>
      </c>
      <c r="V133" s="413" t="s">
        <v>695</v>
      </c>
      <c r="W133" s="225" t="s">
        <v>697</v>
      </c>
      <c r="X133" s="226" t="s">
        <v>698</v>
      </c>
      <c r="Y133" s="413" t="s">
        <v>696</v>
      </c>
      <c r="Z133" s="225" t="s">
        <v>699</v>
      </c>
      <c r="AA133" s="226" t="s">
        <v>698</v>
      </c>
      <c r="AB133" s="413"/>
      <c r="AC133" s="225">
        <f t="shared" si="46"/>
        <v>0</v>
      </c>
      <c r="AD133" s="226">
        <f t="shared" si="41"/>
        <v>0</v>
      </c>
      <c r="AE133" s="413"/>
      <c r="AF133" s="225">
        <f t="shared" si="47"/>
        <v>0</v>
      </c>
      <c r="AG133" s="226">
        <f t="shared" si="42"/>
        <v>0</v>
      </c>
      <c r="AH133" s="413"/>
      <c r="AI133" s="225">
        <f t="shared" si="48"/>
        <v>0</v>
      </c>
      <c r="AJ133" s="226">
        <f t="shared" si="43"/>
        <v>0</v>
      </c>
      <c r="AK133" s="413"/>
      <c r="AL133" s="225">
        <f t="shared" si="49"/>
        <v>0</v>
      </c>
      <c r="AM133" s="226">
        <f t="shared" si="44"/>
        <v>0</v>
      </c>
      <c r="AN133" s="462" t="str">
        <f t="shared" ref="AN133:AN196" si="63">IF(OR(D133=$AS$6,D133=$AS$7,D133=$AS$8,D133=""),"",IF(COUNTIF(S133:AL133,"支援員")&gt;0,"","支援員がいません！"))</f>
        <v/>
      </c>
      <c r="AO133" s="416" t="str">
        <f t="shared" ref="AO133:AO196" si="64">IF(OR(D133=$AS$6,D133=$AS$7,D133=$AS$8),"",IF(Q133&gt;0,IF(COUNTIF(S133:AM133,"対象")&gt;0,"","障害児加配対象職員がいません"),""))</f>
        <v/>
      </c>
      <c r="AP133" s="416" t="str">
        <f t="shared" ref="AP133:AP196" si="65">IF(OR(D133=$AS$6,D133=$AS$7,D133=$AS$8),"",IF(Q133&gt;0,IF(COUNTA(S133:AM133)&gt;16,"","障害児加配の場合は３名以上の配置"),""))</f>
        <v/>
      </c>
      <c r="AQ133" s="416" t="str">
        <f t="shared" ref="AQ133:AQ196" si="66">IF(OR(D133=$AS$6,D133=$AQS135,D133=$AS$8),"",IF(Q133&gt;2,IF(COUNTIF(S133:AM133,"対象")&gt;1,IF(AB133&lt;&gt;"","","障害児3人以上の場合は４名以上の配置")),""))</f>
        <v/>
      </c>
      <c r="AR133" s="416" t="str">
        <f t="shared" si="45"/>
        <v/>
      </c>
    </row>
    <row r="134" spans="1:44" ht="14.25">
      <c r="A134" s="830"/>
      <c r="B134" s="99" t="s">
        <v>258</v>
      </c>
      <c r="C134" s="466" t="s">
        <v>187</v>
      </c>
      <c r="D134" s="125" t="s">
        <v>249</v>
      </c>
      <c r="E134" s="126">
        <v>0.375</v>
      </c>
      <c r="F134" s="126">
        <v>0.75</v>
      </c>
      <c r="G134" s="217">
        <f t="shared" si="56"/>
        <v>0.375</v>
      </c>
      <c r="H134" s="218">
        <f t="shared" si="57"/>
        <v>0</v>
      </c>
      <c r="I134" s="96">
        <f t="shared" si="58"/>
        <v>0</v>
      </c>
      <c r="J134" s="219">
        <f t="shared" si="59"/>
        <v>0</v>
      </c>
      <c r="K134" s="220">
        <f t="shared" si="60"/>
        <v>4.1666666666666685E-2</v>
      </c>
      <c r="L134" s="100">
        <f t="shared" si="61"/>
        <v>1</v>
      </c>
      <c r="M134" s="221" t="str">
        <f t="shared" ref="M134:M197" si="67">IF(D134="休所",IF(E134&lt;&gt;"","入力にエラーがあります",""),"")</f>
        <v/>
      </c>
      <c r="N134" s="222">
        <f t="shared" si="62"/>
        <v>1</v>
      </c>
      <c r="O134" s="223">
        <f>IF(N134=0,0,IF(SUM($N$5:N134)&gt;251,1,0))</f>
        <v>0</v>
      </c>
      <c r="P134" s="408">
        <v>20</v>
      </c>
      <c r="Q134" s="409">
        <v>0</v>
      </c>
      <c r="R134" s="224"/>
      <c r="S134" s="411" t="s">
        <v>672</v>
      </c>
      <c r="T134" s="225" t="s">
        <v>697</v>
      </c>
      <c r="U134" s="226" t="s">
        <v>698</v>
      </c>
      <c r="V134" s="413" t="s">
        <v>695</v>
      </c>
      <c r="W134" s="225" t="s">
        <v>697</v>
      </c>
      <c r="X134" s="226" t="s">
        <v>698</v>
      </c>
      <c r="Y134" s="413" t="s">
        <v>696</v>
      </c>
      <c r="Z134" s="225" t="s">
        <v>699</v>
      </c>
      <c r="AA134" s="226" t="s">
        <v>698</v>
      </c>
      <c r="AB134" s="413"/>
      <c r="AC134" s="225">
        <f t="shared" si="46"/>
        <v>0</v>
      </c>
      <c r="AD134" s="226">
        <f t="shared" ref="AD134:AD197" si="68">VLOOKUP(AB134,$AT$12:$AV$31,3,FALSE)</f>
        <v>0</v>
      </c>
      <c r="AE134" s="413"/>
      <c r="AF134" s="225">
        <f t="shared" si="47"/>
        <v>0</v>
      </c>
      <c r="AG134" s="226">
        <f t="shared" ref="AG134:AG197" si="69">VLOOKUP(AE134,$AT$12:$AV$31,3,FALSE)</f>
        <v>0</v>
      </c>
      <c r="AH134" s="413"/>
      <c r="AI134" s="225">
        <f t="shared" si="48"/>
        <v>0</v>
      </c>
      <c r="AJ134" s="226">
        <f t="shared" ref="AJ134:AJ197" si="70">VLOOKUP(AH134,$AT$12:$AV$31,3,FALSE)</f>
        <v>0</v>
      </c>
      <c r="AK134" s="413"/>
      <c r="AL134" s="225">
        <f t="shared" si="49"/>
        <v>0</v>
      </c>
      <c r="AM134" s="226">
        <f t="shared" ref="AM134:AM197" si="71">VLOOKUP(AK134,$AT$12:$AV$31,3,FALSE)</f>
        <v>0</v>
      </c>
      <c r="AN134" s="462" t="str">
        <f t="shared" si="63"/>
        <v/>
      </c>
      <c r="AO134" s="416" t="str">
        <f t="shared" si="64"/>
        <v/>
      </c>
      <c r="AP134" s="416" t="str">
        <f t="shared" si="65"/>
        <v/>
      </c>
      <c r="AQ134" s="416" t="str">
        <f t="shared" si="66"/>
        <v/>
      </c>
      <c r="AR134" s="416" t="str">
        <f t="shared" si="45"/>
        <v/>
      </c>
    </row>
    <row r="135" spans="1:44" ht="14.25">
      <c r="A135" s="830"/>
      <c r="B135" s="99" t="s">
        <v>259</v>
      </c>
      <c r="C135" s="466" t="s">
        <v>183</v>
      </c>
      <c r="D135" s="125" t="s">
        <v>249</v>
      </c>
      <c r="E135" s="126">
        <v>0.375</v>
      </c>
      <c r="F135" s="126">
        <v>0.75</v>
      </c>
      <c r="G135" s="217">
        <f t="shared" si="56"/>
        <v>0.375</v>
      </c>
      <c r="H135" s="218">
        <f t="shared" si="57"/>
        <v>0</v>
      </c>
      <c r="I135" s="96">
        <f t="shared" si="58"/>
        <v>0</v>
      </c>
      <c r="J135" s="219">
        <f t="shared" si="59"/>
        <v>0</v>
      </c>
      <c r="K135" s="220">
        <f t="shared" si="60"/>
        <v>4.1666666666666685E-2</v>
      </c>
      <c r="L135" s="100">
        <f t="shared" si="61"/>
        <v>1</v>
      </c>
      <c r="M135" s="221" t="str">
        <f t="shared" si="67"/>
        <v/>
      </c>
      <c r="N135" s="222">
        <f t="shared" si="62"/>
        <v>1</v>
      </c>
      <c r="O135" s="223">
        <f>IF(N135=0,0,IF(SUM($N$5:N135)&gt;251,1,0))</f>
        <v>0</v>
      </c>
      <c r="P135" s="408">
        <v>20</v>
      </c>
      <c r="Q135" s="409">
        <v>0</v>
      </c>
      <c r="R135" s="224"/>
      <c r="S135" s="411" t="s">
        <v>672</v>
      </c>
      <c r="T135" s="225" t="s">
        <v>697</v>
      </c>
      <c r="U135" s="226" t="s">
        <v>698</v>
      </c>
      <c r="V135" s="413" t="s">
        <v>695</v>
      </c>
      <c r="W135" s="225" t="s">
        <v>697</v>
      </c>
      <c r="X135" s="226" t="s">
        <v>698</v>
      </c>
      <c r="Y135" s="413" t="s">
        <v>696</v>
      </c>
      <c r="Z135" s="225" t="s">
        <v>699</v>
      </c>
      <c r="AA135" s="226" t="s">
        <v>698</v>
      </c>
      <c r="AB135" s="413"/>
      <c r="AC135" s="225">
        <f t="shared" si="46"/>
        <v>0</v>
      </c>
      <c r="AD135" s="226">
        <f t="shared" si="68"/>
        <v>0</v>
      </c>
      <c r="AE135" s="413"/>
      <c r="AF135" s="225">
        <f t="shared" si="47"/>
        <v>0</v>
      </c>
      <c r="AG135" s="226">
        <f t="shared" si="69"/>
        <v>0</v>
      </c>
      <c r="AH135" s="413"/>
      <c r="AI135" s="225">
        <f t="shared" si="48"/>
        <v>0</v>
      </c>
      <c r="AJ135" s="226">
        <f t="shared" si="70"/>
        <v>0</v>
      </c>
      <c r="AK135" s="413"/>
      <c r="AL135" s="225">
        <f t="shared" si="49"/>
        <v>0</v>
      </c>
      <c r="AM135" s="226">
        <f t="shared" si="71"/>
        <v>0</v>
      </c>
      <c r="AN135" s="462" t="str">
        <f t="shared" si="63"/>
        <v/>
      </c>
      <c r="AO135" s="416" t="str">
        <f t="shared" si="64"/>
        <v/>
      </c>
      <c r="AP135" s="416" t="str">
        <f t="shared" si="65"/>
        <v/>
      </c>
      <c r="AQ135" s="416" t="str">
        <f t="shared" si="66"/>
        <v/>
      </c>
      <c r="AR135" s="416" t="str">
        <f t="shared" ref="AR135:AR198" si="72">IF(AND(OR(D135="平日", D135="土・日・祝・長期休暇"), OR(P135=0, P135="")), "児童数が入力されていません！", "")</f>
        <v/>
      </c>
    </row>
    <row r="136" spans="1:44" ht="14.25">
      <c r="A136" s="830"/>
      <c r="B136" s="99" t="s">
        <v>260</v>
      </c>
      <c r="C136" s="466" t="s">
        <v>184</v>
      </c>
      <c r="D136" s="125" t="s">
        <v>249</v>
      </c>
      <c r="E136" s="126">
        <v>0.375</v>
      </c>
      <c r="F136" s="126">
        <v>0.75</v>
      </c>
      <c r="G136" s="217">
        <f t="shared" si="56"/>
        <v>0.375</v>
      </c>
      <c r="H136" s="218">
        <f t="shared" si="57"/>
        <v>0</v>
      </c>
      <c r="I136" s="96">
        <f t="shared" si="58"/>
        <v>0</v>
      </c>
      <c r="J136" s="219">
        <f t="shared" si="59"/>
        <v>0</v>
      </c>
      <c r="K136" s="220">
        <f t="shared" si="60"/>
        <v>4.1666666666666685E-2</v>
      </c>
      <c r="L136" s="100">
        <f t="shared" si="61"/>
        <v>1</v>
      </c>
      <c r="M136" s="221" t="str">
        <f t="shared" si="67"/>
        <v/>
      </c>
      <c r="N136" s="222">
        <f t="shared" si="62"/>
        <v>1</v>
      </c>
      <c r="O136" s="223">
        <f>IF(N136=0,0,IF(SUM($N$5:N136)&gt;251,1,0))</f>
        <v>0</v>
      </c>
      <c r="P136" s="408">
        <v>20</v>
      </c>
      <c r="Q136" s="409">
        <v>1</v>
      </c>
      <c r="R136" s="224"/>
      <c r="S136" s="411" t="s">
        <v>672</v>
      </c>
      <c r="T136" s="225" t="s">
        <v>697</v>
      </c>
      <c r="U136" s="226" t="s">
        <v>698</v>
      </c>
      <c r="V136" s="413" t="s">
        <v>695</v>
      </c>
      <c r="W136" s="225" t="s">
        <v>697</v>
      </c>
      <c r="X136" s="226" t="s">
        <v>698</v>
      </c>
      <c r="Y136" s="413" t="s">
        <v>696</v>
      </c>
      <c r="Z136" s="225" t="s">
        <v>699</v>
      </c>
      <c r="AA136" s="226" t="s">
        <v>698</v>
      </c>
      <c r="AB136" s="413"/>
      <c r="AC136" s="225">
        <f t="shared" ref="AC136:AC199" si="73">VLOOKUP(AB136,$AT$12:$AU$31,2,FALSE)</f>
        <v>0</v>
      </c>
      <c r="AD136" s="226">
        <f t="shared" si="68"/>
        <v>0</v>
      </c>
      <c r="AE136" s="413"/>
      <c r="AF136" s="225">
        <f t="shared" ref="AF136:AF199" si="74">VLOOKUP(AE136,$AT$12:$AU$31,2,FALSE)</f>
        <v>0</v>
      </c>
      <c r="AG136" s="226">
        <f t="shared" si="69"/>
        <v>0</v>
      </c>
      <c r="AH136" s="413"/>
      <c r="AI136" s="225">
        <f t="shared" ref="AI136:AI199" si="75">VLOOKUP(AH136,$AT$12:$AU$31,2,FALSE)</f>
        <v>0</v>
      </c>
      <c r="AJ136" s="226">
        <f t="shared" si="70"/>
        <v>0</v>
      </c>
      <c r="AK136" s="413"/>
      <c r="AL136" s="225">
        <f t="shared" ref="AL136:AL199" si="76">VLOOKUP(AK136,$AT$12:$AU$31,2,FALSE)</f>
        <v>0</v>
      </c>
      <c r="AM136" s="226">
        <f t="shared" si="71"/>
        <v>0</v>
      </c>
      <c r="AN136" s="462" t="str">
        <f t="shared" si="63"/>
        <v/>
      </c>
      <c r="AO136" s="416" t="str">
        <f t="shared" si="64"/>
        <v/>
      </c>
      <c r="AP136" s="416" t="str">
        <f t="shared" si="65"/>
        <v/>
      </c>
      <c r="AQ136" s="416" t="str">
        <f t="shared" si="66"/>
        <v/>
      </c>
      <c r="AR136" s="416" t="str">
        <f t="shared" si="72"/>
        <v/>
      </c>
    </row>
    <row r="137" spans="1:44" ht="14.25">
      <c r="A137" s="830"/>
      <c r="B137" s="99" t="s">
        <v>261</v>
      </c>
      <c r="C137" s="466" t="s">
        <v>599</v>
      </c>
      <c r="D137" s="125" t="s">
        <v>249</v>
      </c>
      <c r="E137" s="126">
        <v>0.375</v>
      </c>
      <c r="F137" s="126">
        <v>0.75</v>
      </c>
      <c r="G137" s="217">
        <f t="shared" si="56"/>
        <v>0.375</v>
      </c>
      <c r="H137" s="218">
        <f t="shared" si="57"/>
        <v>0</v>
      </c>
      <c r="I137" s="96">
        <f t="shared" si="58"/>
        <v>0</v>
      </c>
      <c r="J137" s="219">
        <f t="shared" si="59"/>
        <v>0</v>
      </c>
      <c r="K137" s="220">
        <f t="shared" si="60"/>
        <v>4.1666666666666685E-2</v>
      </c>
      <c r="L137" s="100">
        <f t="shared" si="61"/>
        <v>1</v>
      </c>
      <c r="M137" s="221" t="str">
        <f t="shared" si="67"/>
        <v/>
      </c>
      <c r="N137" s="222">
        <f t="shared" si="62"/>
        <v>1</v>
      </c>
      <c r="O137" s="223">
        <f>IF(N137=0,0,IF(SUM($N$5:N137)&gt;251,1,0))</f>
        <v>0</v>
      </c>
      <c r="P137" s="408">
        <v>20</v>
      </c>
      <c r="Q137" s="409">
        <v>0</v>
      </c>
      <c r="R137" s="224"/>
      <c r="S137" s="411" t="s">
        <v>672</v>
      </c>
      <c r="T137" s="225" t="s">
        <v>697</v>
      </c>
      <c r="U137" s="226" t="s">
        <v>698</v>
      </c>
      <c r="V137" s="413" t="s">
        <v>695</v>
      </c>
      <c r="W137" s="225" t="s">
        <v>697</v>
      </c>
      <c r="X137" s="226" t="s">
        <v>698</v>
      </c>
      <c r="Y137" s="413" t="s">
        <v>696</v>
      </c>
      <c r="Z137" s="225" t="s">
        <v>699</v>
      </c>
      <c r="AA137" s="226" t="s">
        <v>698</v>
      </c>
      <c r="AB137" s="413"/>
      <c r="AC137" s="225">
        <f t="shared" si="73"/>
        <v>0</v>
      </c>
      <c r="AD137" s="226">
        <f t="shared" si="68"/>
        <v>0</v>
      </c>
      <c r="AE137" s="413"/>
      <c r="AF137" s="225">
        <f t="shared" si="74"/>
        <v>0</v>
      </c>
      <c r="AG137" s="226">
        <f t="shared" si="69"/>
        <v>0</v>
      </c>
      <c r="AH137" s="413"/>
      <c r="AI137" s="225">
        <f t="shared" si="75"/>
        <v>0</v>
      </c>
      <c r="AJ137" s="226">
        <f t="shared" si="70"/>
        <v>0</v>
      </c>
      <c r="AK137" s="413"/>
      <c r="AL137" s="225">
        <f t="shared" si="76"/>
        <v>0</v>
      </c>
      <c r="AM137" s="226">
        <f t="shared" si="71"/>
        <v>0</v>
      </c>
      <c r="AN137" s="462" t="str">
        <f t="shared" si="63"/>
        <v/>
      </c>
      <c r="AO137" s="416" t="str">
        <f t="shared" si="64"/>
        <v/>
      </c>
      <c r="AP137" s="416" t="str">
        <f t="shared" si="65"/>
        <v/>
      </c>
      <c r="AQ137" s="416" t="str">
        <f t="shared" si="66"/>
        <v/>
      </c>
      <c r="AR137" s="416" t="str">
        <f t="shared" si="72"/>
        <v/>
      </c>
    </row>
    <row r="138" spans="1:44" ht="14.25">
      <c r="A138" s="830"/>
      <c r="B138" s="99" t="s">
        <v>263</v>
      </c>
      <c r="C138" s="466" t="s">
        <v>186</v>
      </c>
      <c r="D138" s="125" t="s">
        <v>249</v>
      </c>
      <c r="E138" s="126">
        <v>0.375</v>
      </c>
      <c r="F138" s="126">
        <v>0.75</v>
      </c>
      <c r="G138" s="217">
        <f t="shared" si="56"/>
        <v>0.375</v>
      </c>
      <c r="H138" s="218">
        <f t="shared" si="57"/>
        <v>0</v>
      </c>
      <c r="I138" s="96">
        <f t="shared" si="58"/>
        <v>0</v>
      </c>
      <c r="J138" s="219">
        <f t="shared" si="59"/>
        <v>0</v>
      </c>
      <c r="K138" s="220">
        <f t="shared" si="60"/>
        <v>4.1666666666666685E-2</v>
      </c>
      <c r="L138" s="100">
        <f t="shared" si="61"/>
        <v>1</v>
      </c>
      <c r="M138" s="221" t="str">
        <f t="shared" si="67"/>
        <v/>
      </c>
      <c r="N138" s="222">
        <f t="shared" si="62"/>
        <v>1</v>
      </c>
      <c r="O138" s="223">
        <f>IF(N138=0,0,IF(SUM($N$5:N138)&gt;251,1,0))</f>
        <v>0</v>
      </c>
      <c r="P138" s="408">
        <v>2</v>
      </c>
      <c r="Q138" s="409">
        <v>0</v>
      </c>
      <c r="R138" s="224"/>
      <c r="S138" s="411" t="s">
        <v>672</v>
      </c>
      <c r="T138" s="225" t="s">
        <v>697</v>
      </c>
      <c r="U138" s="226" t="s">
        <v>698</v>
      </c>
      <c r="V138" s="413" t="s">
        <v>695</v>
      </c>
      <c r="W138" s="225" t="s">
        <v>697</v>
      </c>
      <c r="X138" s="226" t="s">
        <v>698</v>
      </c>
      <c r="Y138" s="413" t="s">
        <v>696</v>
      </c>
      <c r="Z138" s="225" t="s">
        <v>699</v>
      </c>
      <c r="AA138" s="226" t="s">
        <v>698</v>
      </c>
      <c r="AB138" s="413"/>
      <c r="AC138" s="225">
        <f t="shared" si="73"/>
        <v>0</v>
      </c>
      <c r="AD138" s="226">
        <f t="shared" si="68"/>
        <v>0</v>
      </c>
      <c r="AE138" s="413"/>
      <c r="AF138" s="225">
        <f t="shared" si="74"/>
        <v>0</v>
      </c>
      <c r="AG138" s="226">
        <f t="shared" si="69"/>
        <v>0</v>
      </c>
      <c r="AH138" s="413"/>
      <c r="AI138" s="225">
        <f t="shared" si="75"/>
        <v>0</v>
      </c>
      <c r="AJ138" s="226">
        <f t="shared" si="70"/>
        <v>0</v>
      </c>
      <c r="AK138" s="413"/>
      <c r="AL138" s="225">
        <f t="shared" si="76"/>
        <v>0</v>
      </c>
      <c r="AM138" s="226">
        <f t="shared" si="71"/>
        <v>0</v>
      </c>
      <c r="AN138" s="462" t="str">
        <f t="shared" si="63"/>
        <v/>
      </c>
      <c r="AO138" s="416" t="str">
        <f t="shared" si="64"/>
        <v/>
      </c>
      <c r="AP138" s="416" t="str">
        <f t="shared" si="65"/>
        <v/>
      </c>
      <c r="AQ138" s="416" t="str">
        <f t="shared" si="66"/>
        <v/>
      </c>
      <c r="AR138" s="416" t="str">
        <f t="shared" si="72"/>
        <v/>
      </c>
    </row>
    <row r="139" spans="1:44" ht="14.25">
      <c r="A139" s="830"/>
      <c r="B139" s="99" t="s">
        <v>264</v>
      </c>
      <c r="C139" s="466" t="s">
        <v>262</v>
      </c>
      <c r="D139" s="125" t="s">
        <v>251</v>
      </c>
      <c r="E139" s="126"/>
      <c r="F139" s="126"/>
      <c r="G139" s="217">
        <f t="shared" si="56"/>
        <v>0</v>
      </c>
      <c r="H139" s="218">
        <f t="shared" si="57"/>
        <v>0</v>
      </c>
      <c r="I139" s="96">
        <f t="shared" si="58"/>
        <v>0</v>
      </c>
      <c r="J139" s="219">
        <f t="shared" si="59"/>
        <v>0</v>
      </c>
      <c r="K139" s="220">
        <f t="shared" si="60"/>
        <v>0</v>
      </c>
      <c r="L139" s="100">
        <f t="shared" si="61"/>
        <v>0</v>
      </c>
      <c r="M139" s="221" t="str">
        <f t="shared" si="67"/>
        <v/>
      </c>
      <c r="N139" s="222">
        <f t="shared" si="62"/>
        <v>0</v>
      </c>
      <c r="O139" s="223">
        <f>IF(N139=0,0,IF(SUM($N$5:N139)&gt;251,1,0))</f>
        <v>0</v>
      </c>
      <c r="P139" s="408"/>
      <c r="Q139" s="409"/>
      <c r="R139" s="224"/>
      <c r="S139" s="411"/>
      <c r="T139" s="225">
        <f t="shared" ref="T139:T195" si="77">VLOOKUP(S139,$AT$12:$AU$31,2,FALSE)</f>
        <v>0</v>
      </c>
      <c r="U139" s="226">
        <f t="shared" ref="U139:U195" si="78">VLOOKUP(S139,$AT$12:$AV$31,3,FALSE)</f>
        <v>0</v>
      </c>
      <c r="V139" s="413"/>
      <c r="W139" s="225">
        <f t="shared" ref="W139:W195" si="79">VLOOKUP(V139,$AT$12:$AU$31,2,FALSE)</f>
        <v>0</v>
      </c>
      <c r="X139" s="226">
        <f t="shared" ref="X139:X195" si="80">VLOOKUP(V139,$AT$12:$AV$31,3,FALSE)</f>
        <v>0</v>
      </c>
      <c r="Y139" s="413"/>
      <c r="Z139" s="225">
        <f t="shared" ref="Z139:Z195" si="81">VLOOKUP(Y139,$AT$12:$AU$31,2,FALSE)</f>
        <v>0</v>
      </c>
      <c r="AA139" s="226">
        <f t="shared" ref="AA139:AA195" si="82">VLOOKUP(Y139,$AT$12:$AV$31,3,FALSE)</f>
        <v>0</v>
      </c>
      <c r="AB139" s="413"/>
      <c r="AC139" s="225">
        <f t="shared" si="73"/>
        <v>0</v>
      </c>
      <c r="AD139" s="226">
        <f t="shared" si="68"/>
        <v>0</v>
      </c>
      <c r="AE139" s="413"/>
      <c r="AF139" s="225">
        <f t="shared" si="74"/>
        <v>0</v>
      </c>
      <c r="AG139" s="226">
        <f t="shared" si="69"/>
        <v>0</v>
      </c>
      <c r="AH139" s="413"/>
      <c r="AI139" s="225">
        <f t="shared" si="75"/>
        <v>0</v>
      </c>
      <c r="AJ139" s="226">
        <f t="shared" si="70"/>
        <v>0</v>
      </c>
      <c r="AK139" s="413"/>
      <c r="AL139" s="225">
        <f t="shared" si="76"/>
        <v>0</v>
      </c>
      <c r="AM139" s="226">
        <f t="shared" si="71"/>
        <v>0</v>
      </c>
      <c r="AN139" s="462" t="str">
        <f t="shared" si="63"/>
        <v/>
      </c>
      <c r="AO139" s="416" t="str">
        <f t="shared" si="64"/>
        <v/>
      </c>
      <c r="AP139" s="416" t="str">
        <f t="shared" si="65"/>
        <v/>
      </c>
      <c r="AQ139" s="416" t="str">
        <f t="shared" si="66"/>
        <v/>
      </c>
      <c r="AR139" s="416" t="str">
        <f t="shared" si="72"/>
        <v/>
      </c>
    </row>
    <row r="140" spans="1:44" ht="14.25">
      <c r="A140" s="830"/>
      <c r="B140" s="99" t="s">
        <v>265</v>
      </c>
      <c r="C140" s="466" t="s">
        <v>182</v>
      </c>
      <c r="D140" s="125" t="s">
        <v>249</v>
      </c>
      <c r="E140" s="126">
        <v>0.375</v>
      </c>
      <c r="F140" s="126">
        <v>0.75</v>
      </c>
      <c r="G140" s="217">
        <f t="shared" si="56"/>
        <v>0.375</v>
      </c>
      <c r="H140" s="218">
        <f t="shared" si="57"/>
        <v>0</v>
      </c>
      <c r="I140" s="96">
        <f t="shared" si="58"/>
        <v>0</v>
      </c>
      <c r="J140" s="219">
        <f t="shared" si="59"/>
        <v>0</v>
      </c>
      <c r="K140" s="220">
        <f t="shared" si="60"/>
        <v>4.1666666666666685E-2</v>
      </c>
      <c r="L140" s="100">
        <f t="shared" si="61"/>
        <v>1</v>
      </c>
      <c r="M140" s="221" t="str">
        <f t="shared" si="67"/>
        <v/>
      </c>
      <c r="N140" s="222">
        <f t="shared" si="62"/>
        <v>1</v>
      </c>
      <c r="O140" s="223">
        <f>IF(N140=0,0,IF(SUM($N$5:N140)&gt;251,1,0))</f>
        <v>0</v>
      </c>
      <c r="P140" s="408">
        <v>18</v>
      </c>
      <c r="Q140" s="409">
        <v>0</v>
      </c>
      <c r="R140" s="224"/>
      <c r="S140" s="411" t="s">
        <v>672</v>
      </c>
      <c r="T140" s="225" t="s">
        <v>697</v>
      </c>
      <c r="U140" s="226" t="s">
        <v>698</v>
      </c>
      <c r="V140" s="413" t="s">
        <v>695</v>
      </c>
      <c r="W140" s="225" t="s">
        <v>697</v>
      </c>
      <c r="X140" s="226" t="s">
        <v>698</v>
      </c>
      <c r="Y140" s="413" t="s">
        <v>696</v>
      </c>
      <c r="Z140" s="225" t="s">
        <v>699</v>
      </c>
      <c r="AA140" s="226" t="s">
        <v>698</v>
      </c>
      <c r="AB140" s="413"/>
      <c r="AC140" s="225">
        <f t="shared" si="73"/>
        <v>0</v>
      </c>
      <c r="AD140" s="226">
        <f t="shared" si="68"/>
        <v>0</v>
      </c>
      <c r="AE140" s="413"/>
      <c r="AF140" s="225">
        <f t="shared" si="74"/>
        <v>0</v>
      </c>
      <c r="AG140" s="226">
        <f t="shared" si="69"/>
        <v>0</v>
      </c>
      <c r="AH140" s="413"/>
      <c r="AI140" s="225">
        <f t="shared" si="75"/>
        <v>0</v>
      </c>
      <c r="AJ140" s="226">
        <f t="shared" si="70"/>
        <v>0</v>
      </c>
      <c r="AK140" s="413"/>
      <c r="AL140" s="225">
        <f t="shared" si="76"/>
        <v>0</v>
      </c>
      <c r="AM140" s="226">
        <f t="shared" si="71"/>
        <v>0</v>
      </c>
      <c r="AN140" s="462" t="str">
        <f t="shared" si="63"/>
        <v/>
      </c>
      <c r="AO140" s="416" t="str">
        <f t="shared" si="64"/>
        <v/>
      </c>
      <c r="AP140" s="416" t="str">
        <f t="shared" si="65"/>
        <v/>
      </c>
      <c r="AQ140" s="416" t="str">
        <f t="shared" si="66"/>
        <v/>
      </c>
      <c r="AR140" s="416" t="str">
        <f t="shared" si="72"/>
        <v/>
      </c>
    </row>
    <row r="141" spans="1:44" ht="14.25">
      <c r="A141" s="830"/>
      <c r="B141" s="99" t="s">
        <v>266</v>
      </c>
      <c r="C141" s="466" t="s">
        <v>187</v>
      </c>
      <c r="D141" s="125" t="s">
        <v>249</v>
      </c>
      <c r="E141" s="126">
        <v>0.375</v>
      </c>
      <c r="F141" s="126">
        <v>0.75</v>
      </c>
      <c r="G141" s="217">
        <f t="shared" si="56"/>
        <v>0.375</v>
      </c>
      <c r="H141" s="218">
        <f t="shared" si="57"/>
        <v>0</v>
      </c>
      <c r="I141" s="96">
        <f t="shared" si="58"/>
        <v>0</v>
      </c>
      <c r="J141" s="219">
        <f t="shared" si="59"/>
        <v>0</v>
      </c>
      <c r="K141" s="220">
        <f t="shared" si="60"/>
        <v>4.1666666666666685E-2</v>
      </c>
      <c r="L141" s="100">
        <f t="shared" si="61"/>
        <v>1</v>
      </c>
      <c r="M141" s="221" t="str">
        <f t="shared" si="67"/>
        <v/>
      </c>
      <c r="N141" s="222">
        <f t="shared" si="62"/>
        <v>1</v>
      </c>
      <c r="O141" s="223">
        <f>IF(N141=0,0,IF(SUM($N$5:N141)&gt;251,1,0))</f>
        <v>0</v>
      </c>
      <c r="P141" s="408">
        <v>20</v>
      </c>
      <c r="Q141" s="409">
        <v>0</v>
      </c>
      <c r="R141" s="224"/>
      <c r="S141" s="411" t="s">
        <v>672</v>
      </c>
      <c r="T141" s="225" t="s">
        <v>697</v>
      </c>
      <c r="U141" s="226" t="s">
        <v>698</v>
      </c>
      <c r="V141" s="413" t="s">
        <v>695</v>
      </c>
      <c r="W141" s="225" t="s">
        <v>697</v>
      </c>
      <c r="X141" s="226" t="s">
        <v>698</v>
      </c>
      <c r="Y141" s="413" t="s">
        <v>696</v>
      </c>
      <c r="Z141" s="225" t="s">
        <v>699</v>
      </c>
      <c r="AA141" s="226" t="s">
        <v>698</v>
      </c>
      <c r="AB141" s="413"/>
      <c r="AC141" s="225">
        <f t="shared" si="73"/>
        <v>0</v>
      </c>
      <c r="AD141" s="226">
        <f t="shared" si="68"/>
        <v>0</v>
      </c>
      <c r="AE141" s="413"/>
      <c r="AF141" s="225">
        <f t="shared" si="74"/>
        <v>0</v>
      </c>
      <c r="AG141" s="226">
        <f t="shared" si="69"/>
        <v>0</v>
      </c>
      <c r="AH141" s="413"/>
      <c r="AI141" s="225">
        <f t="shared" si="75"/>
        <v>0</v>
      </c>
      <c r="AJ141" s="226">
        <f t="shared" si="70"/>
        <v>0</v>
      </c>
      <c r="AK141" s="413"/>
      <c r="AL141" s="225">
        <f t="shared" si="76"/>
        <v>0</v>
      </c>
      <c r="AM141" s="226">
        <f t="shared" si="71"/>
        <v>0</v>
      </c>
      <c r="AN141" s="462" t="str">
        <f t="shared" si="63"/>
        <v/>
      </c>
      <c r="AO141" s="416" t="str">
        <f t="shared" si="64"/>
        <v/>
      </c>
      <c r="AP141" s="416" t="str">
        <f t="shared" si="65"/>
        <v/>
      </c>
      <c r="AQ141" s="416" t="str">
        <f t="shared" si="66"/>
        <v/>
      </c>
      <c r="AR141" s="416" t="str">
        <f t="shared" si="72"/>
        <v/>
      </c>
    </row>
    <row r="142" spans="1:44" ht="14.25">
      <c r="A142" s="830"/>
      <c r="B142" s="99" t="s">
        <v>267</v>
      </c>
      <c r="C142" s="466" t="s">
        <v>183</v>
      </c>
      <c r="D142" s="125" t="s">
        <v>249</v>
      </c>
      <c r="E142" s="126">
        <v>0.375</v>
      </c>
      <c r="F142" s="126">
        <v>0.75</v>
      </c>
      <c r="G142" s="217">
        <f t="shared" si="56"/>
        <v>0.375</v>
      </c>
      <c r="H142" s="218">
        <f t="shared" si="57"/>
        <v>0</v>
      </c>
      <c r="I142" s="96">
        <f t="shared" si="58"/>
        <v>0</v>
      </c>
      <c r="J142" s="219">
        <f t="shared" si="59"/>
        <v>0</v>
      </c>
      <c r="K142" s="220">
        <f t="shared" si="60"/>
        <v>4.1666666666666685E-2</v>
      </c>
      <c r="L142" s="100">
        <f t="shared" si="61"/>
        <v>1</v>
      </c>
      <c r="M142" s="221" t="str">
        <f t="shared" si="67"/>
        <v/>
      </c>
      <c r="N142" s="222">
        <f t="shared" si="62"/>
        <v>1</v>
      </c>
      <c r="O142" s="223">
        <f>IF(N142=0,0,IF(SUM($N$5:N142)&gt;251,1,0))</f>
        <v>0</v>
      </c>
      <c r="P142" s="408">
        <v>20</v>
      </c>
      <c r="Q142" s="409">
        <v>0</v>
      </c>
      <c r="R142" s="224"/>
      <c r="S142" s="411" t="s">
        <v>672</v>
      </c>
      <c r="T142" s="225" t="s">
        <v>697</v>
      </c>
      <c r="U142" s="226" t="s">
        <v>698</v>
      </c>
      <c r="V142" s="413" t="s">
        <v>695</v>
      </c>
      <c r="W142" s="225" t="s">
        <v>697</v>
      </c>
      <c r="X142" s="226" t="s">
        <v>698</v>
      </c>
      <c r="Y142" s="413" t="s">
        <v>696</v>
      </c>
      <c r="Z142" s="225" t="s">
        <v>699</v>
      </c>
      <c r="AA142" s="226" t="s">
        <v>698</v>
      </c>
      <c r="AB142" s="413"/>
      <c r="AC142" s="225">
        <f t="shared" si="73"/>
        <v>0</v>
      </c>
      <c r="AD142" s="226">
        <f t="shared" si="68"/>
        <v>0</v>
      </c>
      <c r="AE142" s="413"/>
      <c r="AF142" s="225">
        <f t="shared" si="74"/>
        <v>0</v>
      </c>
      <c r="AG142" s="226">
        <f t="shared" si="69"/>
        <v>0</v>
      </c>
      <c r="AH142" s="413"/>
      <c r="AI142" s="225">
        <f t="shared" si="75"/>
        <v>0</v>
      </c>
      <c r="AJ142" s="226">
        <f t="shared" si="70"/>
        <v>0</v>
      </c>
      <c r="AK142" s="413"/>
      <c r="AL142" s="225">
        <f t="shared" si="76"/>
        <v>0</v>
      </c>
      <c r="AM142" s="226">
        <f t="shared" si="71"/>
        <v>0</v>
      </c>
      <c r="AN142" s="462" t="str">
        <f t="shared" si="63"/>
        <v/>
      </c>
      <c r="AO142" s="416" t="str">
        <f t="shared" si="64"/>
        <v/>
      </c>
      <c r="AP142" s="416" t="str">
        <f t="shared" si="65"/>
        <v/>
      </c>
      <c r="AQ142" s="416" t="str">
        <f t="shared" si="66"/>
        <v/>
      </c>
      <c r="AR142" s="416" t="str">
        <f t="shared" si="72"/>
        <v/>
      </c>
    </row>
    <row r="143" spans="1:44" ht="14.25">
      <c r="A143" s="830"/>
      <c r="B143" s="99" t="s">
        <v>268</v>
      </c>
      <c r="C143" s="466" t="s">
        <v>184</v>
      </c>
      <c r="D143" s="125" t="s">
        <v>249</v>
      </c>
      <c r="E143" s="126">
        <v>0.375</v>
      </c>
      <c r="F143" s="126">
        <v>0.75</v>
      </c>
      <c r="G143" s="217">
        <f t="shared" si="56"/>
        <v>0.375</v>
      </c>
      <c r="H143" s="218">
        <f t="shared" si="57"/>
        <v>0</v>
      </c>
      <c r="I143" s="96">
        <f t="shared" si="58"/>
        <v>0</v>
      </c>
      <c r="J143" s="219">
        <f t="shared" si="59"/>
        <v>0</v>
      </c>
      <c r="K143" s="220">
        <f t="shared" si="60"/>
        <v>4.1666666666666685E-2</v>
      </c>
      <c r="L143" s="100">
        <f t="shared" si="61"/>
        <v>1</v>
      </c>
      <c r="M143" s="221" t="str">
        <f t="shared" si="67"/>
        <v/>
      </c>
      <c r="N143" s="222">
        <f t="shared" si="62"/>
        <v>1</v>
      </c>
      <c r="O143" s="223">
        <f>IF(N143=0,0,IF(SUM($N$5:N143)&gt;251,1,0))</f>
        <v>0</v>
      </c>
      <c r="P143" s="408">
        <v>20</v>
      </c>
      <c r="Q143" s="409">
        <v>1</v>
      </c>
      <c r="R143" s="224"/>
      <c r="S143" s="411" t="s">
        <v>672</v>
      </c>
      <c r="T143" s="225" t="s">
        <v>697</v>
      </c>
      <c r="U143" s="226" t="s">
        <v>698</v>
      </c>
      <c r="V143" s="413" t="s">
        <v>695</v>
      </c>
      <c r="W143" s="225" t="s">
        <v>697</v>
      </c>
      <c r="X143" s="226" t="s">
        <v>698</v>
      </c>
      <c r="Y143" s="413" t="s">
        <v>696</v>
      </c>
      <c r="Z143" s="225" t="s">
        <v>699</v>
      </c>
      <c r="AA143" s="226" t="s">
        <v>698</v>
      </c>
      <c r="AB143" s="413"/>
      <c r="AC143" s="225">
        <f t="shared" si="73"/>
        <v>0</v>
      </c>
      <c r="AD143" s="226">
        <f t="shared" si="68"/>
        <v>0</v>
      </c>
      <c r="AE143" s="413"/>
      <c r="AF143" s="225">
        <f t="shared" si="74"/>
        <v>0</v>
      </c>
      <c r="AG143" s="226">
        <f t="shared" si="69"/>
        <v>0</v>
      </c>
      <c r="AH143" s="413"/>
      <c r="AI143" s="225">
        <f t="shared" si="75"/>
        <v>0</v>
      </c>
      <c r="AJ143" s="226">
        <f t="shared" si="70"/>
        <v>0</v>
      </c>
      <c r="AK143" s="413"/>
      <c r="AL143" s="225">
        <f t="shared" si="76"/>
        <v>0</v>
      </c>
      <c r="AM143" s="226">
        <f t="shared" si="71"/>
        <v>0</v>
      </c>
      <c r="AN143" s="462" t="str">
        <f t="shared" si="63"/>
        <v/>
      </c>
      <c r="AO143" s="416" t="str">
        <f t="shared" si="64"/>
        <v/>
      </c>
      <c r="AP143" s="416" t="str">
        <f t="shared" si="65"/>
        <v/>
      </c>
      <c r="AQ143" s="416" t="str">
        <f t="shared" si="66"/>
        <v/>
      </c>
      <c r="AR143" s="416" t="str">
        <f t="shared" si="72"/>
        <v/>
      </c>
    </row>
    <row r="144" spans="1:44" ht="14.25">
      <c r="A144" s="830"/>
      <c r="B144" s="99" t="s">
        <v>269</v>
      </c>
      <c r="C144" s="466" t="s">
        <v>185</v>
      </c>
      <c r="D144" s="125" t="s">
        <v>249</v>
      </c>
      <c r="E144" s="126">
        <v>0.375</v>
      </c>
      <c r="F144" s="126">
        <v>0.75</v>
      </c>
      <c r="G144" s="217">
        <f t="shared" si="56"/>
        <v>0.375</v>
      </c>
      <c r="H144" s="218">
        <f t="shared" si="57"/>
        <v>0</v>
      </c>
      <c r="I144" s="96">
        <f t="shared" si="58"/>
        <v>0</v>
      </c>
      <c r="J144" s="219">
        <f t="shared" si="59"/>
        <v>0</v>
      </c>
      <c r="K144" s="220">
        <f t="shared" si="60"/>
        <v>4.1666666666666685E-2</v>
      </c>
      <c r="L144" s="100">
        <f t="shared" si="61"/>
        <v>1</v>
      </c>
      <c r="M144" s="221" t="str">
        <f t="shared" si="67"/>
        <v/>
      </c>
      <c r="N144" s="222">
        <f t="shared" si="62"/>
        <v>1</v>
      </c>
      <c r="O144" s="223">
        <f>IF(N144=0,0,IF(SUM($N$5:N144)&gt;251,1,0))</f>
        <v>0</v>
      </c>
      <c r="P144" s="408">
        <v>20</v>
      </c>
      <c r="Q144" s="409">
        <v>0</v>
      </c>
      <c r="R144" s="224"/>
      <c r="S144" s="411" t="s">
        <v>672</v>
      </c>
      <c r="T144" s="225" t="s">
        <v>697</v>
      </c>
      <c r="U144" s="226" t="s">
        <v>698</v>
      </c>
      <c r="V144" s="413" t="s">
        <v>695</v>
      </c>
      <c r="W144" s="225" t="s">
        <v>697</v>
      </c>
      <c r="X144" s="226" t="s">
        <v>698</v>
      </c>
      <c r="Y144" s="413" t="s">
        <v>696</v>
      </c>
      <c r="Z144" s="225" t="s">
        <v>699</v>
      </c>
      <c r="AA144" s="226" t="s">
        <v>698</v>
      </c>
      <c r="AB144" s="413"/>
      <c r="AC144" s="225">
        <f t="shared" si="73"/>
        <v>0</v>
      </c>
      <c r="AD144" s="226">
        <f t="shared" si="68"/>
        <v>0</v>
      </c>
      <c r="AE144" s="413"/>
      <c r="AF144" s="225">
        <f t="shared" si="74"/>
        <v>0</v>
      </c>
      <c r="AG144" s="226">
        <f t="shared" si="69"/>
        <v>0</v>
      </c>
      <c r="AH144" s="413"/>
      <c r="AI144" s="225">
        <f t="shared" si="75"/>
        <v>0</v>
      </c>
      <c r="AJ144" s="226">
        <f t="shared" si="70"/>
        <v>0</v>
      </c>
      <c r="AK144" s="413"/>
      <c r="AL144" s="225">
        <f t="shared" si="76"/>
        <v>0</v>
      </c>
      <c r="AM144" s="226">
        <f t="shared" si="71"/>
        <v>0</v>
      </c>
      <c r="AN144" s="462" t="str">
        <f t="shared" si="63"/>
        <v/>
      </c>
      <c r="AO144" s="416" t="str">
        <f t="shared" si="64"/>
        <v/>
      </c>
      <c r="AP144" s="416" t="str">
        <f t="shared" si="65"/>
        <v/>
      </c>
      <c r="AQ144" s="416" t="str">
        <f t="shared" si="66"/>
        <v/>
      </c>
      <c r="AR144" s="416" t="str">
        <f t="shared" si="72"/>
        <v/>
      </c>
    </row>
    <row r="145" spans="1:44" ht="14.25">
      <c r="A145" s="830"/>
      <c r="B145" s="99" t="s">
        <v>270</v>
      </c>
      <c r="C145" s="466" t="s">
        <v>186</v>
      </c>
      <c r="D145" s="125" t="s">
        <v>249</v>
      </c>
      <c r="E145" s="126">
        <v>0.375</v>
      </c>
      <c r="F145" s="126">
        <v>0.75</v>
      </c>
      <c r="G145" s="217">
        <f t="shared" si="56"/>
        <v>0.375</v>
      </c>
      <c r="H145" s="218">
        <f t="shared" si="57"/>
        <v>0</v>
      </c>
      <c r="I145" s="96">
        <f t="shared" si="58"/>
        <v>0</v>
      </c>
      <c r="J145" s="219">
        <f t="shared" si="59"/>
        <v>0</v>
      </c>
      <c r="K145" s="220">
        <f t="shared" si="60"/>
        <v>4.1666666666666685E-2</v>
      </c>
      <c r="L145" s="100">
        <f t="shared" si="61"/>
        <v>1</v>
      </c>
      <c r="M145" s="221" t="str">
        <f t="shared" si="67"/>
        <v/>
      </c>
      <c r="N145" s="222">
        <f t="shared" si="62"/>
        <v>1</v>
      </c>
      <c r="O145" s="223">
        <f>IF(N145=0,0,IF(SUM($N$5:N145)&gt;251,1,0))</f>
        <v>0</v>
      </c>
      <c r="P145" s="408">
        <v>2</v>
      </c>
      <c r="Q145" s="409">
        <v>0</v>
      </c>
      <c r="R145" s="224"/>
      <c r="S145" s="411" t="s">
        <v>672</v>
      </c>
      <c r="T145" s="225" t="s">
        <v>697</v>
      </c>
      <c r="U145" s="226" t="s">
        <v>698</v>
      </c>
      <c r="V145" s="413" t="s">
        <v>695</v>
      </c>
      <c r="W145" s="225" t="s">
        <v>697</v>
      </c>
      <c r="X145" s="226" t="s">
        <v>698</v>
      </c>
      <c r="Y145" s="413" t="s">
        <v>696</v>
      </c>
      <c r="Z145" s="225" t="s">
        <v>699</v>
      </c>
      <c r="AA145" s="226" t="s">
        <v>698</v>
      </c>
      <c r="AB145" s="413"/>
      <c r="AC145" s="225">
        <f t="shared" si="73"/>
        <v>0</v>
      </c>
      <c r="AD145" s="226">
        <f t="shared" si="68"/>
        <v>0</v>
      </c>
      <c r="AE145" s="413"/>
      <c r="AF145" s="225">
        <f t="shared" si="74"/>
        <v>0</v>
      </c>
      <c r="AG145" s="226">
        <f t="shared" si="69"/>
        <v>0</v>
      </c>
      <c r="AH145" s="413"/>
      <c r="AI145" s="225">
        <f t="shared" si="75"/>
        <v>0</v>
      </c>
      <c r="AJ145" s="226">
        <f t="shared" si="70"/>
        <v>0</v>
      </c>
      <c r="AK145" s="413"/>
      <c r="AL145" s="225">
        <f t="shared" si="76"/>
        <v>0</v>
      </c>
      <c r="AM145" s="226">
        <f t="shared" si="71"/>
        <v>0</v>
      </c>
      <c r="AN145" s="462" t="str">
        <f t="shared" si="63"/>
        <v/>
      </c>
      <c r="AO145" s="416" t="str">
        <f t="shared" si="64"/>
        <v/>
      </c>
      <c r="AP145" s="416" t="str">
        <f t="shared" si="65"/>
        <v/>
      </c>
      <c r="AQ145" s="416" t="str">
        <f t="shared" si="66"/>
        <v/>
      </c>
      <c r="AR145" s="416" t="str">
        <f t="shared" si="72"/>
        <v/>
      </c>
    </row>
    <row r="146" spans="1:44" ht="14.25">
      <c r="A146" s="830"/>
      <c r="B146" s="99" t="s">
        <v>271</v>
      </c>
      <c r="C146" s="466" t="s">
        <v>262</v>
      </c>
      <c r="D146" s="125" t="s">
        <v>251</v>
      </c>
      <c r="E146" s="126"/>
      <c r="F146" s="126"/>
      <c r="G146" s="217">
        <f t="shared" si="56"/>
        <v>0</v>
      </c>
      <c r="H146" s="218">
        <f t="shared" si="57"/>
        <v>0</v>
      </c>
      <c r="I146" s="96">
        <f t="shared" si="58"/>
        <v>0</v>
      </c>
      <c r="J146" s="219">
        <f t="shared" si="59"/>
        <v>0</v>
      </c>
      <c r="K146" s="220">
        <f t="shared" si="60"/>
        <v>0</v>
      </c>
      <c r="L146" s="100">
        <f t="shared" si="61"/>
        <v>0</v>
      </c>
      <c r="M146" s="221" t="str">
        <f t="shared" si="67"/>
        <v/>
      </c>
      <c r="N146" s="222">
        <f t="shared" si="62"/>
        <v>0</v>
      </c>
      <c r="O146" s="223">
        <f>IF(N146=0,0,IF(SUM($N$5:N146)&gt;251,1,0))</f>
        <v>0</v>
      </c>
      <c r="P146" s="408"/>
      <c r="Q146" s="409"/>
      <c r="R146" s="224"/>
      <c r="S146" s="411"/>
      <c r="T146" s="225">
        <f t="shared" si="77"/>
        <v>0</v>
      </c>
      <c r="U146" s="226">
        <f t="shared" si="78"/>
        <v>0</v>
      </c>
      <c r="V146" s="413"/>
      <c r="W146" s="225">
        <f t="shared" si="79"/>
        <v>0</v>
      </c>
      <c r="X146" s="226">
        <f t="shared" si="80"/>
        <v>0</v>
      </c>
      <c r="Y146" s="413"/>
      <c r="Z146" s="225">
        <f t="shared" si="81"/>
        <v>0</v>
      </c>
      <c r="AA146" s="226">
        <f t="shared" si="82"/>
        <v>0</v>
      </c>
      <c r="AB146" s="413"/>
      <c r="AC146" s="225">
        <f t="shared" si="73"/>
        <v>0</v>
      </c>
      <c r="AD146" s="226">
        <f t="shared" si="68"/>
        <v>0</v>
      </c>
      <c r="AE146" s="413"/>
      <c r="AF146" s="225">
        <f t="shared" si="74"/>
        <v>0</v>
      </c>
      <c r="AG146" s="226">
        <f t="shared" si="69"/>
        <v>0</v>
      </c>
      <c r="AH146" s="413"/>
      <c r="AI146" s="225">
        <f t="shared" si="75"/>
        <v>0</v>
      </c>
      <c r="AJ146" s="226">
        <f t="shared" si="70"/>
        <v>0</v>
      </c>
      <c r="AK146" s="413"/>
      <c r="AL146" s="225">
        <f t="shared" si="76"/>
        <v>0</v>
      </c>
      <c r="AM146" s="226">
        <f t="shared" si="71"/>
        <v>0</v>
      </c>
      <c r="AN146" s="462" t="str">
        <f t="shared" si="63"/>
        <v/>
      </c>
      <c r="AO146" s="416" t="str">
        <f t="shared" si="64"/>
        <v/>
      </c>
      <c r="AP146" s="416" t="str">
        <f t="shared" si="65"/>
        <v/>
      </c>
      <c r="AQ146" s="416" t="str">
        <f t="shared" si="66"/>
        <v/>
      </c>
      <c r="AR146" s="416" t="str">
        <f t="shared" si="72"/>
        <v/>
      </c>
    </row>
    <row r="147" spans="1:44" ht="14.25">
      <c r="A147" s="830"/>
      <c r="B147" s="99" t="s">
        <v>272</v>
      </c>
      <c r="C147" s="466" t="s">
        <v>182</v>
      </c>
      <c r="D147" s="125" t="s">
        <v>249</v>
      </c>
      <c r="E147" s="126">
        <v>0.375</v>
      </c>
      <c r="F147" s="126">
        <v>0.75</v>
      </c>
      <c r="G147" s="217">
        <f t="shared" si="56"/>
        <v>0.375</v>
      </c>
      <c r="H147" s="218">
        <f t="shared" si="57"/>
        <v>0</v>
      </c>
      <c r="I147" s="96">
        <f t="shared" si="58"/>
        <v>0</v>
      </c>
      <c r="J147" s="219">
        <f t="shared" si="59"/>
        <v>0</v>
      </c>
      <c r="K147" s="220">
        <f t="shared" si="60"/>
        <v>4.1666666666666685E-2</v>
      </c>
      <c r="L147" s="100">
        <f t="shared" si="61"/>
        <v>1</v>
      </c>
      <c r="M147" s="221" t="str">
        <f t="shared" si="67"/>
        <v/>
      </c>
      <c r="N147" s="222">
        <f t="shared" si="62"/>
        <v>1</v>
      </c>
      <c r="O147" s="223">
        <f>IF(N147=0,0,IF(SUM($N$5:N147)&gt;251,1,0))</f>
        <v>0</v>
      </c>
      <c r="P147" s="408">
        <v>18</v>
      </c>
      <c r="Q147" s="409">
        <v>0</v>
      </c>
      <c r="R147" s="224"/>
      <c r="S147" s="411" t="s">
        <v>672</v>
      </c>
      <c r="T147" s="225" t="s">
        <v>697</v>
      </c>
      <c r="U147" s="226" t="s">
        <v>698</v>
      </c>
      <c r="V147" s="413" t="s">
        <v>695</v>
      </c>
      <c r="W147" s="225" t="s">
        <v>697</v>
      </c>
      <c r="X147" s="226" t="s">
        <v>698</v>
      </c>
      <c r="Y147" s="413" t="s">
        <v>696</v>
      </c>
      <c r="Z147" s="225" t="s">
        <v>699</v>
      </c>
      <c r="AA147" s="226" t="s">
        <v>698</v>
      </c>
      <c r="AB147" s="413"/>
      <c r="AC147" s="225">
        <f t="shared" si="73"/>
        <v>0</v>
      </c>
      <c r="AD147" s="226">
        <f t="shared" si="68"/>
        <v>0</v>
      </c>
      <c r="AE147" s="413"/>
      <c r="AF147" s="225">
        <f t="shared" si="74"/>
        <v>0</v>
      </c>
      <c r="AG147" s="226">
        <f t="shared" si="69"/>
        <v>0</v>
      </c>
      <c r="AH147" s="413"/>
      <c r="AI147" s="225">
        <f t="shared" si="75"/>
        <v>0</v>
      </c>
      <c r="AJ147" s="226">
        <f t="shared" si="70"/>
        <v>0</v>
      </c>
      <c r="AK147" s="413"/>
      <c r="AL147" s="225">
        <f t="shared" si="76"/>
        <v>0</v>
      </c>
      <c r="AM147" s="226">
        <f t="shared" si="71"/>
        <v>0</v>
      </c>
      <c r="AN147" s="462" t="str">
        <f t="shared" si="63"/>
        <v/>
      </c>
      <c r="AO147" s="416" t="str">
        <f t="shared" si="64"/>
        <v/>
      </c>
      <c r="AP147" s="416" t="str">
        <f t="shared" si="65"/>
        <v/>
      </c>
      <c r="AQ147" s="416" t="str">
        <f t="shared" si="66"/>
        <v/>
      </c>
      <c r="AR147" s="416" t="str">
        <f t="shared" si="72"/>
        <v/>
      </c>
    </row>
    <row r="148" spans="1:44" ht="14.25">
      <c r="A148" s="830"/>
      <c r="B148" s="99" t="s">
        <v>273</v>
      </c>
      <c r="C148" s="466" t="s">
        <v>187</v>
      </c>
      <c r="D148" s="125" t="s">
        <v>249</v>
      </c>
      <c r="E148" s="126">
        <v>0.375</v>
      </c>
      <c r="F148" s="126">
        <v>0.75</v>
      </c>
      <c r="G148" s="217">
        <f t="shared" si="56"/>
        <v>0.375</v>
      </c>
      <c r="H148" s="218">
        <f t="shared" si="57"/>
        <v>0</v>
      </c>
      <c r="I148" s="96">
        <f t="shared" si="58"/>
        <v>0</v>
      </c>
      <c r="J148" s="219">
        <f t="shared" si="59"/>
        <v>0</v>
      </c>
      <c r="K148" s="220">
        <f t="shared" si="60"/>
        <v>4.1666666666666685E-2</v>
      </c>
      <c r="L148" s="100">
        <f t="shared" si="61"/>
        <v>1</v>
      </c>
      <c r="M148" s="221" t="str">
        <f t="shared" si="67"/>
        <v/>
      </c>
      <c r="N148" s="222">
        <f t="shared" si="62"/>
        <v>1</v>
      </c>
      <c r="O148" s="223">
        <f>IF(N148=0,0,IF(SUM($N$5:N148)&gt;251,1,0))</f>
        <v>0</v>
      </c>
      <c r="P148" s="408">
        <v>20</v>
      </c>
      <c r="Q148" s="409">
        <v>0</v>
      </c>
      <c r="R148" s="224"/>
      <c r="S148" s="411" t="s">
        <v>672</v>
      </c>
      <c r="T148" s="225" t="s">
        <v>697</v>
      </c>
      <c r="U148" s="226" t="s">
        <v>698</v>
      </c>
      <c r="V148" s="413" t="s">
        <v>695</v>
      </c>
      <c r="W148" s="225" t="s">
        <v>697</v>
      </c>
      <c r="X148" s="226" t="s">
        <v>698</v>
      </c>
      <c r="Y148" s="413" t="s">
        <v>696</v>
      </c>
      <c r="Z148" s="225" t="s">
        <v>699</v>
      </c>
      <c r="AA148" s="226" t="s">
        <v>698</v>
      </c>
      <c r="AB148" s="413"/>
      <c r="AC148" s="225">
        <f t="shared" si="73"/>
        <v>0</v>
      </c>
      <c r="AD148" s="226">
        <f t="shared" si="68"/>
        <v>0</v>
      </c>
      <c r="AE148" s="413"/>
      <c r="AF148" s="225">
        <f t="shared" si="74"/>
        <v>0</v>
      </c>
      <c r="AG148" s="226">
        <f t="shared" si="69"/>
        <v>0</v>
      </c>
      <c r="AH148" s="413"/>
      <c r="AI148" s="225">
        <f t="shared" si="75"/>
        <v>0</v>
      </c>
      <c r="AJ148" s="226">
        <f t="shared" si="70"/>
        <v>0</v>
      </c>
      <c r="AK148" s="413"/>
      <c r="AL148" s="225">
        <f t="shared" si="76"/>
        <v>0</v>
      </c>
      <c r="AM148" s="226">
        <f t="shared" si="71"/>
        <v>0</v>
      </c>
      <c r="AN148" s="462" t="str">
        <f t="shared" si="63"/>
        <v/>
      </c>
      <c r="AO148" s="416" t="str">
        <f t="shared" si="64"/>
        <v/>
      </c>
      <c r="AP148" s="416" t="str">
        <f t="shared" si="65"/>
        <v/>
      </c>
      <c r="AQ148" s="416" t="str">
        <f t="shared" si="66"/>
        <v/>
      </c>
      <c r="AR148" s="416" t="str">
        <f t="shared" si="72"/>
        <v/>
      </c>
    </row>
    <row r="149" spans="1:44" ht="14.25">
      <c r="A149" s="830"/>
      <c r="B149" s="99" t="s">
        <v>274</v>
      </c>
      <c r="C149" s="466" t="s">
        <v>183</v>
      </c>
      <c r="D149" s="125" t="s">
        <v>249</v>
      </c>
      <c r="E149" s="126">
        <v>0.375</v>
      </c>
      <c r="F149" s="126">
        <v>0.75</v>
      </c>
      <c r="G149" s="217">
        <f t="shared" si="56"/>
        <v>0.375</v>
      </c>
      <c r="H149" s="218">
        <f t="shared" si="57"/>
        <v>0</v>
      </c>
      <c r="I149" s="96">
        <f t="shared" si="58"/>
        <v>0</v>
      </c>
      <c r="J149" s="219">
        <f t="shared" si="59"/>
        <v>0</v>
      </c>
      <c r="K149" s="220">
        <f t="shared" si="60"/>
        <v>4.1666666666666685E-2</v>
      </c>
      <c r="L149" s="100">
        <f t="shared" si="61"/>
        <v>1</v>
      </c>
      <c r="M149" s="221" t="str">
        <f t="shared" si="67"/>
        <v/>
      </c>
      <c r="N149" s="222">
        <f t="shared" si="62"/>
        <v>1</v>
      </c>
      <c r="O149" s="223">
        <f>IF(N149=0,0,IF(SUM($N$5:N149)&gt;251,1,0))</f>
        <v>0</v>
      </c>
      <c r="P149" s="408">
        <v>20</v>
      </c>
      <c r="Q149" s="409">
        <v>0</v>
      </c>
      <c r="R149" s="224"/>
      <c r="S149" s="411" t="s">
        <v>672</v>
      </c>
      <c r="T149" s="225" t="s">
        <v>697</v>
      </c>
      <c r="U149" s="226" t="s">
        <v>698</v>
      </c>
      <c r="V149" s="413" t="s">
        <v>695</v>
      </c>
      <c r="W149" s="225" t="s">
        <v>697</v>
      </c>
      <c r="X149" s="226" t="s">
        <v>698</v>
      </c>
      <c r="Y149" s="413" t="s">
        <v>696</v>
      </c>
      <c r="Z149" s="225" t="s">
        <v>699</v>
      </c>
      <c r="AA149" s="226" t="s">
        <v>698</v>
      </c>
      <c r="AB149" s="413"/>
      <c r="AC149" s="225">
        <f t="shared" si="73"/>
        <v>0</v>
      </c>
      <c r="AD149" s="226">
        <f t="shared" si="68"/>
        <v>0</v>
      </c>
      <c r="AE149" s="413"/>
      <c r="AF149" s="225">
        <f t="shared" si="74"/>
        <v>0</v>
      </c>
      <c r="AG149" s="226">
        <f t="shared" si="69"/>
        <v>0</v>
      </c>
      <c r="AH149" s="413"/>
      <c r="AI149" s="225">
        <f t="shared" si="75"/>
        <v>0</v>
      </c>
      <c r="AJ149" s="226">
        <f t="shared" si="70"/>
        <v>0</v>
      </c>
      <c r="AK149" s="413"/>
      <c r="AL149" s="225">
        <f t="shared" si="76"/>
        <v>0</v>
      </c>
      <c r="AM149" s="226">
        <f t="shared" si="71"/>
        <v>0</v>
      </c>
      <c r="AN149" s="462" t="str">
        <f t="shared" si="63"/>
        <v/>
      </c>
      <c r="AO149" s="416" t="str">
        <f t="shared" si="64"/>
        <v/>
      </c>
      <c r="AP149" s="416" t="str">
        <f t="shared" si="65"/>
        <v/>
      </c>
      <c r="AQ149" s="416" t="str">
        <f t="shared" si="66"/>
        <v/>
      </c>
      <c r="AR149" s="416" t="str">
        <f t="shared" si="72"/>
        <v/>
      </c>
    </row>
    <row r="150" spans="1:44" ht="14.25">
      <c r="A150" s="830"/>
      <c r="B150" s="99" t="s">
        <v>275</v>
      </c>
      <c r="C150" s="466" t="s">
        <v>184</v>
      </c>
      <c r="D150" s="125" t="s">
        <v>249</v>
      </c>
      <c r="E150" s="126">
        <v>0.375</v>
      </c>
      <c r="F150" s="126">
        <v>0.75</v>
      </c>
      <c r="G150" s="217">
        <f t="shared" si="56"/>
        <v>0.375</v>
      </c>
      <c r="H150" s="218">
        <f t="shared" si="57"/>
        <v>0</v>
      </c>
      <c r="I150" s="96">
        <f t="shared" si="58"/>
        <v>0</v>
      </c>
      <c r="J150" s="219">
        <f t="shared" si="59"/>
        <v>0</v>
      </c>
      <c r="K150" s="220">
        <f t="shared" si="60"/>
        <v>4.1666666666666685E-2</v>
      </c>
      <c r="L150" s="100">
        <f t="shared" si="61"/>
        <v>1</v>
      </c>
      <c r="M150" s="221" t="str">
        <f t="shared" si="67"/>
        <v/>
      </c>
      <c r="N150" s="222">
        <f t="shared" si="62"/>
        <v>1</v>
      </c>
      <c r="O150" s="223">
        <f>IF(N150=0,0,IF(SUM($N$5:N150)&gt;251,1,0))</f>
        <v>0</v>
      </c>
      <c r="P150" s="408">
        <v>20</v>
      </c>
      <c r="Q150" s="409">
        <v>1</v>
      </c>
      <c r="R150" s="224"/>
      <c r="S150" s="411" t="s">
        <v>672</v>
      </c>
      <c r="T150" s="225" t="s">
        <v>697</v>
      </c>
      <c r="U150" s="226" t="s">
        <v>698</v>
      </c>
      <c r="V150" s="413" t="s">
        <v>695</v>
      </c>
      <c r="W150" s="225" t="s">
        <v>697</v>
      </c>
      <c r="X150" s="226" t="s">
        <v>698</v>
      </c>
      <c r="Y150" s="413" t="s">
        <v>696</v>
      </c>
      <c r="Z150" s="225" t="s">
        <v>699</v>
      </c>
      <c r="AA150" s="226" t="s">
        <v>698</v>
      </c>
      <c r="AB150" s="413"/>
      <c r="AC150" s="225">
        <f t="shared" si="73"/>
        <v>0</v>
      </c>
      <c r="AD150" s="226">
        <f t="shared" si="68"/>
        <v>0</v>
      </c>
      <c r="AE150" s="413"/>
      <c r="AF150" s="225">
        <f t="shared" si="74"/>
        <v>0</v>
      </c>
      <c r="AG150" s="226">
        <f t="shared" si="69"/>
        <v>0</v>
      </c>
      <c r="AH150" s="413"/>
      <c r="AI150" s="225">
        <f t="shared" si="75"/>
        <v>0</v>
      </c>
      <c r="AJ150" s="226">
        <f t="shared" si="70"/>
        <v>0</v>
      </c>
      <c r="AK150" s="413"/>
      <c r="AL150" s="225">
        <f t="shared" si="76"/>
        <v>0</v>
      </c>
      <c r="AM150" s="226">
        <f t="shared" si="71"/>
        <v>0</v>
      </c>
      <c r="AN150" s="462" t="str">
        <f t="shared" si="63"/>
        <v/>
      </c>
      <c r="AO150" s="416" t="str">
        <f t="shared" si="64"/>
        <v/>
      </c>
      <c r="AP150" s="416" t="str">
        <f t="shared" si="65"/>
        <v/>
      </c>
      <c r="AQ150" s="416" t="str">
        <f t="shared" si="66"/>
        <v/>
      </c>
      <c r="AR150" s="416" t="str">
        <f t="shared" si="72"/>
        <v/>
      </c>
    </row>
    <row r="151" spans="1:44" ht="14.25">
      <c r="A151" s="830"/>
      <c r="B151" s="99" t="s">
        <v>276</v>
      </c>
      <c r="C151" s="466" t="s">
        <v>185</v>
      </c>
      <c r="D151" s="125" t="s">
        <v>249</v>
      </c>
      <c r="E151" s="126">
        <v>0.375</v>
      </c>
      <c r="F151" s="126">
        <v>0.75</v>
      </c>
      <c r="G151" s="217">
        <f t="shared" si="56"/>
        <v>0.375</v>
      </c>
      <c r="H151" s="218">
        <f t="shared" si="57"/>
        <v>0</v>
      </c>
      <c r="I151" s="96">
        <f t="shared" si="58"/>
        <v>0</v>
      </c>
      <c r="J151" s="219">
        <f t="shared" si="59"/>
        <v>0</v>
      </c>
      <c r="K151" s="220">
        <f t="shared" si="60"/>
        <v>4.1666666666666685E-2</v>
      </c>
      <c r="L151" s="100">
        <f t="shared" si="61"/>
        <v>1</v>
      </c>
      <c r="M151" s="221" t="str">
        <f t="shared" si="67"/>
        <v/>
      </c>
      <c r="N151" s="222">
        <f t="shared" si="62"/>
        <v>1</v>
      </c>
      <c r="O151" s="223">
        <f>IF(N151=0,0,IF(SUM($N$5:N151)&gt;251,1,0))</f>
        <v>0</v>
      </c>
      <c r="P151" s="408">
        <v>20</v>
      </c>
      <c r="Q151" s="409">
        <v>0</v>
      </c>
      <c r="R151" s="224"/>
      <c r="S151" s="411" t="s">
        <v>672</v>
      </c>
      <c r="T151" s="225" t="s">
        <v>697</v>
      </c>
      <c r="U151" s="226" t="s">
        <v>698</v>
      </c>
      <c r="V151" s="413" t="s">
        <v>695</v>
      </c>
      <c r="W151" s="225" t="s">
        <v>697</v>
      </c>
      <c r="X151" s="226" t="s">
        <v>698</v>
      </c>
      <c r="Y151" s="413" t="s">
        <v>696</v>
      </c>
      <c r="Z151" s="225" t="s">
        <v>699</v>
      </c>
      <c r="AA151" s="226" t="s">
        <v>698</v>
      </c>
      <c r="AB151" s="413"/>
      <c r="AC151" s="225">
        <f t="shared" si="73"/>
        <v>0</v>
      </c>
      <c r="AD151" s="226">
        <f t="shared" si="68"/>
        <v>0</v>
      </c>
      <c r="AE151" s="413"/>
      <c r="AF151" s="225">
        <f t="shared" si="74"/>
        <v>0</v>
      </c>
      <c r="AG151" s="226">
        <f t="shared" si="69"/>
        <v>0</v>
      </c>
      <c r="AH151" s="413"/>
      <c r="AI151" s="225">
        <f t="shared" si="75"/>
        <v>0</v>
      </c>
      <c r="AJ151" s="226">
        <f t="shared" si="70"/>
        <v>0</v>
      </c>
      <c r="AK151" s="413"/>
      <c r="AL151" s="225">
        <f t="shared" si="76"/>
        <v>0</v>
      </c>
      <c r="AM151" s="226">
        <f t="shared" si="71"/>
        <v>0</v>
      </c>
      <c r="AN151" s="462" t="str">
        <f t="shared" si="63"/>
        <v/>
      </c>
      <c r="AO151" s="416" t="str">
        <f t="shared" si="64"/>
        <v/>
      </c>
      <c r="AP151" s="416" t="str">
        <f t="shared" si="65"/>
        <v/>
      </c>
      <c r="AQ151" s="416" t="str">
        <f t="shared" si="66"/>
        <v/>
      </c>
      <c r="AR151" s="416" t="str">
        <f t="shared" si="72"/>
        <v/>
      </c>
    </row>
    <row r="152" spans="1:44" ht="14.25">
      <c r="A152" s="830"/>
      <c r="B152" s="99" t="s">
        <v>277</v>
      </c>
      <c r="C152" s="466" t="s">
        <v>186</v>
      </c>
      <c r="D152" s="125" t="s">
        <v>249</v>
      </c>
      <c r="E152" s="126">
        <v>0.375</v>
      </c>
      <c r="F152" s="126">
        <v>0.75</v>
      </c>
      <c r="G152" s="217">
        <f t="shared" si="56"/>
        <v>0.375</v>
      </c>
      <c r="H152" s="218">
        <f t="shared" si="57"/>
        <v>0</v>
      </c>
      <c r="I152" s="96">
        <f t="shared" si="58"/>
        <v>0</v>
      </c>
      <c r="J152" s="219">
        <f t="shared" si="59"/>
        <v>0</v>
      </c>
      <c r="K152" s="220">
        <f t="shared" si="60"/>
        <v>4.1666666666666685E-2</v>
      </c>
      <c r="L152" s="100">
        <f t="shared" si="61"/>
        <v>1</v>
      </c>
      <c r="M152" s="221" t="str">
        <f t="shared" si="67"/>
        <v/>
      </c>
      <c r="N152" s="222">
        <f t="shared" si="62"/>
        <v>1</v>
      </c>
      <c r="O152" s="223">
        <f>IF(N152=0,0,IF(SUM($N$5:N152)&gt;251,1,0))</f>
        <v>0</v>
      </c>
      <c r="P152" s="408">
        <v>2</v>
      </c>
      <c r="Q152" s="409">
        <v>0</v>
      </c>
      <c r="R152" s="224"/>
      <c r="S152" s="411" t="s">
        <v>672</v>
      </c>
      <c r="T152" s="225" t="s">
        <v>697</v>
      </c>
      <c r="U152" s="226" t="s">
        <v>698</v>
      </c>
      <c r="V152" s="413" t="s">
        <v>695</v>
      </c>
      <c r="W152" s="225" t="s">
        <v>697</v>
      </c>
      <c r="X152" s="226" t="s">
        <v>698</v>
      </c>
      <c r="Y152" s="413" t="s">
        <v>696</v>
      </c>
      <c r="Z152" s="225" t="s">
        <v>699</v>
      </c>
      <c r="AA152" s="226" t="s">
        <v>698</v>
      </c>
      <c r="AB152" s="413"/>
      <c r="AC152" s="225">
        <f t="shared" si="73"/>
        <v>0</v>
      </c>
      <c r="AD152" s="226">
        <f t="shared" si="68"/>
        <v>0</v>
      </c>
      <c r="AE152" s="413"/>
      <c r="AF152" s="225">
        <f t="shared" si="74"/>
        <v>0</v>
      </c>
      <c r="AG152" s="226">
        <f t="shared" si="69"/>
        <v>0</v>
      </c>
      <c r="AH152" s="413"/>
      <c r="AI152" s="225">
        <f t="shared" si="75"/>
        <v>0</v>
      </c>
      <c r="AJ152" s="226">
        <f t="shared" si="70"/>
        <v>0</v>
      </c>
      <c r="AK152" s="413"/>
      <c r="AL152" s="225">
        <f t="shared" si="76"/>
        <v>0</v>
      </c>
      <c r="AM152" s="226">
        <f t="shared" si="71"/>
        <v>0</v>
      </c>
      <c r="AN152" s="462" t="str">
        <f t="shared" si="63"/>
        <v/>
      </c>
      <c r="AO152" s="416" t="str">
        <f t="shared" si="64"/>
        <v/>
      </c>
      <c r="AP152" s="416" t="str">
        <f t="shared" si="65"/>
        <v/>
      </c>
      <c r="AQ152" s="416" t="str">
        <f t="shared" si="66"/>
        <v/>
      </c>
      <c r="AR152" s="416" t="str">
        <f t="shared" si="72"/>
        <v/>
      </c>
    </row>
    <row r="153" spans="1:44" ht="14.25">
      <c r="A153" s="830"/>
      <c r="B153" s="99" t="s">
        <v>278</v>
      </c>
      <c r="C153" s="466" t="s">
        <v>262</v>
      </c>
      <c r="D153" s="125" t="s">
        <v>251</v>
      </c>
      <c r="E153" s="126"/>
      <c r="F153" s="126"/>
      <c r="G153" s="217">
        <f t="shared" si="56"/>
        <v>0</v>
      </c>
      <c r="H153" s="218">
        <f t="shared" si="57"/>
        <v>0</v>
      </c>
      <c r="I153" s="96">
        <f t="shared" si="58"/>
        <v>0</v>
      </c>
      <c r="J153" s="219">
        <f t="shared" si="59"/>
        <v>0</v>
      </c>
      <c r="K153" s="220">
        <f t="shared" si="60"/>
        <v>0</v>
      </c>
      <c r="L153" s="100">
        <f t="shared" si="61"/>
        <v>0</v>
      </c>
      <c r="M153" s="221" t="str">
        <f t="shared" si="67"/>
        <v/>
      </c>
      <c r="N153" s="222">
        <f t="shared" si="62"/>
        <v>0</v>
      </c>
      <c r="O153" s="223">
        <f>IF(N153=0,0,IF(SUM($N$5:N153)&gt;251,1,0))</f>
        <v>0</v>
      </c>
      <c r="P153" s="408"/>
      <c r="Q153" s="409"/>
      <c r="R153" s="224"/>
      <c r="S153" s="411"/>
      <c r="T153" s="225">
        <f t="shared" si="77"/>
        <v>0</v>
      </c>
      <c r="U153" s="226">
        <f t="shared" si="78"/>
        <v>0</v>
      </c>
      <c r="V153" s="413"/>
      <c r="W153" s="225">
        <f t="shared" si="79"/>
        <v>0</v>
      </c>
      <c r="X153" s="226">
        <f t="shared" si="80"/>
        <v>0</v>
      </c>
      <c r="Y153" s="413"/>
      <c r="Z153" s="225">
        <f t="shared" si="81"/>
        <v>0</v>
      </c>
      <c r="AA153" s="226">
        <f t="shared" si="82"/>
        <v>0</v>
      </c>
      <c r="AB153" s="413"/>
      <c r="AC153" s="225">
        <f t="shared" si="73"/>
        <v>0</v>
      </c>
      <c r="AD153" s="226">
        <f t="shared" si="68"/>
        <v>0</v>
      </c>
      <c r="AE153" s="413"/>
      <c r="AF153" s="225">
        <f t="shared" si="74"/>
        <v>0</v>
      </c>
      <c r="AG153" s="226">
        <f t="shared" si="69"/>
        <v>0</v>
      </c>
      <c r="AH153" s="413"/>
      <c r="AI153" s="225">
        <f t="shared" si="75"/>
        <v>0</v>
      </c>
      <c r="AJ153" s="226">
        <f t="shared" si="70"/>
        <v>0</v>
      </c>
      <c r="AK153" s="413"/>
      <c r="AL153" s="225">
        <f t="shared" si="76"/>
        <v>0</v>
      </c>
      <c r="AM153" s="226">
        <f t="shared" si="71"/>
        <v>0</v>
      </c>
      <c r="AN153" s="462" t="str">
        <f t="shared" si="63"/>
        <v/>
      </c>
      <c r="AO153" s="416" t="str">
        <f t="shared" si="64"/>
        <v/>
      </c>
      <c r="AP153" s="416" t="str">
        <f t="shared" si="65"/>
        <v/>
      </c>
      <c r="AQ153" s="416" t="str">
        <f t="shared" si="66"/>
        <v/>
      </c>
      <c r="AR153" s="416" t="str">
        <f t="shared" si="72"/>
        <v/>
      </c>
    </row>
    <row r="154" spans="1:44" ht="14.25">
      <c r="A154" s="830"/>
      <c r="B154" s="99" t="s">
        <v>279</v>
      </c>
      <c r="C154" s="466" t="s">
        <v>182</v>
      </c>
      <c r="D154" s="125" t="s">
        <v>24</v>
      </c>
      <c r="E154" s="126">
        <v>0.58333333333333337</v>
      </c>
      <c r="F154" s="126">
        <v>0.79166666666666663</v>
      </c>
      <c r="G154" s="217">
        <f t="shared" si="56"/>
        <v>0.20833333333333326</v>
      </c>
      <c r="H154" s="218">
        <f t="shared" si="57"/>
        <v>0</v>
      </c>
      <c r="I154" s="96">
        <f t="shared" si="58"/>
        <v>0</v>
      </c>
      <c r="J154" s="219">
        <f t="shared" si="59"/>
        <v>0</v>
      </c>
      <c r="K154" s="220">
        <f t="shared" si="60"/>
        <v>0</v>
      </c>
      <c r="L154" s="100">
        <f t="shared" si="61"/>
        <v>0</v>
      </c>
      <c r="M154" s="221" t="str">
        <f t="shared" si="67"/>
        <v/>
      </c>
      <c r="N154" s="222">
        <f t="shared" si="62"/>
        <v>0</v>
      </c>
      <c r="O154" s="223">
        <f>IF(N154=0,0,IF(SUM($N$5:N154)&gt;251,1,0))</f>
        <v>0</v>
      </c>
      <c r="P154" s="408">
        <v>25</v>
      </c>
      <c r="Q154" s="409">
        <v>1</v>
      </c>
      <c r="R154" s="224"/>
      <c r="S154" s="411" t="s">
        <v>672</v>
      </c>
      <c r="T154" s="225" t="s">
        <v>697</v>
      </c>
      <c r="U154" s="226" t="s">
        <v>698</v>
      </c>
      <c r="V154" s="413" t="s">
        <v>695</v>
      </c>
      <c r="W154" s="225" t="s">
        <v>697</v>
      </c>
      <c r="X154" s="226" t="s">
        <v>698</v>
      </c>
      <c r="Y154" s="413" t="s">
        <v>696</v>
      </c>
      <c r="Z154" s="225" t="s">
        <v>699</v>
      </c>
      <c r="AA154" s="226" t="s">
        <v>698</v>
      </c>
      <c r="AB154" s="413"/>
      <c r="AC154" s="225">
        <f t="shared" si="73"/>
        <v>0</v>
      </c>
      <c r="AD154" s="226">
        <f t="shared" si="68"/>
        <v>0</v>
      </c>
      <c r="AE154" s="413"/>
      <c r="AF154" s="225">
        <f t="shared" si="74"/>
        <v>0</v>
      </c>
      <c r="AG154" s="226">
        <f t="shared" si="69"/>
        <v>0</v>
      </c>
      <c r="AH154" s="413"/>
      <c r="AI154" s="225">
        <f t="shared" si="75"/>
        <v>0</v>
      </c>
      <c r="AJ154" s="226">
        <f t="shared" si="70"/>
        <v>0</v>
      </c>
      <c r="AK154" s="413"/>
      <c r="AL154" s="225">
        <f t="shared" si="76"/>
        <v>0</v>
      </c>
      <c r="AM154" s="226">
        <f t="shared" si="71"/>
        <v>0</v>
      </c>
      <c r="AN154" s="462" t="str">
        <f t="shared" si="63"/>
        <v/>
      </c>
      <c r="AO154" s="416" t="str">
        <f t="shared" si="64"/>
        <v/>
      </c>
      <c r="AP154" s="416" t="str">
        <f t="shared" si="65"/>
        <v/>
      </c>
      <c r="AQ154" s="416" t="str">
        <f t="shared" si="66"/>
        <v/>
      </c>
      <c r="AR154" s="416" t="str">
        <f t="shared" si="72"/>
        <v/>
      </c>
    </row>
    <row r="155" spans="1:44" ht="14.25">
      <c r="A155" s="830"/>
      <c r="B155" s="99" t="s">
        <v>280</v>
      </c>
      <c r="C155" s="466" t="s">
        <v>187</v>
      </c>
      <c r="D155" s="125" t="s">
        <v>24</v>
      </c>
      <c r="E155" s="126">
        <v>0.58333333333333337</v>
      </c>
      <c r="F155" s="126">
        <v>0.79166666666666663</v>
      </c>
      <c r="G155" s="217">
        <f t="shared" si="56"/>
        <v>0.20833333333333326</v>
      </c>
      <c r="H155" s="218">
        <f t="shared" si="57"/>
        <v>0</v>
      </c>
      <c r="I155" s="96">
        <f t="shared" si="58"/>
        <v>0</v>
      </c>
      <c r="J155" s="219">
        <f t="shared" si="59"/>
        <v>0</v>
      </c>
      <c r="K155" s="220">
        <f t="shared" si="60"/>
        <v>0</v>
      </c>
      <c r="L155" s="100">
        <f t="shared" si="61"/>
        <v>0</v>
      </c>
      <c r="M155" s="221" t="str">
        <f t="shared" si="67"/>
        <v/>
      </c>
      <c r="N155" s="222">
        <f t="shared" si="62"/>
        <v>0</v>
      </c>
      <c r="O155" s="223">
        <f>IF(N155=0,0,IF(SUM($N$5:N155)&gt;251,1,0))</f>
        <v>0</v>
      </c>
      <c r="P155" s="408">
        <v>20</v>
      </c>
      <c r="Q155" s="409">
        <v>1</v>
      </c>
      <c r="R155" s="224"/>
      <c r="S155" s="411" t="s">
        <v>672</v>
      </c>
      <c r="T155" s="225" t="s">
        <v>697</v>
      </c>
      <c r="U155" s="226" t="s">
        <v>698</v>
      </c>
      <c r="V155" s="413" t="s">
        <v>695</v>
      </c>
      <c r="W155" s="225" t="s">
        <v>697</v>
      </c>
      <c r="X155" s="226" t="s">
        <v>698</v>
      </c>
      <c r="Y155" s="413" t="s">
        <v>696</v>
      </c>
      <c r="Z155" s="225" t="s">
        <v>699</v>
      </c>
      <c r="AA155" s="226" t="s">
        <v>698</v>
      </c>
      <c r="AB155" s="413"/>
      <c r="AC155" s="225">
        <f t="shared" si="73"/>
        <v>0</v>
      </c>
      <c r="AD155" s="226">
        <f t="shared" si="68"/>
        <v>0</v>
      </c>
      <c r="AE155" s="413"/>
      <c r="AF155" s="225">
        <f t="shared" si="74"/>
        <v>0</v>
      </c>
      <c r="AG155" s="226">
        <f t="shared" si="69"/>
        <v>0</v>
      </c>
      <c r="AH155" s="413"/>
      <c r="AI155" s="225">
        <f t="shared" si="75"/>
        <v>0</v>
      </c>
      <c r="AJ155" s="226">
        <f t="shared" si="70"/>
        <v>0</v>
      </c>
      <c r="AK155" s="413"/>
      <c r="AL155" s="225">
        <f t="shared" si="76"/>
        <v>0</v>
      </c>
      <c r="AM155" s="226">
        <f t="shared" si="71"/>
        <v>0</v>
      </c>
      <c r="AN155" s="462" t="str">
        <f t="shared" si="63"/>
        <v/>
      </c>
      <c r="AO155" s="416" t="str">
        <f t="shared" si="64"/>
        <v/>
      </c>
      <c r="AP155" s="416" t="str">
        <f t="shared" si="65"/>
        <v/>
      </c>
      <c r="AQ155" s="416" t="str">
        <f t="shared" si="66"/>
        <v/>
      </c>
      <c r="AR155" s="416" t="str">
        <f t="shared" si="72"/>
        <v/>
      </c>
    </row>
    <row r="156" spans="1:44" ht="14.25">
      <c r="A156" s="830"/>
      <c r="B156" s="99" t="s">
        <v>281</v>
      </c>
      <c r="C156" s="466" t="s">
        <v>183</v>
      </c>
      <c r="D156" s="125" t="s">
        <v>24</v>
      </c>
      <c r="E156" s="126">
        <v>0.58333333333333337</v>
      </c>
      <c r="F156" s="126">
        <v>0.79166666666666663</v>
      </c>
      <c r="G156" s="217">
        <f t="shared" si="56"/>
        <v>0.20833333333333326</v>
      </c>
      <c r="H156" s="218">
        <f t="shared" si="57"/>
        <v>0</v>
      </c>
      <c r="I156" s="96">
        <f t="shared" si="58"/>
        <v>0</v>
      </c>
      <c r="J156" s="219">
        <f t="shared" si="59"/>
        <v>0</v>
      </c>
      <c r="K156" s="220">
        <f t="shared" si="60"/>
        <v>0</v>
      </c>
      <c r="L156" s="100">
        <f t="shared" si="61"/>
        <v>0</v>
      </c>
      <c r="M156" s="221" t="str">
        <f t="shared" si="67"/>
        <v/>
      </c>
      <c r="N156" s="222">
        <f t="shared" si="62"/>
        <v>0</v>
      </c>
      <c r="O156" s="223">
        <f>IF(N156=0,0,IF(SUM($N$5:N156)&gt;251,1,0))</f>
        <v>0</v>
      </c>
      <c r="P156" s="408">
        <v>26</v>
      </c>
      <c r="Q156" s="409">
        <v>1</v>
      </c>
      <c r="R156" s="224"/>
      <c r="S156" s="411" t="s">
        <v>672</v>
      </c>
      <c r="T156" s="225" t="s">
        <v>697</v>
      </c>
      <c r="U156" s="226" t="s">
        <v>698</v>
      </c>
      <c r="V156" s="413" t="s">
        <v>695</v>
      </c>
      <c r="W156" s="225" t="s">
        <v>697</v>
      </c>
      <c r="X156" s="226" t="s">
        <v>698</v>
      </c>
      <c r="Y156" s="413" t="s">
        <v>696</v>
      </c>
      <c r="Z156" s="225" t="s">
        <v>699</v>
      </c>
      <c r="AA156" s="226" t="s">
        <v>698</v>
      </c>
      <c r="AB156" s="413"/>
      <c r="AC156" s="225">
        <f t="shared" si="73"/>
        <v>0</v>
      </c>
      <c r="AD156" s="226">
        <f t="shared" si="68"/>
        <v>0</v>
      </c>
      <c r="AE156" s="413"/>
      <c r="AF156" s="225">
        <f t="shared" si="74"/>
        <v>0</v>
      </c>
      <c r="AG156" s="226">
        <f t="shared" si="69"/>
        <v>0</v>
      </c>
      <c r="AH156" s="413"/>
      <c r="AI156" s="225">
        <f t="shared" si="75"/>
        <v>0</v>
      </c>
      <c r="AJ156" s="226">
        <f t="shared" si="70"/>
        <v>0</v>
      </c>
      <c r="AK156" s="413"/>
      <c r="AL156" s="225">
        <f t="shared" si="76"/>
        <v>0</v>
      </c>
      <c r="AM156" s="226">
        <f t="shared" si="71"/>
        <v>0</v>
      </c>
      <c r="AN156" s="462" t="str">
        <f t="shared" si="63"/>
        <v/>
      </c>
      <c r="AO156" s="416" t="str">
        <f t="shared" si="64"/>
        <v/>
      </c>
      <c r="AP156" s="416" t="str">
        <f t="shared" si="65"/>
        <v/>
      </c>
      <c r="AQ156" s="416" t="str">
        <f t="shared" si="66"/>
        <v/>
      </c>
      <c r="AR156" s="416" t="str">
        <f t="shared" si="72"/>
        <v/>
      </c>
    </row>
    <row r="157" spans="1:44" ht="15" thickBot="1">
      <c r="A157" s="831"/>
      <c r="B157" s="101" t="s">
        <v>292</v>
      </c>
      <c r="C157" s="102" t="s">
        <v>184</v>
      </c>
      <c r="D157" s="125" t="s">
        <v>24</v>
      </c>
      <c r="E157" s="126">
        <v>0.58333333333333337</v>
      </c>
      <c r="F157" s="126">
        <v>0.79166666666666663</v>
      </c>
      <c r="G157" s="227">
        <f t="shared" si="56"/>
        <v>0.20833333333333326</v>
      </c>
      <c r="H157" s="228">
        <f t="shared" si="57"/>
        <v>0</v>
      </c>
      <c r="I157" s="103">
        <f t="shared" si="58"/>
        <v>0</v>
      </c>
      <c r="J157" s="229">
        <f t="shared" si="59"/>
        <v>0</v>
      </c>
      <c r="K157" s="230">
        <f t="shared" si="60"/>
        <v>0</v>
      </c>
      <c r="L157" s="104">
        <f t="shared" si="61"/>
        <v>0</v>
      </c>
      <c r="M157" s="231" t="str">
        <f t="shared" si="67"/>
        <v/>
      </c>
      <c r="N157" s="232">
        <f t="shared" si="62"/>
        <v>0</v>
      </c>
      <c r="O157" s="233">
        <f>IF(N157=0,0,IF(SUM($N$5:N157)&gt;251,1,0))</f>
        <v>0</v>
      </c>
      <c r="P157" s="408">
        <v>25</v>
      </c>
      <c r="Q157" s="409">
        <v>0</v>
      </c>
      <c r="R157" s="236">
        <f>SUM(P127:P157)</f>
        <v>478</v>
      </c>
      <c r="S157" s="411" t="s">
        <v>672</v>
      </c>
      <c r="T157" s="225" t="s">
        <v>697</v>
      </c>
      <c r="U157" s="235" t="s">
        <v>698</v>
      </c>
      <c r="V157" s="414" t="s">
        <v>695</v>
      </c>
      <c r="W157" s="225" t="s">
        <v>697</v>
      </c>
      <c r="X157" s="235" t="s">
        <v>698</v>
      </c>
      <c r="Y157" s="414" t="s">
        <v>696</v>
      </c>
      <c r="Z157" s="225" t="s">
        <v>699</v>
      </c>
      <c r="AA157" s="235" t="s">
        <v>698</v>
      </c>
      <c r="AB157" s="414"/>
      <c r="AC157" s="225">
        <f t="shared" si="73"/>
        <v>0</v>
      </c>
      <c r="AD157" s="235">
        <f t="shared" si="68"/>
        <v>0</v>
      </c>
      <c r="AE157" s="414"/>
      <c r="AF157" s="225">
        <f t="shared" si="74"/>
        <v>0</v>
      </c>
      <c r="AG157" s="235">
        <f t="shared" si="69"/>
        <v>0</v>
      </c>
      <c r="AH157" s="414"/>
      <c r="AI157" s="225">
        <f t="shared" si="75"/>
        <v>0</v>
      </c>
      <c r="AJ157" s="235">
        <f t="shared" si="70"/>
        <v>0</v>
      </c>
      <c r="AK157" s="414"/>
      <c r="AL157" s="225">
        <f t="shared" si="76"/>
        <v>0</v>
      </c>
      <c r="AM157" s="235">
        <f t="shared" si="71"/>
        <v>0</v>
      </c>
      <c r="AN157" s="463" t="str">
        <f t="shared" si="63"/>
        <v/>
      </c>
      <c r="AO157" s="417" t="str">
        <f t="shared" si="64"/>
        <v/>
      </c>
      <c r="AP157" s="417" t="str">
        <f t="shared" si="65"/>
        <v/>
      </c>
      <c r="AQ157" s="417" t="str">
        <f t="shared" si="66"/>
        <v/>
      </c>
      <c r="AR157" s="416" t="str">
        <f t="shared" si="72"/>
        <v/>
      </c>
    </row>
    <row r="158" spans="1:44" ht="14.25">
      <c r="A158" s="829" t="s">
        <v>285</v>
      </c>
      <c r="B158" s="467" t="s">
        <v>248</v>
      </c>
      <c r="C158" s="468" t="s">
        <v>185</v>
      </c>
      <c r="D158" s="125" t="s">
        <v>24</v>
      </c>
      <c r="E158" s="126">
        <v>0.58333333333333337</v>
      </c>
      <c r="F158" s="126">
        <v>0.79166666666666663</v>
      </c>
      <c r="G158" s="207">
        <f t="shared" si="56"/>
        <v>0.20833333333333326</v>
      </c>
      <c r="H158" s="208">
        <f t="shared" si="57"/>
        <v>0</v>
      </c>
      <c r="I158" s="95">
        <f t="shared" si="58"/>
        <v>0</v>
      </c>
      <c r="J158" s="209">
        <f t="shared" si="59"/>
        <v>0</v>
      </c>
      <c r="K158" s="210">
        <f t="shared" si="60"/>
        <v>0</v>
      </c>
      <c r="L158" s="97">
        <f t="shared" si="61"/>
        <v>0</v>
      </c>
      <c r="M158" s="211" t="str">
        <f t="shared" si="67"/>
        <v/>
      </c>
      <c r="N158" s="212">
        <f t="shared" si="62"/>
        <v>0</v>
      </c>
      <c r="O158" s="213">
        <f>IF(N158=0,0,IF(SUM($N$5:N158)&gt;251,1,0))</f>
        <v>0</v>
      </c>
      <c r="P158" s="408">
        <v>27</v>
      </c>
      <c r="Q158" s="409">
        <v>1</v>
      </c>
      <c r="R158" s="214"/>
      <c r="S158" s="411" t="s">
        <v>672</v>
      </c>
      <c r="T158" s="225" t="s">
        <v>697</v>
      </c>
      <c r="U158" s="216" t="s">
        <v>698</v>
      </c>
      <c r="V158" s="412" t="s">
        <v>695</v>
      </c>
      <c r="W158" s="225" t="s">
        <v>697</v>
      </c>
      <c r="X158" s="216" t="s">
        <v>698</v>
      </c>
      <c r="Y158" s="412" t="s">
        <v>696</v>
      </c>
      <c r="Z158" s="225" t="s">
        <v>699</v>
      </c>
      <c r="AA158" s="216" t="s">
        <v>698</v>
      </c>
      <c r="AB158" s="412"/>
      <c r="AC158" s="225">
        <f t="shared" si="73"/>
        <v>0</v>
      </c>
      <c r="AD158" s="216">
        <f t="shared" si="68"/>
        <v>0</v>
      </c>
      <c r="AE158" s="412"/>
      <c r="AF158" s="225">
        <f t="shared" si="74"/>
        <v>0</v>
      </c>
      <c r="AG158" s="216">
        <f t="shared" si="69"/>
        <v>0</v>
      </c>
      <c r="AH158" s="412"/>
      <c r="AI158" s="225">
        <f t="shared" si="75"/>
        <v>0</v>
      </c>
      <c r="AJ158" s="216">
        <f t="shared" si="70"/>
        <v>0</v>
      </c>
      <c r="AK158" s="412"/>
      <c r="AL158" s="225">
        <f t="shared" si="76"/>
        <v>0</v>
      </c>
      <c r="AM158" s="216">
        <f t="shared" si="71"/>
        <v>0</v>
      </c>
      <c r="AN158" s="461" t="str">
        <f t="shared" si="63"/>
        <v/>
      </c>
      <c r="AO158" s="418" t="str">
        <f t="shared" si="64"/>
        <v/>
      </c>
      <c r="AP158" s="418" t="str">
        <f t="shared" si="65"/>
        <v/>
      </c>
      <c r="AQ158" s="415" t="str">
        <f t="shared" si="66"/>
        <v/>
      </c>
      <c r="AR158" s="416" t="str">
        <f t="shared" si="72"/>
        <v/>
      </c>
    </row>
    <row r="159" spans="1:44" ht="14.25">
      <c r="A159" s="830"/>
      <c r="B159" s="99" t="s">
        <v>250</v>
      </c>
      <c r="C159" s="466" t="s">
        <v>186</v>
      </c>
      <c r="D159" s="125" t="s">
        <v>249</v>
      </c>
      <c r="E159" s="126">
        <v>0.375</v>
      </c>
      <c r="F159" s="126">
        <v>0.75</v>
      </c>
      <c r="G159" s="217">
        <f t="shared" si="56"/>
        <v>0.375</v>
      </c>
      <c r="H159" s="218">
        <f t="shared" si="57"/>
        <v>0</v>
      </c>
      <c r="I159" s="96">
        <f t="shared" si="58"/>
        <v>0</v>
      </c>
      <c r="J159" s="219">
        <f t="shared" si="59"/>
        <v>0</v>
      </c>
      <c r="K159" s="220">
        <f t="shared" si="60"/>
        <v>4.1666666666666685E-2</v>
      </c>
      <c r="L159" s="100">
        <f t="shared" si="61"/>
        <v>1</v>
      </c>
      <c r="M159" s="221" t="str">
        <f t="shared" si="67"/>
        <v/>
      </c>
      <c r="N159" s="222">
        <f t="shared" si="62"/>
        <v>1</v>
      </c>
      <c r="O159" s="223">
        <f>IF(N159=0,0,IF(SUM($N$5:N159)&gt;251,1,0))</f>
        <v>0</v>
      </c>
      <c r="P159" s="408">
        <v>5</v>
      </c>
      <c r="Q159" s="409">
        <v>0</v>
      </c>
      <c r="R159" s="224"/>
      <c r="S159" s="411" t="s">
        <v>672</v>
      </c>
      <c r="T159" s="225" t="s">
        <v>697</v>
      </c>
      <c r="U159" s="226" t="s">
        <v>698</v>
      </c>
      <c r="V159" s="413" t="s">
        <v>695</v>
      </c>
      <c r="W159" s="225" t="s">
        <v>697</v>
      </c>
      <c r="X159" s="226" t="s">
        <v>698</v>
      </c>
      <c r="Y159" s="413" t="s">
        <v>696</v>
      </c>
      <c r="Z159" s="225" t="s">
        <v>699</v>
      </c>
      <c r="AA159" s="226" t="s">
        <v>698</v>
      </c>
      <c r="AB159" s="413"/>
      <c r="AC159" s="225">
        <f t="shared" si="73"/>
        <v>0</v>
      </c>
      <c r="AD159" s="226">
        <f t="shared" si="68"/>
        <v>0</v>
      </c>
      <c r="AE159" s="413"/>
      <c r="AF159" s="225">
        <f t="shared" si="74"/>
        <v>0</v>
      </c>
      <c r="AG159" s="226">
        <f t="shared" si="69"/>
        <v>0</v>
      </c>
      <c r="AH159" s="413"/>
      <c r="AI159" s="225">
        <f t="shared" si="75"/>
        <v>0</v>
      </c>
      <c r="AJ159" s="226">
        <f t="shared" si="70"/>
        <v>0</v>
      </c>
      <c r="AK159" s="413"/>
      <c r="AL159" s="225">
        <f t="shared" si="76"/>
        <v>0</v>
      </c>
      <c r="AM159" s="226">
        <f t="shared" si="71"/>
        <v>0</v>
      </c>
      <c r="AN159" s="462" t="str">
        <f t="shared" si="63"/>
        <v/>
      </c>
      <c r="AO159" s="416" t="str">
        <f t="shared" si="64"/>
        <v/>
      </c>
      <c r="AP159" s="416" t="str">
        <f t="shared" si="65"/>
        <v/>
      </c>
      <c r="AQ159" s="416" t="str">
        <f t="shared" si="66"/>
        <v/>
      </c>
      <c r="AR159" s="416" t="str">
        <f t="shared" si="72"/>
        <v/>
      </c>
    </row>
    <row r="160" spans="1:44" ht="14.25">
      <c r="A160" s="830"/>
      <c r="B160" s="99" t="s">
        <v>252</v>
      </c>
      <c r="C160" s="466" t="s">
        <v>262</v>
      </c>
      <c r="D160" s="125" t="s">
        <v>251</v>
      </c>
      <c r="E160" s="126"/>
      <c r="F160" s="126"/>
      <c r="G160" s="217">
        <f t="shared" si="56"/>
        <v>0</v>
      </c>
      <c r="H160" s="218">
        <f t="shared" si="57"/>
        <v>0</v>
      </c>
      <c r="I160" s="96">
        <f t="shared" si="58"/>
        <v>0</v>
      </c>
      <c r="J160" s="219">
        <f t="shared" si="59"/>
        <v>0</v>
      </c>
      <c r="K160" s="220">
        <f t="shared" si="60"/>
        <v>0</v>
      </c>
      <c r="L160" s="100">
        <f t="shared" si="61"/>
        <v>0</v>
      </c>
      <c r="M160" s="221" t="str">
        <f t="shared" si="67"/>
        <v/>
      </c>
      <c r="N160" s="222">
        <f t="shared" si="62"/>
        <v>0</v>
      </c>
      <c r="O160" s="223">
        <f>IF(N160=0,0,IF(SUM($N$5:N160)&gt;251,1,0))</f>
        <v>0</v>
      </c>
      <c r="P160" s="408"/>
      <c r="Q160" s="409"/>
      <c r="R160" s="224"/>
      <c r="S160" s="411"/>
      <c r="T160" s="225">
        <f t="shared" si="77"/>
        <v>0</v>
      </c>
      <c r="U160" s="226">
        <f t="shared" si="78"/>
        <v>0</v>
      </c>
      <c r="V160" s="413"/>
      <c r="W160" s="225">
        <f t="shared" si="79"/>
        <v>0</v>
      </c>
      <c r="X160" s="226">
        <f t="shared" si="80"/>
        <v>0</v>
      </c>
      <c r="Y160" s="413"/>
      <c r="Z160" s="225">
        <f t="shared" si="81"/>
        <v>0</v>
      </c>
      <c r="AA160" s="226">
        <f t="shared" si="82"/>
        <v>0</v>
      </c>
      <c r="AB160" s="413"/>
      <c r="AC160" s="225">
        <f t="shared" si="73"/>
        <v>0</v>
      </c>
      <c r="AD160" s="226">
        <f t="shared" si="68"/>
        <v>0</v>
      </c>
      <c r="AE160" s="413"/>
      <c r="AF160" s="225">
        <f t="shared" si="74"/>
        <v>0</v>
      </c>
      <c r="AG160" s="226">
        <f t="shared" si="69"/>
        <v>0</v>
      </c>
      <c r="AH160" s="413"/>
      <c r="AI160" s="225">
        <f t="shared" si="75"/>
        <v>0</v>
      </c>
      <c r="AJ160" s="226">
        <f t="shared" si="70"/>
        <v>0</v>
      </c>
      <c r="AK160" s="413"/>
      <c r="AL160" s="225">
        <f t="shared" si="76"/>
        <v>0</v>
      </c>
      <c r="AM160" s="226">
        <f t="shared" si="71"/>
        <v>0</v>
      </c>
      <c r="AN160" s="462" t="str">
        <f t="shared" si="63"/>
        <v/>
      </c>
      <c r="AO160" s="416" t="str">
        <f t="shared" si="64"/>
        <v/>
      </c>
      <c r="AP160" s="416" t="str">
        <f t="shared" si="65"/>
        <v/>
      </c>
      <c r="AQ160" s="416" t="str">
        <f t="shared" si="66"/>
        <v/>
      </c>
      <c r="AR160" s="416" t="str">
        <f t="shared" si="72"/>
        <v/>
      </c>
    </row>
    <row r="161" spans="1:44" ht="14.25">
      <c r="A161" s="830"/>
      <c r="B161" s="99" t="s">
        <v>254</v>
      </c>
      <c r="C161" s="466" t="s">
        <v>182</v>
      </c>
      <c r="D161" s="125" t="s">
        <v>24</v>
      </c>
      <c r="E161" s="126">
        <v>0.58333333333333337</v>
      </c>
      <c r="F161" s="126">
        <v>0.79166666666666663</v>
      </c>
      <c r="G161" s="217">
        <f t="shared" si="56"/>
        <v>0.20833333333333326</v>
      </c>
      <c r="H161" s="218">
        <f t="shared" si="57"/>
        <v>0</v>
      </c>
      <c r="I161" s="96">
        <f t="shared" si="58"/>
        <v>0</v>
      </c>
      <c r="J161" s="219">
        <f t="shared" si="59"/>
        <v>0</v>
      </c>
      <c r="K161" s="220">
        <f t="shared" si="60"/>
        <v>0</v>
      </c>
      <c r="L161" s="100">
        <f t="shared" si="61"/>
        <v>0</v>
      </c>
      <c r="M161" s="221" t="str">
        <f t="shared" si="67"/>
        <v/>
      </c>
      <c r="N161" s="222">
        <f t="shared" si="62"/>
        <v>0</v>
      </c>
      <c r="O161" s="223">
        <f>IF(N161=0,0,IF(SUM($N$5:N161)&gt;251,1,0))</f>
        <v>0</v>
      </c>
      <c r="P161" s="408">
        <v>26</v>
      </c>
      <c r="Q161" s="409">
        <v>0</v>
      </c>
      <c r="R161" s="224"/>
      <c r="S161" s="411" t="s">
        <v>672</v>
      </c>
      <c r="T161" s="225" t="s">
        <v>697</v>
      </c>
      <c r="U161" s="226" t="s">
        <v>698</v>
      </c>
      <c r="V161" s="413" t="s">
        <v>695</v>
      </c>
      <c r="W161" s="225" t="s">
        <v>697</v>
      </c>
      <c r="X161" s="226" t="s">
        <v>698</v>
      </c>
      <c r="Y161" s="413" t="s">
        <v>696</v>
      </c>
      <c r="Z161" s="225" t="s">
        <v>699</v>
      </c>
      <c r="AA161" s="226" t="s">
        <v>698</v>
      </c>
      <c r="AB161" s="413"/>
      <c r="AC161" s="225">
        <f t="shared" si="73"/>
        <v>0</v>
      </c>
      <c r="AD161" s="226">
        <f t="shared" si="68"/>
        <v>0</v>
      </c>
      <c r="AE161" s="413"/>
      <c r="AF161" s="225">
        <f t="shared" si="74"/>
        <v>0</v>
      </c>
      <c r="AG161" s="226">
        <f t="shared" si="69"/>
        <v>0</v>
      </c>
      <c r="AH161" s="413"/>
      <c r="AI161" s="225">
        <f t="shared" si="75"/>
        <v>0</v>
      </c>
      <c r="AJ161" s="226">
        <f t="shared" si="70"/>
        <v>0</v>
      </c>
      <c r="AK161" s="413"/>
      <c r="AL161" s="225">
        <f t="shared" si="76"/>
        <v>0</v>
      </c>
      <c r="AM161" s="226">
        <f t="shared" si="71"/>
        <v>0</v>
      </c>
      <c r="AN161" s="462" t="str">
        <f t="shared" si="63"/>
        <v/>
      </c>
      <c r="AO161" s="416" t="str">
        <f t="shared" si="64"/>
        <v/>
      </c>
      <c r="AP161" s="416" t="str">
        <f t="shared" si="65"/>
        <v/>
      </c>
      <c r="AQ161" s="416" t="str">
        <f t="shared" si="66"/>
        <v/>
      </c>
      <c r="AR161" s="416" t="str">
        <f t="shared" si="72"/>
        <v/>
      </c>
    </row>
    <row r="162" spans="1:44" ht="14.25">
      <c r="A162" s="830"/>
      <c r="B162" s="99" t="s">
        <v>255</v>
      </c>
      <c r="C162" s="466" t="s">
        <v>187</v>
      </c>
      <c r="D162" s="125" t="s">
        <v>24</v>
      </c>
      <c r="E162" s="126">
        <v>0.58333333333333337</v>
      </c>
      <c r="F162" s="126">
        <v>0.79166666666666663</v>
      </c>
      <c r="G162" s="217">
        <f t="shared" si="56"/>
        <v>0.20833333333333326</v>
      </c>
      <c r="H162" s="218">
        <f t="shared" si="57"/>
        <v>0</v>
      </c>
      <c r="I162" s="96">
        <f t="shared" si="58"/>
        <v>0</v>
      </c>
      <c r="J162" s="219">
        <f t="shared" si="59"/>
        <v>0</v>
      </c>
      <c r="K162" s="220">
        <f t="shared" si="60"/>
        <v>0</v>
      </c>
      <c r="L162" s="100">
        <f t="shared" si="61"/>
        <v>0</v>
      </c>
      <c r="M162" s="221" t="str">
        <f t="shared" si="67"/>
        <v/>
      </c>
      <c r="N162" s="222">
        <f t="shared" si="62"/>
        <v>0</v>
      </c>
      <c r="O162" s="223">
        <f>IF(N162=0,0,IF(SUM($N$5:N162)&gt;251,1,0))</f>
        <v>0</v>
      </c>
      <c r="P162" s="408">
        <v>27</v>
      </c>
      <c r="Q162" s="409">
        <v>0</v>
      </c>
      <c r="R162" s="224"/>
      <c r="S162" s="411" t="s">
        <v>672</v>
      </c>
      <c r="T162" s="225" t="s">
        <v>697</v>
      </c>
      <c r="U162" s="226" t="s">
        <v>698</v>
      </c>
      <c r="V162" s="413" t="s">
        <v>695</v>
      </c>
      <c r="W162" s="225" t="s">
        <v>697</v>
      </c>
      <c r="X162" s="226" t="s">
        <v>698</v>
      </c>
      <c r="Y162" s="413" t="s">
        <v>696</v>
      </c>
      <c r="Z162" s="225" t="s">
        <v>699</v>
      </c>
      <c r="AA162" s="226" t="s">
        <v>698</v>
      </c>
      <c r="AB162" s="413"/>
      <c r="AC162" s="225">
        <f t="shared" si="73"/>
        <v>0</v>
      </c>
      <c r="AD162" s="226">
        <f t="shared" si="68"/>
        <v>0</v>
      </c>
      <c r="AE162" s="413"/>
      <c r="AF162" s="225">
        <f t="shared" si="74"/>
        <v>0</v>
      </c>
      <c r="AG162" s="226">
        <f t="shared" si="69"/>
        <v>0</v>
      </c>
      <c r="AH162" s="413"/>
      <c r="AI162" s="225">
        <f t="shared" si="75"/>
        <v>0</v>
      </c>
      <c r="AJ162" s="226">
        <f t="shared" si="70"/>
        <v>0</v>
      </c>
      <c r="AK162" s="413"/>
      <c r="AL162" s="225">
        <f t="shared" si="76"/>
        <v>0</v>
      </c>
      <c r="AM162" s="226">
        <f t="shared" si="71"/>
        <v>0</v>
      </c>
      <c r="AN162" s="462" t="str">
        <f t="shared" si="63"/>
        <v/>
      </c>
      <c r="AO162" s="416" t="str">
        <f t="shared" si="64"/>
        <v/>
      </c>
      <c r="AP162" s="416" t="str">
        <f t="shared" si="65"/>
        <v/>
      </c>
      <c r="AQ162" s="416" t="str">
        <f t="shared" si="66"/>
        <v/>
      </c>
      <c r="AR162" s="416" t="str">
        <f t="shared" si="72"/>
        <v/>
      </c>
    </row>
    <row r="163" spans="1:44" ht="14.25">
      <c r="A163" s="830"/>
      <c r="B163" s="99" t="s">
        <v>256</v>
      </c>
      <c r="C163" s="466" t="s">
        <v>183</v>
      </c>
      <c r="D163" s="125" t="s">
        <v>24</v>
      </c>
      <c r="E163" s="126">
        <v>0.58333333333333337</v>
      </c>
      <c r="F163" s="126">
        <v>0.79166666666666663</v>
      </c>
      <c r="G163" s="217">
        <f t="shared" si="56"/>
        <v>0.20833333333333326</v>
      </c>
      <c r="H163" s="218">
        <f t="shared" si="57"/>
        <v>0</v>
      </c>
      <c r="I163" s="96">
        <f t="shared" si="58"/>
        <v>0</v>
      </c>
      <c r="J163" s="219">
        <f t="shared" si="59"/>
        <v>0</v>
      </c>
      <c r="K163" s="220">
        <f t="shared" si="60"/>
        <v>0</v>
      </c>
      <c r="L163" s="100">
        <f t="shared" si="61"/>
        <v>0</v>
      </c>
      <c r="M163" s="221" t="str">
        <f t="shared" si="67"/>
        <v/>
      </c>
      <c r="N163" s="222">
        <f t="shared" si="62"/>
        <v>0</v>
      </c>
      <c r="O163" s="223">
        <f>IF(N163=0,0,IF(SUM($N$5:N163)&gt;251,1,0))</f>
        <v>0</v>
      </c>
      <c r="P163" s="408">
        <v>25</v>
      </c>
      <c r="Q163" s="409">
        <v>0</v>
      </c>
      <c r="R163" s="224"/>
      <c r="S163" s="411" t="s">
        <v>672</v>
      </c>
      <c r="T163" s="225" t="s">
        <v>697</v>
      </c>
      <c r="U163" s="226" t="s">
        <v>698</v>
      </c>
      <c r="V163" s="413" t="s">
        <v>695</v>
      </c>
      <c r="W163" s="225" t="s">
        <v>697</v>
      </c>
      <c r="X163" s="226" t="s">
        <v>698</v>
      </c>
      <c r="Y163" s="413" t="s">
        <v>696</v>
      </c>
      <c r="Z163" s="225" t="s">
        <v>699</v>
      </c>
      <c r="AA163" s="226" t="s">
        <v>698</v>
      </c>
      <c r="AB163" s="413"/>
      <c r="AC163" s="225">
        <f t="shared" si="73"/>
        <v>0</v>
      </c>
      <c r="AD163" s="226">
        <f t="shared" si="68"/>
        <v>0</v>
      </c>
      <c r="AE163" s="413"/>
      <c r="AF163" s="225">
        <f t="shared" si="74"/>
        <v>0</v>
      </c>
      <c r="AG163" s="226">
        <f t="shared" si="69"/>
        <v>0</v>
      </c>
      <c r="AH163" s="413"/>
      <c r="AI163" s="225">
        <f t="shared" si="75"/>
        <v>0</v>
      </c>
      <c r="AJ163" s="226">
        <f t="shared" si="70"/>
        <v>0</v>
      </c>
      <c r="AK163" s="413"/>
      <c r="AL163" s="225">
        <f t="shared" si="76"/>
        <v>0</v>
      </c>
      <c r="AM163" s="226">
        <f t="shared" si="71"/>
        <v>0</v>
      </c>
      <c r="AN163" s="462" t="str">
        <f t="shared" si="63"/>
        <v/>
      </c>
      <c r="AO163" s="416" t="str">
        <f t="shared" si="64"/>
        <v/>
      </c>
      <c r="AP163" s="416" t="str">
        <f t="shared" si="65"/>
        <v/>
      </c>
      <c r="AQ163" s="416" t="str">
        <f t="shared" si="66"/>
        <v/>
      </c>
      <c r="AR163" s="416" t="str">
        <f t="shared" si="72"/>
        <v/>
      </c>
    </row>
    <row r="164" spans="1:44" ht="14.25">
      <c r="A164" s="830"/>
      <c r="B164" s="99" t="s">
        <v>257</v>
      </c>
      <c r="C164" s="466" t="s">
        <v>184</v>
      </c>
      <c r="D164" s="125" t="s">
        <v>24</v>
      </c>
      <c r="E164" s="126">
        <v>0.58333333333333337</v>
      </c>
      <c r="F164" s="126">
        <v>0.79166666666666663</v>
      </c>
      <c r="G164" s="217">
        <f t="shared" si="56"/>
        <v>0.20833333333333326</v>
      </c>
      <c r="H164" s="218">
        <f t="shared" si="57"/>
        <v>0</v>
      </c>
      <c r="I164" s="96">
        <f t="shared" si="58"/>
        <v>0</v>
      </c>
      <c r="J164" s="219">
        <f t="shared" si="59"/>
        <v>0</v>
      </c>
      <c r="K164" s="220">
        <f t="shared" si="60"/>
        <v>0</v>
      </c>
      <c r="L164" s="100">
        <f t="shared" si="61"/>
        <v>0</v>
      </c>
      <c r="M164" s="221" t="str">
        <f t="shared" si="67"/>
        <v/>
      </c>
      <c r="N164" s="222">
        <f t="shared" si="62"/>
        <v>0</v>
      </c>
      <c r="O164" s="223">
        <f>IF(N164=0,0,IF(SUM($N$5:N164)&gt;251,1,0))</f>
        <v>0</v>
      </c>
      <c r="P164" s="408">
        <v>24</v>
      </c>
      <c r="Q164" s="409">
        <v>1</v>
      </c>
      <c r="R164" s="224"/>
      <c r="S164" s="411" t="s">
        <v>672</v>
      </c>
      <c r="T164" s="225" t="s">
        <v>697</v>
      </c>
      <c r="U164" s="226" t="s">
        <v>698</v>
      </c>
      <c r="V164" s="413" t="s">
        <v>695</v>
      </c>
      <c r="W164" s="225" t="s">
        <v>697</v>
      </c>
      <c r="X164" s="226" t="s">
        <v>698</v>
      </c>
      <c r="Y164" s="413" t="s">
        <v>696</v>
      </c>
      <c r="Z164" s="225" t="s">
        <v>699</v>
      </c>
      <c r="AA164" s="226" t="s">
        <v>698</v>
      </c>
      <c r="AB164" s="413"/>
      <c r="AC164" s="225">
        <f t="shared" si="73"/>
        <v>0</v>
      </c>
      <c r="AD164" s="226">
        <f t="shared" si="68"/>
        <v>0</v>
      </c>
      <c r="AE164" s="413"/>
      <c r="AF164" s="225">
        <f t="shared" si="74"/>
        <v>0</v>
      </c>
      <c r="AG164" s="226">
        <f t="shared" si="69"/>
        <v>0</v>
      </c>
      <c r="AH164" s="413"/>
      <c r="AI164" s="225">
        <f t="shared" si="75"/>
        <v>0</v>
      </c>
      <c r="AJ164" s="226">
        <f t="shared" si="70"/>
        <v>0</v>
      </c>
      <c r="AK164" s="413"/>
      <c r="AL164" s="225">
        <f t="shared" si="76"/>
        <v>0</v>
      </c>
      <c r="AM164" s="226">
        <f t="shared" si="71"/>
        <v>0</v>
      </c>
      <c r="AN164" s="462" t="str">
        <f t="shared" si="63"/>
        <v/>
      </c>
      <c r="AO164" s="416" t="str">
        <f t="shared" si="64"/>
        <v/>
      </c>
      <c r="AP164" s="416" t="str">
        <f t="shared" si="65"/>
        <v/>
      </c>
      <c r="AQ164" s="416" t="str">
        <f t="shared" si="66"/>
        <v/>
      </c>
      <c r="AR164" s="416" t="str">
        <f t="shared" si="72"/>
        <v/>
      </c>
    </row>
    <row r="165" spans="1:44" ht="14.25">
      <c r="A165" s="830"/>
      <c r="B165" s="99" t="s">
        <v>258</v>
      </c>
      <c r="C165" s="466" t="s">
        <v>185</v>
      </c>
      <c r="D165" s="125" t="s">
        <v>24</v>
      </c>
      <c r="E165" s="126">
        <v>0.58333333333333337</v>
      </c>
      <c r="F165" s="126">
        <v>0.79166666666666663</v>
      </c>
      <c r="G165" s="217">
        <f t="shared" si="56"/>
        <v>0.20833333333333326</v>
      </c>
      <c r="H165" s="218">
        <f t="shared" si="57"/>
        <v>0</v>
      </c>
      <c r="I165" s="96">
        <f t="shared" si="58"/>
        <v>0</v>
      </c>
      <c r="J165" s="219">
        <f t="shared" si="59"/>
        <v>0</v>
      </c>
      <c r="K165" s="220">
        <f t="shared" si="60"/>
        <v>0</v>
      </c>
      <c r="L165" s="100">
        <f t="shared" si="61"/>
        <v>0</v>
      </c>
      <c r="M165" s="221" t="str">
        <f t="shared" si="67"/>
        <v/>
      </c>
      <c r="N165" s="222">
        <f t="shared" si="62"/>
        <v>0</v>
      </c>
      <c r="O165" s="223">
        <f>IF(N165=0,0,IF(SUM($N$5:N165)&gt;251,1,0))</f>
        <v>0</v>
      </c>
      <c r="P165" s="408">
        <v>25</v>
      </c>
      <c r="Q165" s="409">
        <v>0</v>
      </c>
      <c r="R165" s="224"/>
      <c r="S165" s="411" t="s">
        <v>672</v>
      </c>
      <c r="T165" s="225" t="s">
        <v>697</v>
      </c>
      <c r="U165" s="226" t="s">
        <v>698</v>
      </c>
      <c r="V165" s="413" t="s">
        <v>695</v>
      </c>
      <c r="W165" s="225" t="s">
        <v>697</v>
      </c>
      <c r="X165" s="226" t="s">
        <v>698</v>
      </c>
      <c r="Y165" s="413" t="s">
        <v>696</v>
      </c>
      <c r="Z165" s="225" t="s">
        <v>699</v>
      </c>
      <c r="AA165" s="226" t="s">
        <v>698</v>
      </c>
      <c r="AB165" s="413"/>
      <c r="AC165" s="225">
        <f t="shared" si="73"/>
        <v>0</v>
      </c>
      <c r="AD165" s="226">
        <f t="shared" si="68"/>
        <v>0</v>
      </c>
      <c r="AE165" s="413"/>
      <c r="AF165" s="225">
        <f t="shared" si="74"/>
        <v>0</v>
      </c>
      <c r="AG165" s="226">
        <f t="shared" si="69"/>
        <v>0</v>
      </c>
      <c r="AH165" s="413"/>
      <c r="AI165" s="225">
        <f t="shared" si="75"/>
        <v>0</v>
      </c>
      <c r="AJ165" s="226">
        <f t="shared" si="70"/>
        <v>0</v>
      </c>
      <c r="AK165" s="413"/>
      <c r="AL165" s="225">
        <f t="shared" si="76"/>
        <v>0</v>
      </c>
      <c r="AM165" s="226">
        <f t="shared" si="71"/>
        <v>0</v>
      </c>
      <c r="AN165" s="462" t="str">
        <f t="shared" si="63"/>
        <v/>
      </c>
      <c r="AO165" s="416" t="str">
        <f t="shared" si="64"/>
        <v/>
      </c>
      <c r="AP165" s="416" t="str">
        <f t="shared" si="65"/>
        <v/>
      </c>
      <c r="AQ165" s="416" t="str">
        <f t="shared" si="66"/>
        <v/>
      </c>
      <c r="AR165" s="416" t="str">
        <f t="shared" si="72"/>
        <v/>
      </c>
    </row>
    <row r="166" spans="1:44" ht="14.25">
      <c r="A166" s="830"/>
      <c r="B166" s="99" t="s">
        <v>259</v>
      </c>
      <c r="C166" s="466" t="s">
        <v>186</v>
      </c>
      <c r="D166" s="125" t="s">
        <v>249</v>
      </c>
      <c r="E166" s="126">
        <v>0.375</v>
      </c>
      <c r="F166" s="126">
        <v>0.75</v>
      </c>
      <c r="G166" s="217">
        <f t="shared" si="56"/>
        <v>0.375</v>
      </c>
      <c r="H166" s="218">
        <f t="shared" si="57"/>
        <v>0</v>
      </c>
      <c r="I166" s="96">
        <f t="shared" si="58"/>
        <v>0</v>
      </c>
      <c r="J166" s="219">
        <f t="shared" si="59"/>
        <v>0</v>
      </c>
      <c r="K166" s="220">
        <f t="shared" si="60"/>
        <v>4.1666666666666685E-2</v>
      </c>
      <c r="L166" s="100">
        <f t="shared" si="61"/>
        <v>1</v>
      </c>
      <c r="M166" s="221" t="str">
        <f t="shared" si="67"/>
        <v/>
      </c>
      <c r="N166" s="222">
        <f t="shared" si="62"/>
        <v>1</v>
      </c>
      <c r="O166" s="223">
        <f>IF(N166=0,0,IF(SUM($N$5:N166)&gt;251,1,0))</f>
        <v>0</v>
      </c>
      <c r="P166" s="408">
        <v>2</v>
      </c>
      <c r="Q166" s="409">
        <v>0</v>
      </c>
      <c r="R166" s="224"/>
      <c r="S166" s="411" t="s">
        <v>672</v>
      </c>
      <c r="T166" s="225" t="s">
        <v>697</v>
      </c>
      <c r="U166" s="226" t="s">
        <v>698</v>
      </c>
      <c r="V166" s="413" t="s">
        <v>695</v>
      </c>
      <c r="W166" s="225" t="s">
        <v>697</v>
      </c>
      <c r="X166" s="226" t="s">
        <v>698</v>
      </c>
      <c r="Y166" s="413" t="s">
        <v>696</v>
      </c>
      <c r="Z166" s="225" t="s">
        <v>699</v>
      </c>
      <c r="AA166" s="226" t="s">
        <v>698</v>
      </c>
      <c r="AB166" s="413"/>
      <c r="AC166" s="225">
        <f t="shared" si="73"/>
        <v>0</v>
      </c>
      <c r="AD166" s="226">
        <f t="shared" si="68"/>
        <v>0</v>
      </c>
      <c r="AE166" s="413"/>
      <c r="AF166" s="225">
        <f t="shared" si="74"/>
        <v>0</v>
      </c>
      <c r="AG166" s="226">
        <f t="shared" si="69"/>
        <v>0</v>
      </c>
      <c r="AH166" s="413"/>
      <c r="AI166" s="225">
        <f t="shared" si="75"/>
        <v>0</v>
      </c>
      <c r="AJ166" s="226">
        <f t="shared" si="70"/>
        <v>0</v>
      </c>
      <c r="AK166" s="413"/>
      <c r="AL166" s="225">
        <f t="shared" si="76"/>
        <v>0</v>
      </c>
      <c r="AM166" s="226">
        <f t="shared" si="71"/>
        <v>0</v>
      </c>
      <c r="AN166" s="462" t="str">
        <f t="shared" si="63"/>
        <v/>
      </c>
      <c r="AO166" s="416" t="str">
        <f t="shared" si="64"/>
        <v/>
      </c>
      <c r="AP166" s="416" t="str">
        <f t="shared" si="65"/>
        <v/>
      </c>
      <c r="AQ166" s="416" t="str">
        <f t="shared" si="66"/>
        <v/>
      </c>
      <c r="AR166" s="416" t="str">
        <f t="shared" si="72"/>
        <v/>
      </c>
    </row>
    <row r="167" spans="1:44" ht="14.25">
      <c r="A167" s="830"/>
      <c r="B167" s="99" t="s">
        <v>260</v>
      </c>
      <c r="C167" s="466" t="s">
        <v>262</v>
      </c>
      <c r="D167" s="125" t="s">
        <v>251</v>
      </c>
      <c r="E167" s="126"/>
      <c r="F167" s="126"/>
      <c r="G167" s="217">
        <f t="shared" si="56"/>
        <v>0</v>
      </c>
      <c r="H167" s="218">
        <f t="shared" si="57"/>
        <v>0</v>
      </c>
      <c r="I167" s="96">
        <f t="shared" si="58"/>
        <v>0</v>
      </c>
      <c r="J167" s="219">
        <f t="shared" si="59"/>
        <v>0</v>
      </c>
      <c r="K167" s="220">
        <f t="shared" si="60"/>
        <v>0</v>
      </c>
      <c r="L167" s="100">
        <f t="shared" si="61"/>
        <v>0</v>
      </c>
      <c r="M167" s="221" t="str">
        <f t="shared" si="67"/>
        <v/>
      </c>
      <c r="N167" s="222">
        <f t="shared" si="62"/>
        <v>0</v>
      </c>
      <c r="O167" s="223">
        <f>IF(N167=0,0,IF(SUM($N$5:N167)&gt;251,1,0))</f>
        <v>0</v>
      </c>
      <c r="P167" s="408"/>
      <c r="Q167" s="409"/>
      <c r="R167" s="224"/>
      <c r="S167" s="411"/>
      <c r="T167" s="225">
        <f t="shared" si="77"/>
        <v>0</v>
      </c>
      <c r="U167" s="226">
        <f t="shared" si="78"/>
        <v>0</v>
      </c>
      <c r="V167" s="413"/>
      <c r="W167" s="225">
        <f t="shared" si="79"/>
        <v>0</v>
      </c>
      <c r="X167" s="226">
        <f t="shared" si="80"/>
        <v>0</v>
      </c>
      <c r="Y167" s="413"/>
      <c r="Z167" s="225">
        <f t="shared" si="81"/>
        <v>0</v>
      </c>
      <c r="AA167" s="226">
        <f t="shared" si="82"/>
        <v>0</v>
      </c>
      <c r="AB167" s="413"/>
      <c r="AC167" s="225">
        <f t="shared" si="73"/>
        <v>0</v>
      </c>
      <c r="AD167" s="226">
        <f t="shared" si="68"/>
        <v>0</v>
      </c>
      <c r="AE167" s="413"/>
      <c r="AF167" s="225">
        <f t="shared" si="74"/>
        <v>0</v>
      </c>
      <c r="AG167" s="226">
        <f t="shared" si="69"/>
        <v>0</v>
      </c>
      <c r="AH167" s="413"/>
      <c r="AI167" s="225">
        <f t="shared" si="75"/>
        <v>0</v>
      </c>
      <c r="AJ167" s="226">
        <f t="shared" si="70"/>
        <v>0</v>
      </c>
      <c r="AK167" s="413"/>
      <c r="AL167" s="225">
        <f t="shared" si="76"/>
        <v>0</v>
      </c>
      <c r="AM167" s="226">
        <f t="shared" si="71"/>
        <v>0</v>
      </c>
      <c r="AN167" s="462" t="str">
        <f t="shared" si="63"/>
        <v/>
      </c>
      <c r="AO167" s="416" t="str">
        <f t="shared" si="64"/>
        <v/>
      </c>
      <c r="AP167" s="416" t="str">
        <f t="shared" si="65"/>
        <v/>
      </c>
      <c r="AQ167" s="416" t="str">
        <f t="shared" si="66"/>
        <v/>
      </c>
      <c r="AR167" s="416" t="str">
        <f t="shared" si="72"/>
        <v/>
      </c>
    </row>
    <row r="168" spans="1:44" ht="14.25">
      <c r="A168" s="830"/>
      <c r="B168" s="99" t="s">
        <v>261</v>
      </c>
      <c r="C168" s="466" t="s">
        <v>182</v>
      </c>
      <c r="D168" s="125" t="s">
        <v>24</v>
      </c>
      <c r="E168" s="126">
        <v>0.58333333333333337</v>
      </c>
      <c r="F168" s="126">
        <v>0.79166666666666663</v>
      </c>
      <c r="G168" s="217">
        <f t="shared" si="56"/>
        <v>0.20833333333333326</v>
      </c>
      <c r="H168" s="218">
        <f t="shared" si="57"/>
        <v>0</v>
      </c>
      <c r="I168" s="96">
        <f t="shared" si="58"/>
        <v>0</v>
      </c>
      <c r="J168" s="219">
        <f t="shared" si="59"/>
        <v>0</v>
      </c>
      <c r="K168" s="220">
        <f t="shared" si="60"/>
        <v>0</v>
      </c>
      <c r="L168" s="100">
        <f t="shared" si="61"/>
        <v>0</v>
      </c>
      <c r="M168" s="221" t="str">
        <f t="shared" si="67"/>
        <v/>
      </c>
      <c r="N168" s="222">
        <f t="shared" si="62"/>
        <v>0</v>
      </c>
      <c r="O168" s="223">
        <f>IF(N168=0,0,IF(SUM($N$5:N168)&gt;251,1,0))</f>
        <v>0</v>
      </c>
      <c r="P168" s="408">
        <v>25</v>
      </c>
      <c r="Q168" s="409">
        <v>0</v>
      </c>
      <c r="R168" s="224"/>
      <c r="S168" s="411" t="s">
        <v>672</v>
      </c>
      <c r="T168" s="225" t="s">
        <v>697</v>
      </c>
      <c r="U168" s="226" t="s">
        <v>698</v>
      </c>
      <c r="V168" s="413" t="s">
        <v>695</v>
      </c>
      <c r="W168" s="225" t="s">
        <v>697</v>
      </c>
      <c r="X168" s="226" t="s">
        <v>698</v>
      </c>
      <c r="Y168" s="413" t="s">
        <v>696</v>
      </c>
      <c r="Z168" s="225" t="s">
        <v>699</v>
      </c>
      <c r="AA168" s="226" t="s">
        <v>698</v>
      </c>
      <c r="AB168" s="413"/>
      <c r="AC168" s="225">
        <f t="shared" si="73"/>
        <v>0</v>
      </c>
      <c r="AD168" s="226">
        <f t="shared" si="68"/>
        <v>0</v>
      </c>
      <c r="AE168" s="413"/>
      <c r="AF168" s="225">
        <f t="shared" si="74"/>
        <v>0</v>
      </c>
      <c r="AG168" s="226">
        <f t="shared" si="69"/>
        <v>0</v>
      </c>
      <c r="AH168" s="413"/>
      <c r="AI168" s="225">
        <f t="shared" si="75"/>
        <v>0</v>
      </c>
      <c r="AJ168" s="226">
        <f t="shared" si="70"/>
        <v>0</v>
      </c>
      <c r="AK168" s="413"/>
      <c r="AL168" s="225">
        <f t="shared" si="76"/>
        <v>0</v>
      </c>
      <c r="AM168" s="226">
        <f t="shared" si="71"/>
        <v>0</v>
      </c>
      <c r="AN168" s="462" t="str">
        <f t="shared" si="63"/>
        <v/>
      </c>
      <c r="AO168" s="416" t="str">
        <f t="shared" si="64"/>
        <v/>
      </c>
      <c r="AP168" s="416" t="str">
        <f t="shared" si="65"/>
        <v/>
      </c>
      <c r="AQ168" s="416" t="str">
        <f t="shared" si="66"/>
        <v/>
      </c>
      <c r="AR168" s="416" t="str">
        <f t="shared" si="72"/>
        <v/>
      </c>
    </row>
    <row r="169" spans="1:44" ht="14.25">
      <c r="A169" s="830"/>
      <c r="B169" s="99" t="s">
        <v>263</v>
      </c>
      <c r="C169" s="466" t="s">
        <v>187</v>
      </c>
      <c r="D169" s="125" t="s">
        <v>24</v>
      </c>
      <c r="E169" s="126">
        <v>0.58333333333333337</v>
      </c>
      <c r="F169" s="126">
        <v>0.79166666666666663</v>
      </c>
      <c r="G169" s="217">
        <f t="shared" si="56"/>
        <v>0.20833333333333326</v>
      </c>
      <c r="H169" s="218">
        <f t="shared" si="57"/>
        <v>0</v>
      </c>
      <c r="I169" s="96">
        <f t="shared" si="58"/>
        <v>0</v>
      </c>
      <c r="J169" s="219">
        <f t="shared" si="59"/>
        <v>0</v>
      </c>
      <c r="K169" s="220">
        <f t="shared" si="60"/>
        <v>0</v>
      </c>
      <c r="L169" s="100">
        <f t="shared" si="61"/>
        <v>0</v>
      </c>
      <c r="M169" s="221" t="str">
        <f t="shared" si="67"/>
        <v/>
      </c>
      <c r="N169" s="222">
        <f t="shared" si="62"/>
        <v>0</v>
      </c>
      <c r="O169" s="223">
        <f>IF(N169=0,0,IF(SUM($N$5:N169)&gt;251,1,0))</f>
        <v>0</v>
      </c>
      <c r="P169" s="408">
        <v>25</v>
      </c>
      <c r="Q169" s="409">
        <v>1</v>
      </c>
      <c r="R169" s="224"/>
      <c r="S169" s="411" t="s">
        <v>672</v>
      </c>
      <c r="T169" s="225" t="s">
        <v>697</v>
      </c>
      <c r="U169" s="226" t="s">
        <v>698</v>
      </c>
      <c r="V169" s="413" t="s">
        <v>695</v>
      </c>
      <c r="W169" s="225" t="s">
        <v>697</v>
      </c>
      <c r="X169" s="226" t="s">
        <v>698</v>
      </c>
      <c r="Y169" s="413" t="s">
        <v>696</v>
      </c>
      <c r="Z169" s="225" t="s">
        <v>699</v>
      </c>
      <c r="AA169" s="226" t="s">
        <v>698</v>
      </c>
      <c r="AB169" s="413"/>
      <c r="AC169" s="225">
        <f t="shared" si="73"/>
        <v>0</v>
      </c>
      <c r="AD169" s="226">
        <f t="shared" si="68"/>
        <v>0</v>
      </c>
      <c r="AE169" s="413"/>
      <c r="AF169" s="225">
        <f t="shared" si="74"/>
        <v>0</v>
      </c>
      <c r="AG169" s="226">
        <f t="shared" si="69"/>
        <v>0</v>
      </c>
      <c r="AH169" s="413"/>
      <c r="AI169" s="225">
        <f t="shared" si="75"/>
        <v>0</v>
      </c>
      <c r="AJ169" s="226">
        <f t="shared" si="70"/>
        <v>0</v>
      </c>
      <c r="AK169" s="413"/>
      <c r="AL169" s="225">
        <f t="shared" si="76"/>
        <v>0</v>
      </c>
      <c r="AM169" s="226">
        <f t="shared" si="71"/>
        <v>0</v>
      </c>
      <c r="AN169" s="462" t="str">
        <f t="shared" si="63"/>
        <v/>
      </c>
      <c r="AO169" s="416" t="str">
        <f t="shared" si="64"/>
        <v/>
      </c>
      <c r="AP169" s="416" t="str">
        <f t="shared" si="65"/>
        <v/>
      </c>
      <c r="AQ169" s="416" t="str">
        <f t="shared" si="66"/>
        <v/>
      </c>
      <c r="AR169" s="416" t="str">
        <f t="shared" si="72"/>
        <v/>
      </c>
    </row>
    <row r="170" spans="1:44" ht="14.25">
      <c r="A170" s="830"/>
      <c r="B170" s="99" t="s">
        <v>264</v>
      </c>
      <c r="C170" s="466" t="s">
        <v>183</v>
      </c>
      <c r="D170" s="125" t="s">
        <v>24</v>
      </c>
      <c r="E170" s="126">
        <v>0.58333333333333337</v>
      </c>
      <c r="F170" s="126">
        <v>0.79166666666666663</v>
      </c>
      <c r="G170" s="217">
        <f t="shared" si="56"/>
        <v>0.20833333333333326</v>
      </c>
      <c r="H170" s="218">
        <f t="shared" si="57"/>
        <v>0</v>
      </c>
      <c r="I170" s="96">
        <f t="shared" si="58"/>
        <v>0</v>
      </c>
      <c r="J170" s="219">
        <f t="shared" si="59"/>
        <v>0</v>
      </c>
      <c r="K170" s="220">
        <f t="shared" si="60"/>
        <v>0</v>
      </c>
      <c r="L170" s="100">
        <f t="shared" si="61"/>
        <v>0</v>
      </c>
      <c r="M170" s="221" t="str">
        <f t="shared" si="67"/>
        <v/>
      </c>
      <c r="N170" s="222">
        <f t="shared" si="62"/>
        <v>0</v>
      </c>
      <c r="O170" s="223">
        <f>IF(N170=0,0,IF(SUM($N$5:N170)&gt;251,1,0))</f>
        <v>0</v>
      </c>
      <c r="P170" s="408">
        <v>25</v>
      </c>
      <c r="Q170" s="409">
        <v>0</v>
      </c>
      <c r="R170" s="224"/>
      <c r="S170" s="411" t="s">
        <v>672</v>
      </c>
      <c r="T170" s="225" t="s">
        <v>697</v>
      </c>
      <c r="U170" s="226" t="s">
        <v>698</v>
      </c>
      <c r="V170" s="413" t="s">
        <v>695</v>
      </c>
      <c r="W170" s="225" t="s">
        <v>697</v>
      </c>
      <c r="X170" s="226" t="s">
        <v>698</v>
      </c>
      <c r="Y170" s="413" t="s">
        <v>696</v>
      </c>
      <c r="Z170" s="225" t="s">
        <v>699</v>
      </c>
      <c r="AA170" s="226" t="s">
        <v>698</v>
      </c>
      <c r="AB170" s="413"/>
      <c r="AC170" s="225">
        <f t="shared" si="73"/>
        <v>0</v>
      </c>
      <c r="AD170" s="226">
        <f t="shared" si="68"/>
        <v>0</v>
      </c>
      <c r="AE170" s="413"/>
      <c r="AF170" s="225">
        <f t="shared" si="74"/>
        <v>0</v>
      </c>
      <c r="AG170" s="226">
        <f t="shared" si="69"/>
        <v>0</v>
      </c>
      <c r="AH170" s="413"/>
      <c r="AI170" s="225">
        <f t="shared" si="75"/>
        <v>0</v>
      </c>
      <c r="AJ170" s="226">
        <f t="shared" si="70"/>
        <v>0</v>
      </c>
      <c r="AK170" s="413"/>
      <c r="AL170" s="225">
        <f t="shared" si="76"/>
        <v>0</v>
      </c>
      <c r="AM170" s="226">
        <f t="shared" si="71"/>
        <v>0</v>
      </c>
      <c r="AN170" s="462" t="str">
        <f t="shared" si="63"/>
        <v/>
      </c>
      <c r="AO170" s="416" t="str">
        <f t="shared" si="64"/>
        <v/>
      </c>
      <c r="AP170" s="416" t="str">
        <f t="shared" si="65"/>
        <v/>
      </c>
      <c r="AQ170" s="416" t="str">
        <f t="shared" si="66"/>
        <v/>
      </c>
      <c r="AR170" s="416" t="str">
        <f t="shared" si="72"/>
        <v/>
      </c>
    </row>
    <row r="171" spans="1:44" ht="14.25">
      <c r="A171" s="830"/>
      <c r="B171" s="99" t="s">
        <v>265</v>
      </c>
      <c r="C171" s="466" t="s">
        <v>184</v>
      </c>
      <c r="D171" s="125" t="s">
        <v>24</v>
      </c>
      <c r="E171" s="126">
        <v>0.58333333333333337</v>
      </c>
      <c r="F171" s="126">
        <v>0.79166666666666663</v>
      </c>
      <c r="G171" s="217">
        <f t="shared" si="56"/>
        <v>0.20833333333333326</v>
      </c>
      <c r="H171" s="218">
        <f t="shared" si="57"/>
        <v>0</v>
      </c>
      <c r="I171" s="96">
        <f t="shared" si="58"/>
        <v>0</v>
      </c>
      <c r="J171" s="219">
        <f t="shared" si="59"/>
        <v>0</v>
      </c>
      <c r="K171" s="220">
        <f t="shared" si="60"/>
        <v>0</v>
      </c>
      <c r="L171" s="100">
        <f t="shared" si="61"/>
        <v>0</v>
      </c>
      <c r="M171" s="221" t="str">
        <f t="shared" si="67"/>
        <v/>
      </c>
      <c r="N171" s="222">
        <f t="shared" si="62"/>
        <v>0</v>
      </c>
      <c r="O171" s="223">
        <f>IF(N171=0,0,IF(SUM($N$5:N171)&gt;251,1,0))</f>
        <v>0</v>
      </c>
      <c r="P171" s="408">
        <v>24</v>
      </c>
      <c r="Q171" s="409">
        <v>1</v>
      </c>
      <c r="R171" s="224"/>
      <c r="S171" s="411" t="s">
        <v>672</v>
      </c>
      <c r="T171" s="225" t="s">
        <v>697</v>
      </c>
      <c r="U171" s="226" t="s">
        <v>698</v>
      </c>
      <c r="V171" s="413" t="s">
        <v>695</v>
      </c>
      <c r="W171" s="225" t="s">
        <v>697</v>
      </c>
      <c r="X171" s="226" t="s">
        <v>698</v>
      </c>
      <c r="Y171" s="413" t="s">
        <v>696</v>
      </c>
      <c r="Z171" s="225" t="s">
        <v>699</v>
      </c>
      <c r="AA171" s="226" t="s">
        <v>698</v>
      </c>
      <c r="AB171" s="413"/>
      <c r="AC171" s="225">
        <f t="shared" si="73"/>
        <v>0</v>
      </c>
      <c r="AD171" s="226">
        <f t="shared" si="68"/>
        <v>0</v>
      </c>
      <c r="AE171" s="413"/>
      <c r="AF171" s="225">
        <f t="shared" si="74"/>
        <v>0</v>
      </c>
      <c r="AG171" s="226">
        <f t="shared" si="69"/>
        <v>0</v>
      </c>
      <c r="AH171" s="413"/>
      <c r="AI171" s="225">
        <f t="shared" si="75"/>
        <v>0</v>
      </c>
      <c r="AJ171" s="226">
        <f t="shared" si="70"/>
        <v>0</v>
      </c>
      <c r="AK171" s="413"/>
      <c r="AL171" s="225">
        <f t="shared" si="76"/>
        <v>0</v>
      </c>
      <c r="AM171" s="226">
        <f t="shared" si="71"/>
        <v>0</v>
      </c>
      <c r="AN171" s="462" t="str">
        <f t="shared" si="63"/>
        <v/>
      </c>
      <c r="AO171" s="416" t="str">
        <f t="shared" si="64"/>
        <v/>
      </c>
      <c r="AP171" s="416" t="str">
        <f t="shared" si="65"/>
        <v/>
      </c>
      <c r="AQ171" s="416" t="str">
        <f t="shared" si="66"/>
        <v/>
      </c>
      <c r="AR171" s="416" t="str">
        <f t="shared" si="72"/>
        <v/>
      </c>
    </row>
    <row r="172" spans="1:44" ht="14.25">
      <c r="A172" s="830"/>
      <c r="B172" s="99" t="s">
        <v>266</v>
      </c>
      <c r="C172" s="466" t="s">
        <v>185</v>
      </c>
      <c r="D172" s="125" t="s">
        <v>24</v>
      </c>
      <c r="E172" s="126">
        <v>0.58333333333333337</v>
      </c>
      <c r="F172" s="126">
        <v>0.79166666666666663</v>
      </c>
      <c r="G172" s="217">
        <f t="shared" si="56"/>
        <v>0.20833333333333326</v>
      </c>
      <c r="H172" s="218">
        <f t="shared" si="57"/>
        <v>0</v>
      </c>
      <c r="I172" s="96">
        <f t="shared" si="58"/>
        <v>0</v>
      </c>
      <c r="J172" s="219">
        <f t="shared" si="59"/>
        <v>0</v>
      </c>
      <c r="K172" s="220">
        <f t="shared" si="60"/>
        <v>0</v>
      </c>
      <c r="L172" s="100">
        <f t="shared" si="61"/>
        <v>0</v>
      </c>
      <c r="M172" s="221" t="str">
        <f t="shared" si="67"/>
        <v/>
      </c>
      <c r="N172" s="222">
        <f t="shared" si="62"/>
        <v>0</v>
      </c>
      <c r="O172" s="223">
        <f>IF(N172=0,0,IF(SUM($N$5:N172)&gt;251,1,0))</f>
        <v>0</v>
      </c>
      <c r="P172" s="408">
        <v>19</v>
      </c>
      <c r="Q172" s="409">
        <v>1</v>
      </c>
      <c r="R172" s="224"/>
      <c r="S172" s="411" t="s">
        <v>672</v>
      </c>
      <c r="T172" s="225" t="s">
        <v>697</v>
      </c>
      <c r="U172" s="226" t="s">
        <v>698</v>
      </c>
      <c r="V172" s="413" t="s">
        <v>695</v>
      </c>
      <c r="W172" s="225" t="s">
        <v>697</v>
      </c>
      <c r="X172" s="226" t="s">
        <v>698</v>
      </c>
      <c r="Y172" s="413" t="s">
        <v>696</v>
      </c>
      <c r="Z172" s="225" t="s">
        <v>699</v>
      </c>
      <c r="AA172" s="226" t="s">
        <v>698</v>
      </c>
      <c r="AB172" s="413"/>
      <c r="AC172" s="225">
        <f t="shared" si="73"/>
        <v>0</v>
      </c>
      <c r="AD172" s="226">
        <f t="shared" si="68"/>
        <v>0</v>
      </c>
      <c r="AE172" s="413"/>
      <c r="AF172" s="225">
        <f t="shared" si="74"/>
        <v>0</v>
      </c>
      <c r="AG172" s="226">
        <f t="shared" si="69"/>
        <v>0</v>
      </c>
      <c r="AH172" s="413"/>
      <c r="AI172" s="225">
        <f t="shared" si="75"/>
        <v>0</v>
      </c>
      <c r="AJ172" s="226">
        <f t="shared" si="70"/>
        <v>0</v>
      </c>
      <c r="AK172" s="413"/>
      <c r="AL172" s="225">
        <f t="shared" si="76"/>
        <v>0</v>
      </c>
      <c r="AM172" s="226">
        <f t="shared" si="71"/>
        <v>0</v>
      </c>
      <c r="AN172" s="462" t="str">
        <f t="shared" si="63"/>
        <v/>
      </c>
      <c r="AO172" s="416" t="str">
        <f t="shared" si="64"/>
        <v/>
      </c>
      <c r="AP172" s="416" t="str">
        <f t="shared" si="65"/>
        <v/>
      </c>
      <c r="AQ172" s="416" t="str">
        <f t="shared" si="66"/>
        <v/>
      </c>
      <c r="AR172" s="416" t="str">
        <f t="shared" si="72"/>
        <v/>
      </c>
    </row>
    <row r="173" spans="1:44" ht="14.25">
      <c r="A173" s="830"/>
      <c r="B173" s="99" t="s">
        <v>267</v>
      </c>
      <c r="C173" s="466" t="s">
        <v>186</v>
      </c>
      <c r="D173" s="125" t="s">
        <v>249</v>
      </c>
      <c r="E173" s="126">
        <v>0.375</v>
      </c>
      <c r="F173" s="126">
        <v>0.75</v>
      </c>
      <c r="G173" s="217">
        <f t="shared" si="56"/>
        <v>0.375</v>
      </c>
      <c r="H173" s="218">
        <f t="shared" si="57"/>
        <v>0</v>
      </c>
      <c r="I173" s="96">
        <f t="shared" si="58"/>
        <v>0</v>
      </c>
      <c r="J173" s="219">
        <f t="shared" si="59"/>
        <v>0</v>
      </c>
      <c r="K173" s="220">
        <f t="shared" si="60"/>
        <v>4.1666666666666685E-2</v>
      </c>
      <c r="L173" s="100">
        <f t="shared" si="61"/>
        <v>1</v>
      </c>
      <c r="M173" s="221" t="str">
        <f t="shared" si="67"/>
        <v/>
      </c>
      <c r="N173" s="222">
        <f t="shared" si="62"/>
        <v>1</v>
      </c>
      <c r="O173" s="223">
        <f>IF(N173=0,0,IF(SUM($N$5:N173)&gt;251,1,0))</f>
        <v>0</v>
      </c>
      <c r="P173" s="408">
        <v>1</v>
      </c>
      <c r="Q173" s="409">
        <v>0</v>
      </c>
      <c r="R173" s="224"/>
      <c r="S173" s="411" t="s">
        <v>672</v>
      </c>
      <c r="T173" s="225" t="s">
        <v>697</v>
      </c>
      <c r="U173" s="226" t="s">
        <v>698</v>
      </c>
      <c r="V173" s="413" t="s">
        <v>695</v>
      </c>
      <c r="W173" s="225" t="s">
        <v>697</v>
      </c>
      <c r="X173" s="226" t="s">
        <v>698</v>
      </c>
      <c r="Y173" s="413" t="s">
        <v>696</v>
      </c>
      <c r="Z173" s="225" t="s">
        <v>699</v>
      </c>
      <c r="AA173" s="226" t="s">
        <v>698</v>
      </c>
      <c r="AB173" s="413"/>
      <c r="AC173" s="225">
        <f t="shared" si="73"/>
        <v>0</v>
      </c>
      <c r="AD173" s="226">
        <f t="shared" si="68"/>
        <v>0</v>
      </c>
      <c r="AE173" s="413"/>
      <c r="AF173" s="225">
        <f t="shared" si="74"/>
        <v>0</v>
      </c>
      <c r="AG173" s="226">
        <f t="shared" si="69"/>
        <v>0</v>
      </c>
      <c r="AH173" s="413"/>
      <c r="AI173" s="225">
        <f t="shared" si="75"/>
        <v>0</v>
      </c>
      <c r="AJ173" s="226">
        <f t="shared" si="70"/>
        <v>0</v>
      </c>
      <c r="AK173" s="413"/>
      <c r="AL173" s="225">
        <f t="shared" si="76"/>
        <v>0</v>
      </c>
      <c r="AM173" s="226">
        <f t="shared" si="71"/>
        <v>0</v>
      </c>
      <c r="AN173" s="462" t="str">
        <f t="shared" si="63"/>
        <v/>
      </c>
      <c r="AO173" s="416" t="str">
        <f t="shared" si="64"/>
        <v/>
      </c>
      <c r="AP173" s="416" t="str">
        <f t="shared" si="65"/>
        <v/>
      </c>
      <c r="AQ173" s="416" t="str">
        <f t="shared" si="66"/>
        <v/>
      </c>
      <c r="AR173" s="416" t="str">
        <f t="shared" si="72"/>
        <v/>
      </c>
    </row>
    <row r="174" spans="1:44" ht="14.25">
      <c r="A174" s="830"/>
      <c r="B174" s="99" t="s">
        <v>268</v>
      </c>
      <c r="C174" s="466" t="s">
        <v>262</v>
      </c>
      <c r="D174" s="125" t="s">
        <v>251</v>
      </c>
      <c r="E174" s="126"/>
      <c r="F174" s="126"/>
      <c r="G174" s="217">
        <f t="shared" si="56"/>
        <v>0</v>
      </c>
      <c r="H174" s="218">
        <f t="shared" si="57"/>
        <v>0</v>
      </c>
      <c r="I174" s="96">
        <f t="shared" si="58"/>
        <v>0</v>
      </c>
      <c r="J174" s="219">
        <f t="shared" si="59"/>
        <v>0</v>
      </c>
      <c r="K174" s="220">
        <f t="shared" si="60"/>
        <v>0</v>
      </c>
      <c r="L174" s="100">
        <f t="shared" si="61"/>
        <v>0</v>
      </c>
      <c r="M174" s="221" t="str">
        <f t="shared" si="67"/>
        <v/>
      </c>
      <c r="N174" s="222">
        <f t="shared" si="62"/>
        <v>0</v>
      </c>
      <c r="O174" s="223">
        <f>IF(N174=0,0,IF(SUM($N$5:N174)&gt;251,1,0))</f>
        <v>0</v>
      </c>
      <c r="P174" s="408"/>
      <c r="Q174" s="409"/>
      <c r="R174" s="224"/>
      <c r="S174" s="411"/>
      <c r="T174" s="225">
        <f t="shared" si="77"/>
        <v>0</v>
      </c>
      <c r="U174" s="226">
        <f t="shared" si="78"/>
        <v>0</v>
      </c>
      <c r="V174" s="413"/>
      <c r="W174" s="225">
        <f t="shared" si="79"/>
        <v>0</v>
      </c>
      <c r="X174" s="226">
        <f t="shared" si="80"/>
        <v>0</v>
      </c>
      <c r="Y174" s="413"/>
      <c r="Z174" s="225">
        <f t="shared" si="81"/>
        <v>0</v>
      </c>
      <c r="AA174" s="226">
        <f t="shared" si="82"/>
        <v>0</v>
      </c>
      <c r="AB174" s="413"/>
      <c r="AC174" s="225">
        <f t="shared" si="73"/>
        <v>0</v>
      </c>
      <c r="AD174" s="226">
        <f t="shared" si="68"/>
        <v>0</v>
      </c>
      <c r="AE174" s="413"/>
      <c r="AF174" s="225">
        <f t="shared" si="74"/>
        <v>0</v>
      </c>
      <c r="AG174" s="226">
        <f t="shared" si="69"/>
        <v>0</v>
      </c>
      <c r="AH174" s="413"/>
      <c r="AI174" s="225">
        <f t="shared" si="75"/>
        <v>0</v>
      </c>
      <c r="AJ174" s="226">
        <f t="shared" si="70"/>
        <v>0</v>
      </c>
      <c r="AK174" s="413"/>
      <c r="AL174" s="225">
        <f t="shared" si="76"/>
        <v>0</v>
      </c>
      <c r="AM174" s="226">
        <f t="shared" si="71"/>
        <v>0</v>
      </c>
      <c r="AN174" s="462" t="str">
        <f t="shared" si="63"/>
        <v/>
      </c>
      <c r="AO174" s="416" t="str">
        <f t="shared" si="64"/>
        <v/>
      </c>
      <c r="AP174" s="416" t="str">
        <f t="shared" si="65"/>
        <v/>
      </c>
      <c r="AQ174" s="416" t="str">
        <f t="shared" si="66"/>
        <v/>
      </c>
      <c r="AR174" s="416" t="str">
        <f t="shared" si="72"/>
        <v/>
      </c>
    </row>
    <row r="175" spans="1:44" ht="14.25">
      <c r="A175" s="830"/>
      <c r="B175" s="99" t="s">
        <v>269</v>
      </c>
      <c r="C175" s="466" t="s">
        <v>600</v>
      </c>
      <c r="D175" s="125" t="s">
        <v>249</v>
      </c>
      <c r="E175" s="126">
        <v>0.375</v>
      </c>
      <c r="F175" s="126">
        <v>0.75</v>
      </c>
      <c r="G175" s="217">
        <f t="shared" si="56"/>
        <v>0.375</v>
      </c>
      <c r="H175" s="218">
        <f t="shared" si="57"/>
        <v>0</v>
      </c>
      <c r="I175" s="96">
        <f t="shared" si="58"/>
        <v>0</v>
      </c>
      <c r="J175" s="219">
        <f t="shared" si="59"/>
        <v>0</v>
      </c>
      <c r="K175" s="220">
        <f t="shared" si="60"/>
        <v>4.1666666666666685E-2</v>
      </c>
      <c r="L175" s="100">
        <f t="shared" si="61"/>
        <v>1</v>
      </c>
      <c r="M175" s="221" t="str">
        <f t="shared" si="67"/>
        <v/>
      </c>
      <c r="N175" s="222">
        <f t="shared" si="62"/>
        <v>1</v>
      </c>
      <c r="O175" s="223">
        <f>IF(N175=0,0,IF(SUM($N$5:N175)&gt;251,1,0))</f>
        <v>0</v>
      </c>
      <c r="P175" s="408">
        <v>5</v>
      </c>
      <c r="Q175" s="409">
        <v>0</v>
      </c>
      <c r="R175" s="224"/>
      <c r="S175" s="411" t="s">
        <v>672</v>
      </c>
      <c r="T175" s="225" t="s">
        <v>697</v>
      </c>
      <c r="U175" s="226" t="s">
        <v>698</v>
      </c>
      <c r="V175" s="413" t="s">
        <v>695</v>
      </c>
      <c r="W175" s="225" t="s">
        <v>697</v>
      </c>
      <c r="X175" s="226" t="s">
        <v>698</v>
      </c>
      <c r="Y175" s="413" t="s">
        <v>696</v>
      </c>
      <c r="Z175" s="225" t="s">
        <v>699</v>
      </c>
      <c r="AA175" s="226" t="s">
        <v>698</v>
      </c>
      <c r="AB175" s="413"/>
      <c r="AC175" s="225">
        <f t="shared" si="73"/>
        <v>0</v>
      </c>
      <c r="AD175" s="226">
        <f t="shared" si="68"/>
        <v>0</v>
      </c>
      <c r="AE175" s="413"/>
      <c r="AF175" s="225">
        <f t="shared" si="74"/>
        <v>0</v>
      </c>
      <c r="AG175" s="226">
        <f t="shared" si="69"/>
        <v>0</v>
      </c>
      <c r="AH175" s="413"/>
      <c r="AI175" s="225">
        <f t="shared" si="75"/>
        <v>0</v>
      </c>
      <c r="AJ175" s="226">
        <f t="shared" si="70"/>
        <v>0</v>
      </c>
      <c r="AK175" s="413"/>
      <c r="AL175" s="225">
        <f t="shared" si="76"/>
        <v>0</v>
      </c>
      <c r="AM175" s="226">
        <f t="shared" si="71"/>
        <v>0</v>
      </c>
      <c r="AN175" s="462" t="str">
        <f t="shared" si="63"/>
        <v/>
      </c>
      <c r="AO175" s="416" t="str">
        <f t="shared" si="64"/>
        <v/>
      </c>
      <c r="AP175" s="416" t="str">
        <f t="shared" si="65"/>
        <v/>
      </c>
      <c r="AQ175" s="416" t="str">
        <f t="shared" si="66"/>
        <v/>
      </c>
      <c r="AR175" s="416" t="str">
        <f t="shared" si="72"/>
        <v/>
      </c>
    </row>
    <row r="176" spans="1:44" ht="14.25">
      <c r="A176" s="830"/>
      <c r="B176" s="99" t="s">
        <v>270</v>
      </c>
      <c r="C176" s="466" t="s">
        <v>187</v>
      </c>
      <c r="D176" s="125" t="s">
        <v>24</v>
      </c>
      <c r="E176" s="126">
        <v>0.58333333333333337</v>
      </c>
      <c r="F176" s="126">
        <v>0.79166666666666663</v>
      </c>
      <c r="G176" s="217">
        <f t="shared" si="56"/>
        <v>0.20833333333333326</v>
      </c>
      <c r="H176" s="218">
        <f t="shared" si="57"/>
        <v>0</v>
      </c>
      <c r="I176" s="96">
        <f t="shared" si="58"/>
        <v>0</v>
      </c>
      <c r="J176" s="219">
        <f t="shared" si="59"/>
        <v>0</v>
      </c>
      <c r="K176" s="220">
        <f t="shared" si="60"/>
        <v>0</v>
      </c>
      <c r="L176" s="100">
        <f t="shared" si="61"/>
        <v>0</v>
      </c>
      <c r="M176" s="221" t="str">
        <f t="shared" si="67"/>
        <v/>
      </c>
      <c r="N176" s="222">
        <f t="shared" si="62"/>
        <v>0</v>
      </c>
      <c r="O176" s="223">
        <f>IF(N176=0,0,IF(SUM($N$5:N176)&gt;251,1,0))</f>
        <v>0</v>
      </c>
      <c r="P176" s="408">
        <v>23</v>
      </c>
      <c r="Q176" s="409">
        <v>0</v>
      </c>
      <c r="R176" s="224"/>
      <c r="S176" s="411" t="s">
        <v>672</v>
      </c>
      <c r="T176" s="225" t="s">
        <v>697</v>
      </c>
      <c r="U176" s="226" t="s">
        <v>698</v>
      </c>
      <c r="V176" s="413" t="s">
        <v>695</v>
      </c>
      <c r="W176" s="225" t="s">
        <v>697</v>
      </c>
      <c r="X176" s="226" t="s">
        <v>698</v>
      </c>
      <c r="Y176" s="413" t="s">
        <v>696</v>
      </c>
      <c r="Z176" s="225" t="s">
        <v>699</v>
      </c>
      <c r="AA176" s="226" t="s">
        <v>698</v>
      </c>
      <c r="AB176" s="413"/>
      <c r="AC176" s="225">
        <f t="shared" si="73"/>
        <v>0</v>
      </c>
      <c r="AD176" s="226">
        <f t="shared" si="68"/>
        <v>0</v>
      </c>
      <c r="AE176" s="413"/>
      <c r="AF176" s="225">
        <f t="shared" si="74"/>
        <v>0</v>
      </c>
      <c r="AG176" s="226">
        <f t="shared" si="69"/>
        <v>0</v>
      </c>
      <c r="AH176" s="413"/>
      <c r="AI176" s="225">
        <f t="shared" si="75"/>
        <v>0</v>
      </c>
      <c r="AJ176" s="226">
        <f t="shared" si="70"/>
        <v>0</v>
      </c>
      <c r="AK176" s="413"/>
      <c r="AL176" s="225">
        <f t="shared" si="76"/>
        <v>0</v>
      </c>
      <c r="AM176" s="226">
        <f t="shared" si="71"/>
        <v>0</v>
      </c>
      <c r="AN176" s="462" t="str">
        <f t="shared" si="63"/>
        <v/>
      </c>
      <c r="AO176" s="416" t="str">
        <f t="shared" si="64"/>
        <v/>
      </c>
      <c r="AP176" s="416" t="str">
        <f t="shared" si="65"/>
        <v/>
      </c>
      <c r="AQ176" s="416" t="str">
        <f t="shared" si="66"/>
        <v/>
      </c>
      <c r="AR176" s="416" t="str">
        <f t="shared" si="72"/>
        <v/>
      </c>
    </row>
    <row r="177" spans="1:44" ht="14.25">
      <c r="A177" s="830"/>
      <c r="B177" s="99" t="s">
        <v>271</v>
      </c>
      <c r="C177" s="466" t="s">
        <v>183</v>
      </c>
      <c r="D177" s="125" t="s">
        <v>24</v>
      </c>
      <c r="E177" s="126">
        <v>0.58333333333333337</v>
      </c>
      <c r="F177" s="126">
        <v>0.79166666666666663</v>
      </c>
      <c r="G177" s="217">
        <f t="shared" si="56"/>
        <v>0.20833333333333326</v>
      </c>
      <c r="H177" s="218">
        <f t="shared" si="57"/>
        <v>0</v>
      </c>
      <c r="I177" s="96">
        <f t="shared" si="58"/>
        <v>0</v>
      </c>
      <c r="J177" s="219">
        <f t="shared" si="59"/>
        <v>0</v>
      </c>
      <c r="K177" s="220">
        <f t="shared" si="60"/>
        <v>0</v>
      </c>
      <c r="L177" s="100">
        <f t="shared" si="61"/>
        <v>0</v>
      </c>
      <c r="M177" s="221" t="str">
        <f t="shared" si="67"/>
        <v/>
      </c>
      <c r="N177" s="222">
        <f t="shared" si="62"/>
        <v>0</v>
      </c>
      <c r="O177" s="223">
        <f>IF(N177=0,0,IF(SUM($N$5:N177)&gt;251,1,0))</f>
        <v>0</v>
      </c>
      <c r="P177" s="408">
        <v>29</v>
      </c>
      <c r="Q177" s="409">
        <v>1</v>
      </c>
      <c r="R177" s="224"/>
      <c r="S177" s="411" t="s">
        <v>672</v>
      </c>
      <c r="T177" s="225" t="s">
        <v>697</v>
      </c>
      <c r="U177" s="226" t="s">
        <v>698</v>
      </c>
      <c r="V177" s="413" t="s">
        <v>695</v>
      </c>
      <c r="W177" s="225" t="s">
        <v>697</v>
      </c>
      <c r="X177" s="226" t="s">
        <v>698</v>
      </c>
      <c r="Y177" s="413" t="s">
        <v>696</v>
      </c>
      <c r="Z177" s="225" t="s">
        <v>699</v>
      </c>
      <c r="AA177" s="226" t="s">
        <v>698</v>
      </c>
      <c r="AB177" s="413"/>
      <c r="AC177" s="225">
        <f t="shared" si="73"/>
        <v>0</v>
      </c>
      <c r="AD177" s="226">
        <f t="shared" si="68"/>
        <v>0</v>
      </c>
      <c r="AE177" s="413"/>
      <c r="AF177" s="225">
        <f t="shared" si="74"/>
        <v>0</v>
      </c>
      <c r="AG177" s="226">
        <f t="shared" si="69"/>
        <v>0</v>
      </c>
      <c r="AH177" s="413"/>
      <c r="AI177" s="225">
        <f t="shared" si="75"/>
        <v>0</v>
      </c>
      <c r="AJ177" s="226">
        <f t="shared" si="70"/>
        <v>0</v>
      </c>
      <c r="AK177" s="413"/>
      <c r="AL177" s="225">
        <f t="shared" si="76"/>
        <v>0</v>
      </c>
      <c r="AM177" s="226">
        <f t="shared" si="71"/>
        <v>0</v>
      </c>
      <c r="AN177" s="462" t="str">
        <f t="shared" si="63"/>
        <v/>
      </c>
      <c r="AO177" s="416" t="str">
        <f t="shared" si="64"/>
        <v/>
      </c>
      <c r="AP177" s="416" t="str">
        <f t="shared" si="65"/>
        <v/>
      </c>
      <c r="AQ177" s="416" t="str">
        <f t="shared" si="66"/>
        <v/>
      </c>
      <c r="AR177" s="416" t="str">
        <f t="shared" si="72"/>
        <v/>
      </c>
    </row>
    <row r="178" spans="1:44" ht="14.25">
      <c r="A178" s="830"/>
      <c r="B178" s="99" t="s">
        <v>272</v>
      </c>
      <c r="C178" s="466" t="s">
        <v>184</v>
      </c>
      <c r="D178" s="125" t="s">
        <v>24</v>
      </c>
      <c r="E178" s="126">
        <v>0.58333333333333337</v>
      </c>
      <c r="F178" s="126">
        <v>0.79166666666666663</v>
      </c>
      <c r="G178" s="217">
        <f t="shared" si="56"/>
        <v>0.20833333333333326</v>
      </c>
      <c r="H178" s="218">
        <f t="shared" si="57"/>
        <v>0</v>
      </c>
      <c r="I178" s="96">
        <f t="shared" si="58"/>
        <v>0</v>
      </c>
      <c r="J178" s="219">
        <f t="shared" si="59"/>
        <v>0</v>
      </c>
      <c r="K178" s="220">
        <f t="shared" si="60"/>
        <v>0</v>
      </c>
      <c r="L178" s="100">
        <f t="shared" si="61"/>
        <v>0</v>
      </c>
      <c r="M178" s="221" t="str">
        <f t="shared" si="67"/>
        <v/>
      </c>
      <c r="N178" s="222">
        <f t="shared" si="62"/>
        <v>0</v>
      </c>
      <c r="O178" s="223">
        <f>IF(N178=0,0,IF(SUM($N$5:N178)&gt;251,1,0))</f>
        <v>0</v>
      </c>
      <c r="P178" s="408">
        <v>27</v>
      </c>
      <c r="Q178" s="409">
        <v>0</v>
      </c>
      <c r="R178" s="224"/>
      <c r="S178" s="411" t="s">
        <v>672</v>
      </c>
      <c r="T178" s="225" t="s">
        <v>697</v>
      </c>
      <c r="U178" s="226" t="s">
        <v>698</v>
      </c>
      <c r="V178" s="413" t="s">
        <v>695</v>
      </c>
      <c r="W178" s="225" t="s">
        <v>697</v>
      </c>
      <c r="X178" s="226" t="s">
        <v>698</v>
      </c>
      <c r="Y178" s="413" t="s">
        <v>696</v>
      </c>
      <c r="Z178" s="225" t="s">
        <v>699</v>
      </c>
      <c r="AA178" s="226" t="s">
        <v>698</v>
      </c>
      <c r="AB178" s="413"/>
      <c r="AC178" s="225">
        <f t="shared" si="73"/>
        <v>0</v>
      </c>
      <c r="AD178" s="226">
        <f t="shared" si="68"/>
        <v>0</v>
      </c>
      <c r="AE178" s="413"/>
      <c r="AF178" s="225">
        <f t="shared" si="74"/>
        <v>0</v>
      </c>
      <c r="AG178" s="226">
        <f t="shared" si="69"/>
        <v>0</v>
      </c>
      <c r="AH178" s="413"/>
      <c r="AI178" s="225">
        <f t="shared" si="75"/>
        <v>0</v>
      </c>
      <c r="AJ178" s="226">
        <f t="shared" si="70"/>
        <v>0</v>
      </c>
      <c r="AK178" s="413"/>
      <c r="AL178" s="225">
        <f t="shared" si="76"/>
        <v>0</v>
      </c>
      <c r="AM178" s="226">
        <f t="shared" si="71"/>
        <v>0</v>
      </c>
      <c r="AN178" s="462" t="str">
        <f t="shared" si="63"/>
        <v/>
      </c>
      <c r="AO178" s="416" t="str">
        <f t="shared" si="64"/>
        <v/>
      </c>
      <c r="AP178" s="416" t="str">
        <f t="shared" si="65"/>
        <v/>
      </c>
      <c r="AQ178" s="416" t="str">
        <f t="shared" si="66"/>
        <v/>
      </c>
      <c r="AR178" s="416" t="str">
        <f t="shared" si="72"/>
        <v/>
      </c>
    </row>
    <row r="179" spans="1:44" ht="14.25">
      <c r="A179" s="830"/>
      <c r="B179" s="99" t="s">
        <v>273</v>
      </c>
      <c r="C179" s="466" t="s">
        <v>185</v>
      </c>
      <c r="D179" s="125" t="s">
        <v>24</v>
      </c>
      <c r="E179" s="126">
        <v>0.58333333333333337</v>
      </c>
      <c r="F179" s="126">
        <v>0.79166666666666663</v>
      </c>
      <c r="G179" s="217">
        <f t="shared" si="56"/>
        <v>0.20833333333333326</v>
      </c>
      <c r="H179" s="218">
        <f t="shared" si="57"/>
        <v>0</v>
      </c>
      <c r="I179" s="96">
        <f t="shared" si="58"/>
        <v>0</v>
      </c>
      <c r="J179" s="219">
        <f t="shared" si="59"/>
        <v>0</v>
      </c>
      <c r="K179" s="220">
        <f t="shared" si="60"/>
        <v>0</v>
      </c>
      <c r="L179" s="100">
        <f t="shared" si="61"/>
        <v>0</v>
      </c>
      <c r="M179" s="221" t="str">
        <f t="shared" si="67"/>
        <v/>
      </c>
      <c r="N179" s="222">
        <f t="shared" si="62"/>
        <v>0</v>
      </c>
      <c r="O179" s="223">
        <f>IF(N179=0,0,IF(SUM($N$5:N179)&gt;251,1,0))</f>
        <v>0</v>
      </c>
      <c r="P179" s="408">
        <v>21</v>
      </c>
      <c r="Q179" s="409">
        <v>1</v>
      </c>
      <c r="R179" s="224"/>
      <c r="S179" s="411" t="s">
        <v>672</v>
      </c>
      <c r="T179" s="225" t="s">
        <v>697</v>
      </c>
      <c r="U179" s="226" t="s">
        <v>698</v>
      </c>
      <c r="V179" s="413" t="s">
        <v>695</v>
      </c>
      <c r="W179" s="225" t="s">
        <v>697</v>
      </c>
      <c r="X179" s="226" t="s">
        <v>698</v>
      </c>
      <c r="Y179" s="413" t="s">
        <v>696</v>
      </c>
      <c r="Z179" s="225" t="s">
        <v>699</v>
      </c>
      <c r="AA179" s="226" t="s">
        <v>698</v>
      </c>
      <c r="AB179" s="413"/>
      <c r="AC179" s="225">
        <f t="shared" si="73"/>
        <v>0</v>
      </c>
      <c r="AD179" s="226">
        <f t="shared" si="68"/>
        <v>0</v>
      </c>
      <c r="AE179" s="413"/>
      <c r="AF179" s="225">
        <f t="shared" si="74"/>
        <v>0</v>
      </c>
      <c r="AG179" s="226">
        <f t="shared" si="69"/>
        <v>0</v>
      </c>
      <c r="AH179" s="413"/>
      <c r="AI179" s="225">
        <f t="shared" si="75"/>
        <v>0</v>
      </c>
      <c r="AJ179" s="226">
        <f t="shared" si="70"/>
        <v>0</v>
      </c>
      <c r="AK179" s="413"/>
      <c r="AL179" s="225">
        <f t="shared" si="76"/>
        <v>0</v>
      </c>
      <c r="AM179" s="226">
        <f t="shared" si="71"/>
        <v>0</v>
      </c>
      <c r="AN179" s="462" t="str">
        <f t="shared" si="63"/>
        <v/>
      </c>
      <c r="AO179" s="416" t="str">
        <f t="shared" si="64"/>
        <v/>
      </c>
      <c r="AP179" s="416" t="str">
        <f t="shared" si="65"/>
        <v/>
      </c>
      <c r="AQ179" s="416" t="str">
        <f t="shared" si="66"/>
        <v/>
      </c>
      <c r="AR179" s="416" t="str">
        <f t="shared" si="72"/>
        <v/>
      </c>
    </row>
    <row r="180" spans="1:44" ht="14.25">
      <c r="A180" s="830"/>
      <c r="B180" s="99" t="s">
        <v>274</v>
      </c>
      <c r="C180" s="466" t="s">
        <v>596</v>
      </c>
      <c r="D180" s="125" t="s">
        <v>249</v>
      </c>
      <c r="E180" s="126">
        <v>0.375</v>
      </c>
      <c r="F180" s="126">
        <v>0.75</v>
      </c>
      <c r="G180" s="217">
        <f t="shared" si="56"/>
        <v>0.375</v>
      </c>
      <c r="H180" s="218">
        <f t="shared" si="57"/>
        <v>0</v>
      </c>
      <c r="I180" s="96">
        <f t="shared" si="58"/>
        <v>0</v>
      </c>
      <c r="J180" s="219">
        <f t="shared" si="59"/>
        <v>0</v>
      </c>
      <c r="K180" s="220">
        <f t="shared" si="60"/>
        <v>4.1666666666666685E-2</v>
      </c>
      <c r="L180" s="100">
        <f t="shared" si="61"/>
        <v>1</v>
      </c>
      <c r="M180" s="221" t="str">
        <f t="shared" si="67"/>
        <v/>
      </c>
      <c r="N180" s="222">
        <f t="shared" si="62"/>
        <v>1</v>
      </c>
      <c r="O180" s="223">
        <f>IF(N180=0,0,IF(SUM($N$5:N180)&gt;251,1,0))</f>
        <v>0</v>
      </c>
      <c r="P180" s="408">
        <v>5</v>
      </c>
      <c r="Q180" s="409">
        <v>1</v>
      </c>
      <c r="R180" s="224"/>
      <c r="S180" s="411" t="s">
        <v>672</v>
      </c>
      <c r="T180" s="225" t="s">
        <v>697</v>
      </c>
      <c r="U180" s="226" t="s">
        <v>698</v>
      </c>
      <c r="V180" s="413" t="s">
        <v>695</v>
      </c>
      <c r="W180" s="225" t="s">
        <v>697</v>
      </c>
      <c r="X180" s="226" t="s">
        <v>698</v>
      </c>
      <c r="Y180" s="413" t="s">
        <v>696</v>
      </c>
      <c r="Z180" s="225" t="s">
        <v>699</v>
      </c>
      <c r="AA180" s="226" t="s">
        <v>698</v>
      </c>
      <c r="AB180" s="413"/>
      <c r="AC180" s="225">
        <f t="shared" si="73"/>
        <v>0</v>
      </c>
      <c r="AD180" s="226">
        <f t="shared" si="68"/>
        <v>0</v>
      </c>
      <c r="AE180" s="413"/>
      <c r="AF180" s="225">
        <f t="shared" si="74"/>
        <v>0</v>
      </c>
      <c r="AG180" s="226">
        <f t="shared" si="69"/>
        <v>0</v>
      </c>
      <c r="AH180" s="413"/>
      <c r="AI180" s="225">
        <f t="shared" si="75"/>
        <v>0</v>
      </c>
      <c r="AJ180" s="226">
        <f t="shared" si="70"/>
        <v>0</v>
      </c>
      <c r="AK180" s="413"/>
      <c r="AL180" s="225">
        <f t="shared" si="76"/>
        <v>0</v>
      </c>
      <c r="AM180" s="226">
        <f t="shared" si="71"/>
        <v>0</v>
      </c>
      <c r="AN180" s="462" t="str">
        <f t="shared" si="63"/>
        <v/>
      </c>
      <c r="AO180" s="416" t="str">
        <f t="shared" si="64"/>
        <v/>
      </c>
      <c r="AP180" s="416" t="str">
        <f t="shared" si="65"/>
        <v/>
      </c>
      <c r="AQ180" s="416" t="str">
        <f t="shared" si="66"/>
        <v/>
      </c>
      <c r="AR180" s="416" t="str">
        <f t="shared" si="72"/>
        <v/>
      </c>
    </row>
    <row r="181" spans="1:44" ht="14.25">
      <c r="A181" s="830"/>
      <c r="B181" s="99" t="s">
        <v>275</v>
      </c>
      <c r="C181" s="466" t="s">
        <v>262</v>
      </c>
      <c r="D181" s="125" t="s">
        <v>251</v>
      </c>
      <c r="E181" s="126"/>
      <c r="F181" s="126"/>
      <c r="G181" s="217">
        <f t="shared" si="56"/>
        <v>0</v>
      </c>
      <c r="H181" s="218">
        <f t="shared" si="57"/>
        <v>0</v>
      </c>
      <c r="I181" s="96">
        <f t="shared" si="58"/>
        <v>0</v>
      </c>
      <c r="J181" s="219">
        <f t="shared" si="59"/>
        <v>0</v>
      </c>
      <c r="K181" s="220">
        <f t="shared" si="60"/>
        <v>0</v>
      </c>
      <c r="L181" s="100">
        <f t="shared" si="61"/>
        <v>0</v>
      </c>
      <c r="M181" s="221" t="str">
        <f t="shared" si="67"/>
        <v/>
      </c>
      <c r="N181" s="222">
        <f t="shared" si="62"/>
        <v>0</v>
      </c>
      <c r="O181" s="223">
        <f>IF(N181=0,0,IF(SUM($N$5:N181)&gt;251,1,0))</f>
        <v>0</v>
      </c>
      <c r="P181" s="408"/>
      <c r="Q181" s="409"/>
      <c r="R181" s="224"/>
      <c r="S181" s="411"/>
      <c r="T181" s="225">
        <f t="shared" si="77"/>
        <v>0</v>
      </c>
      <c r="U181" s="226">
        <f t="shared" si="78"/>
        <v>0</v>
      </c>
      <c r="V181" s="413"/>
      <c r="W181" s="225">
        <f t="shared" si="79"/>
        <v>0</v>
      </c>
      <c r="X181" s="226">
        <f t="shared" si="80"/>
        <v>0</v>
      </c>
      <c r="Y181" s="413"/>
      <c r="Z181" s="225">
        <f t="shared" si="81"/>
        <v>0</v>
      </c>
      <c r="AA181" s="226">
        <f t="shared" si="82"/>
        <v>0</v>
      </c>
      <c r="AB181" s="413"/>
      <c r="AC181" s="225">
        <f t="shared" si="73"/>
        <v>0</v>
      </c>
      <c r="AD181" s="226">
        <f t="shared" si="68"/>
        <v>0</v>
      </c>
      <c r="AE181" s="413"/>
      <c r="AF181" s="225">
        <f t="shared" si="74"/>
        <v>0</v>
      </c>
      <c r="AG181" s="226">
        <f t="shared" si="69"/>
        <v>0</v>
      </c>
      <c r="AH181" s="413"/>
      <c r="AI181" s="225">
        <f t="shared" si="75"/>
        <v>0</v>
      </c>
      <c r="AJ181" s="226">
        <f t="shared" si="70"/>
        <v>0</v>
      </c>
      <c r="AK181" s="413"/>
      <c r="AL181" s="225">
        <f t="shared" si="76"/>
        <v>0</v>
      </c>
      <c r="AM181" s="226">
        <f t="shared" si="71"/>
        <v>0</v>
      </c>
      <c r="AN181" s="462" t="str">
        <f t="shared" si="63"/>
        <v/>
      </c>
      <c r="AO181" s="416" t="str">
        <f t="shared" si="64"/>
        <v/>
      </c>
      <c r="AP181" s="416" t="str">
        <f t="shared" si="65"/>
        <v/>
      </c>
      <c r="AQ181" s="416" t="str">
        <f t="shared" si="66"/>
        <v/>
      </c>
      <c r="AR181" s="416" t="str">
        <f t="shared" si="72"/>
        <v/>
      </c>
    </row>
    <row r="182" spans="1:44" ht="14.25">
      <c r="A182" s="830"/>
      <c r="B182" s="99" t="s">
        <v>276</v>
      </c>
      <c r="C182" s="466" t="s">
        <v>182</v>
      </c>
      <c r="D182" s="125" t="s">
        <v>24</v>
      </c>
      <c r="E182" s="126">
        <v>0.58333333333333337</v>
      </c>
      <c r="F182" s="126">
        <v>0.79166666666666663</v>
      </c>
      <c r="G182" s="217">
        <f t="shared" si="56"/>
        <v>0.20833333333333326</v>
      </c>
      <c r="H182" s="218">
        <f t="shared" si="57"/>
        <v>0</v>
      </c>
      <c r="I182" s="96">
        <f t="shared" si="58"/>
        <v>0</v>
      </c>
      <c r="J182" s="219">
        <f t="shared" si="59"/>
        <v>0</v>
      </c>
      <c r="K182" s="220">
        <f t="shared" si="60"/>
        <v>0</v>
      </c>
      <c r="L182" s="100">
        <f t="shared" si="61"/>
        <v>0</v>
      </c>
      <c r="M182" s="221" t="str">
        <f t="shared" si="67"/>
        <v/>
      </c>
      <c r="N182" s="222">
        <f t="shared" si="62"/>
        <v>0</v>
      </c>
      <c r="O182" s="223">
        <f>IF(N182=0,0,IF(SUM($N$5:N182)&gt;251,1,0))</f>
        <v>0</v>
      </c>
      <c r="P182" s="408">
        <v>25</v>
      </c>
      <c r="Q182" s="409">
        <v>1</v>
      </c>
      <c r="R182" s="224"/>
      <c r="S182" s="411" t="s">
        <v>672</v>
      </c>
      <c r="T182" s="225" t="s">
        <v>697</v>
      </c>
      <c r="U182" s="226" t="s">
        <v>698</v>
      </c>
      <c r="V182" s="413" t="s">
        <v>695</v>
      </c>
      <c r="W182" s="225" t="s">
        <v>697</v>
      </c>
      <c r="X182" s="226" t="s">
        <v>698</v>
      </c>
      <c r="Y182" s="413" t="s">
        <v>696</v>
      </c>
      <c r="Z182" s="225" t="s">
        <v>699</v>
      </c>
      <c r="AA182" s="226" t="s">
        <v>698</v>
      </c>
      <c r="AB182" s="413"/>
      <c r="AC182" s="225">
        <f t="shared" si="73"/>
        <v>0</v>
      </c>
      <c r="AD182" s="226">
        <f t="shared" si="68"/>
        <v>0</v>
      </c>
      <c r="AE182" s="413"/>
      <c r="AF182" s="225">
        <f t="shared" si="74"/>
        <v>0</v>
      </c>
      <c r="AG182" s="226">
        <f t="shared" si="69"/>
        <v>0</v>
      </c>
      <c r="AH182" s="413"/>
      <c r="AI182" s="225">
        <f t="shared" si="75"/>
        <v>0</v>
      </c>
      <c r="AJ182" s="226">
        <f t="shared" si="70"/>
        <v>0</v>
      </c>
      <c r="AK182" s="413"/>
      <c r="AL182" s="225">
        <f t="shared" si="76"/>
        <v>0</v>
      </c>
      <c r="AM182" s="226">
        <f t="shared" si="71"/>
        <v>0</v>
      </c>
      <c r="AN182" s="462" t="str">
        <f t="shared" si="63"/>
        <v/>
      </c>
      <c r="AO182" s="416" t="str">
        <f t="shared" si="64"/>
        <v/>
      </c>
      <c r="AP182" s="416" t="str">
        <f t="shared" si="65"/>
        <v/>
      </c>
      <c r="AQ182" s="416" t="str">
        <f t="shared" si="66"/>
        <v/>
      </c>
      <c r="AR182" s="416" t="str">
        <f t="shared" si="72"/>
        <v/>
      </c>
    </row>
    <row r="183" spans="1:44" ht="14.25">
      <c r="A183" s="830"/>
      <c r="B183" s="99" t="s">
        <v>277</v>
      </c>
      <c r="C183" s="466" t="s">
        <v>187</v>
      </c>
      <c r="D183" s="125" t="s">
        <v>24</v>
      </c>
      <c r="E183" s="126">
        <v>0.58333333333333337</v>
      </c>
      <c r="F183" s="126">
        <v>0.79166666666666663</v>
      </c>
      <c r="G183" s="217">
        <f t="shared" si="56"/>
        <v>0.20833333333333326</v>
      </c>
      <c r="H183" s="218">
        <f t="shared" si="57"/>
        <v>0</v>
      </c>
      <c r="I183" s="96">
        <f t="shared" si="58"/>
        <v>0</v>
      </c>
      <c r="J183" s="219">
        <f t="shared" si="59"/>
        <v>0</v>
      </c>
      <c r="K183" s="220">
        <f t="shared" si="60"/>
        <v>0</v>
      </c>
      <c r="L183" s="100">
        <f t="shared" si="61"/>
        <v>0</v>
      </c>
      <c r="M183" s="221" t="str">
        <f t="shared" si="67"/>
        <v/>
      </c>
      <c r="N183" s="222">
        <f t="shared" si="62"/>
        <v>0</v>
      </c>
      <c r="O183" s="223">
        <f>IF(N183=0,0,IF(SUM($N$5:N183)&gt;251,1,0))</f>
        <v>0</v>
      </c>
      <c r="P183" s="408">
        <v>20</v>
      </c>
      <c r="Q183" s="409">
        <v>1</v>
      </c>
      <c r="R183" s="224"/>
      <c r="S183" s="411" t="s">
        <v>672</v>
      </c>
      <c r="T183" s="225" t="s">
        <v>697</v>
      </c>
      <c r="U183" s="226" t="s">
        <v>698</v>
      </c>
      <c r="V183" s="413" t="s">
        <v>695</v>
      </c>
      <c r="W183" s="225" t="s">
        <v>697</v>
      </c>
      <c r="X183" s="226" t="s">
        <v>698</v>
      </c>
      <c r="Y183" s="413" t="s">
        <v>696</v>
      </c>
      <c r="Z183" s="225" t="s">
        <v>699</v>
      </c>
      <c r="AA183" s="226" t="s">
        <v>698</v>
      </c>
      <c r="AB183" s="413"/>
      <c r="AC183" s="225">
        <f t="shared" si="73"/>
        <v>0</v>
      </c>
      <c r="AD183" s="226">
        <f t="shared" si="68"/>
        <v>0</v>
      </c>
      <c r="AE183" s="413"/>
      <c r="AF183" s="225">
        <f t="shared" si="74"/>
        <v>0</v>
      </c>
      <c r="AG183" s="226">
        <f t="shared" si="69"/>
        <v>0</v>
      </c>
      <c r="AH183" s="413"/>
      <c r="AI183" s="225">
        <f t="shared" si="75"/>
        <v>0</v>
      </c>
      <c r="AJ183" s="226">
        <f t="shared" si="70"/>
        <v>0</v>
      </c>
      <c r="AK183" s="413"/>
      <c r="AL183" s="225">
        <f t="shared" si="76"/>
        <v>0</v>
      </c>
      <c r="AM183" s="226">
        <f t="shared" si="71"/>
        <v>0</v>
      </c>
      <c r="AN183" s="462" t="str">
        <f t="shared" si="63"/>
        <v/>
      </c>
      <c r="AO183" s="416" t="str">
        <f t="shared" si="64"/>
        <v/>
      </c>
      <c r="AP183" s="416" t="str">
        <f t="shared" si="65"/>
        <v/>
      </c>
      <c r="AQ183" s="416" t="str">
        <f t="shared" si="66"/>
        <v/>
      </c>
      <c r="AR183" s="416" t="str">
        <f t="shared" si="72"/>
        <v/>
      </c>
    </row>
    <row r="184" spans="1:44" ht="14.25">
      <c r="A184" s="830"/>
      <c r="B184" s="99" t="s">
        <v>278</v>
      </c>
      <c r="C184" s="466" t="s">
        <v>183</v>
      </c>
      <c r="D184" s="125" t="s">
        <v>24</v>
      </c>
      <c r="E184" s="126">
        <v>0.58333333333333337</v>
      </c>
      <c r="F184" s="126">
        <v>0.79166666666666663</v>
      </c>
      <c r="G184" s="217">
        <f t="shared" si="56"/>
        <v>0.20833333333333326</v>
      </c>
      <c r="H184" s="218">
        <f t="shared" si="57"/>
        <v>0</v>
      </c>
      <c r="I184" s="96">
        <f t="shared" si="58"/>
        <v>0</v>
      </c>
      <c r="J184" s="219">
        <f t="shared" si="59"/>
        <v>0</v>
      </c>
      <c r="K184" s="220">
        <f t="shared" si="60"/>
        <v>0</v>
      </c>
      <c r="L184" s="100">
        <f t="shared" si="61"/>
        <v>0</v>
      </c>
      <c r="M184" s="221" t="str">
        <f t="shared" si="67"/>
        <v/>
      </c>
      <c r="N184" s="222">
        <f t="shared" si="62"/>
        <v>0</v>
      </c>
      <c r="O184" s="223">
        <f>IF(N184=0,0,IF(SUM($N$5:N184)&gt;251,1,0))</f>
        <v>0</v>
      </c>
      <c r="P184" s="408">
        <v>26</v>
      </c>
      <c r="Q184" s="409">
        <v>1</v>
      </c>
      <c r="R184" s="224"/>
      <c r="S184" s="411" t="s">
        <v>672</v>
      </c>
      <c r="T184" s="225" t="s">
        <v>697</v>
      </c>
      <c r="U184" s="226" t="s">
        <v>698</v>
      </c>
      <c r="V184" s="413" t="s">
        <v>695</v>
      </c>
      <c r="W184" s="225" t="s">
        <v>697</v>
      </c>
      <c r="X184" s="226" t="s">
        <v>698</v>
      </c>
      <c r="Y184" s="413" t="s">
        <v>696</v>
      </c>
      <c r="Z184" s="225" t="s">
        <v>699</v>
      </c>
      <c r="AA184" s="226" t="s">
        <v>698</v>
      </c>
      <c r="AB184" s="413"/>
      <c r="AC184" s="225">
        <f t="shared" si="73"/>
        <v>0</v>
      </c>
      <c r="AD184" s="226">
        <f t="shared" si="68"/>
        <v>0</v>
      </c>
      <c r="AE184" s="413"/>
      <c r="AF184" s="225">
        <f t="shared" si="74"/>
        <v>0</v>
      </c>
      <c r="AG184" s="226">
        <f t="shared" si="69"/>
        <v>0</v>
      </c>
      <c r="AH184" s="413"/>
      <c r="AI184" s="225">
        <f t="shared" si="75"/>
        <v>0</v>
      </c>
      <c r="AJ184" s="226">
        <f t="shared" si="70"/>
        <v>0</v>
      </c>
      <c r="AK184" s="413"/>
      <c r="AL184" s="225">
        <f t="shared" si="76"/>
        <v>0</v>
      </c>
      <c r="AM184" s="226">
        <f t="shared" si="71"/>
        <v>0</v>
      </c>
      <c r="AN184" s="462" t="str">
        <f t="shared" si="63"/>
        <v/>
      </c>
      <c r="AO184" s="416" t="str">
        <f t="shared" si="64"/>
        <v/>
      </c>
      <c r="AP184" s="416" t="str">
        <f t="shared" si="65"/>
        <v/>
      </c>
      <c r="AQ184" s="416" t="str">
        <f t="shared" si="66"/>
        <v/>
      </c>
      <c r="AR184" s="416" t="str">
        <f t="shared" si="72"/>
        <v/>
      </c>
    </row>
    <row r="185" spans="1:44" ht="14.25">
      <c r="A185" s="830"/>
      <c r="B185" s="99" t="s">
        <v>279</v>
      </c>
      <c r="C185" s="466" t="s">
        <v>184</v>
      </c>
      <c r="D185" s="125" t="s">
        <v>24</v>
      </c>
      <c r="E185" s="126">
        <v>0.58333333333333337</v>
      </c>
      <c r="F185" s="126">
        <v>0.79166666666666663</v>
      </c>
      <c r="G185" s="217">
        <f t="shared" si="56"/>
        <v>0.20833333333333326</v>
      </c>
      <c r="H185" s="218">
        <f t="shared" si="57"/>
        <v>0</v>
      </c>
      <c r="I185" s="96">
        <f t="shared" si="58"/>
        <v>0</v>
      </c>
      <c r="J185" s="219">
        <f t="shared" si="59"/>
        <v>0</v>
      </c>
      <c r="K185" s="220">
        <f t="shared" si="60"/>
        <v>0</v>
      </c>
      <c r="L185" s="100">
        <f t="shared" si="61"/>
        <v>0</v>
      </c>
      <c r="M185" s="221" t="str">
        <f t="shared" si="67"/>
        <v/>
      </c>
      <c r="N185" s="222">
        <f t="shared" si="62"/>
        <v>0</v>
      </c>
      <c r="O185" s="223">
        <f>IF(N185=0,0,IF(SUM($N$5:N185)&gt;251,1,0))</f>
        <v>0</v>
      </c>
      <c r="P185" s="408">
        <v>25</v>
      </c>
      <c r="Q185" s="409">
        <v>0</v>
      </c>
      <c r="R185" s="224"/>
      <c r="S185" s="411" t="s">
        <v>672</v>
      </c>
      <c r="T185" s="225" t="s">
        <v>697</v>
      </c>
      <c r="U185" s="226" t="s">
        <v>698</v>
      </c>
      <c r="V185" s="413" t="s">
        <v>695</v>
      </c>
      <c r="W185" s="225" t="s">
        <v>697</v>
      </c>
      <c r="X185" s="226" t="s">
        <v>698</v>
      </c>
      <c r="Y185" s="413" t="s">
        <v>696</v>
      </c>
      <c r="Z185" s="225" t="s">
        <v>699</v>
      </c>
      <c r="AA185" s="226" t="s">
        <v>698</v>
      </c>
      <c r="AB185" s="413"/>
      <c r="AC185" s="225">
        <f t="shared" si="73"/>
        <v>0</v>
      </c>
      <c r="AD185" s="226">
        <f t="shared" si="68"/>
        <v>0</v>
      </c>
      <c r="AE185" s="413"/>
      <c r="AF185" s="225">
        <f t="shared" si="74"/>
        <v>0</v>
      </c>
      <c r="AG185" s="226">
        <f t="shared" si="69"/>
        <v>0</v>
      </c>
      <c r="AH185" s="413"/>
      <c r="AI185" s="225">
        <f t="shared" si="75"/>
        <v>0</v>
      </c>
      <c r="AJ185" s="226">
        <f t="shared" si="70"/>
        <v>0</v>
      </c>
      <c r="AK185" s="413"/>
      <c r="AL185" s="225">
        <f t="shared" si="76"/>
        <v>0</v>
      </c>
      <c r="AM185" s="226">
        <f t="shared" si="71"/>
        <v>0</v>
      </c>
      <c r="AN185" s="462" t="str">
        <f t="shared" si="63"/>
        <v/>
      </c>
      <c r="AO185" s="416" t="str">
        <f t="shared" si="64"/>
        <v/>
      </c>
      <c r="AP185" s="416" t="str">
        <f t="shared" si="65"/>
        <v/>
      </c>
      <c r="AQ185" s="416" t="str">
        <f t="shared" si="66"/>
        <v/>
      </c>
      <c r="AR185" s="416" t="str">
        <f t="shared" si="72"/>
        <v/>
      </c>
    </row>
    <row r="186" spans="1:44" ht="14.25">
      <c r="A186" s="830"/>
      <c r="B186" s="99" t="s">
        <v>280</v>
      </c>
      <c r="C186" s="466" t="s">
        <v>185</v>
      </c>
      <c r="D186" s="125" t="s">
        <v>24</v>
      </c>
      <c r="E186" s="126">
        <v>0.58333333333333337</v>
      </c>
      <c r="F186" s="126">
        <v>0.79166666666666663</v>
      </c>
      <c r="G186" s="217">
        <f t="shared" si="56"/>
        <v>0.20833333333333326</v>
      </c>
      <c r="H186" s="218">
        <f t="shared" si="57"/>
        <v>0</v>
      </c>
      <c r="I186" s="96">
        <f t="shared" si="58"/>
        <v>0</v>
      </c>
      <c r="J186" s="219">
        <f t="shared" si="59"/>
        <v>0</v>
      </c>
      <c r="K186" s="220">
        <f t="shared" si="60"/>
        <v>0</v>
      </c>
      <c r="L186" s="100">
        <f t="shared" si="61"/>
        <v>0</v>
      </c>
      <c r="M186" s="221" t="str">
        <f t="shared" si="67"/>
        <v/>
      </c>
      <c r="N186" s="222">
        <f t="shared" si="62"/>
        <v>0</v>
      </c>
      <c r="O186" s="223">
        <f>IF(N186=0,0,IF(SUM($N$5:N186)&gt;251,1,0))</f>
        <v>0</v>
      </c>
      <c r="P186" s="408">
        <v>27</v>
      </c>
      <c r="Q186" s="409">
        <v>1</v>
      </c>
      <c r="R186" s="224"/>
      <c r="S186" s="411" t="s">
        <v>672</v>
      </c>
      <c r="T186" s="225" t="s">
        <v>697</v>
      </c>
      <c r="U186" s="226" t="s">
        <v>698</v>
      </c>
      <c r="V186" s="413" t="s">
        <v>695</v>
      </c>
      <c r="W186" s="225" t="s">
        <v>697</v>
      </c>
      <c r="X186" s="226" t="s">
        <v>698</v>
      </c>
      <c r="Y186" s="413" t="s">
        <v>696</v>
      </c>
      <c r="Z186" s="225" t="s">
        <v>699</v>
      </c>
      <c r="AA186" s="226" t="s">
        <v>698</v>
      </c>
      <c r="AB186" s="413"/>
      <c r="AC186" s="225">
        <f t="shared" si="73"/>
        <v>0</v>
      </c>
      <c r="AD186" s="226">
        <f t="shared" si="68"/>
        <v>0</v>
      </c>
      <c r="AE186" s="413"/>
      <c r="AF186" s="225">
        <f t="shared" si="74"/>
        <v>0</v>
      </c>
      <c r="AG186" s="226">
        <f t="shared" si="69"/>
        <v>0</v>
      </c>
      <c r="AH186" s="413"/>
      <c r="AI186" s="225">
        <f t="shared" si="75"/>
        <v>0</v>
      </c>
      <c r="AJ186" s="226">
        <f t="shared" si="70"/>
        <v>0</v>
      </c>
      <c r="AK186" s="413"/>
      <c r="AL186" s="225">
        <f t="shared" si="76"/>
        <v>0</v>
      </c>
      <c r="AM186" s="226">
        <f t="shared" si="71"/>
        <v>0</v>
      </c>
      <c r="AN186" s="462" t="str">
        <f t="shared" si="63"/>
        <v/>
      </c>
      <c r="AO186" s="416" t="str">
        <f t="shared" si="64"/>
        <v/>
      </c>
      <c r="AP186" s="416" t="str">
        <f t="shared" si="65"/>
        <v/>
      </c>
      <c r="AQ186" s="416" t="str">
        <f t="shared" si="66"/>
        <v/>
      </c>
      <c r="AR186" s="416" t="str">
        <f t="shared" si="72"/>
        <v/>
      </c>
    </row>
    <row r="187" spans="1:44" ht="15" thickBot="1">
      <c r="A187" s="831"/>
      <c r="B187" s="101" t="s">
        <v>281</v>
      </c>
      <c r="C187" s="102" t="s">
        <v>186</v>
      </c>
      <c r="D187" s="125" t="s">
        <v>249</v>
      </c>
      <c r="E187" s="126">
        <v>0.375</v>
      </c>
      <c r="F187" s="126">
        <v>0.75</v>
      </c>
      <c r="G187" s="227">
        <f t="shared" si="56"/>
        <v>0.375</v>
      </c>
      <c r="H187" s="228">
        <f t="shared" si="57"/>
        <v>0</v>
      </c>
      <c r="I187" s="103">
        <f t="shared" si="58"/>
        <v>0</v>
      </c>
      <c r="J187" s="229">
        <f t="shared" si="59"/>
        <v>0</v>
      </c>
      <c r="K187" s="230">
        <f t="shared" si="60"/>
        <v>4.1666666666666685E-2</v>
      </c>
      <c r="L187" s="104">
        <f t="shared" si="61"/>
        <v>1</v>
      </c>
      <c r="M187" s="231" t="str">
        <f t="shared" si="67"/>
        <v/>
      </c>
      <c r="N187" s="232">
        <f t="shared" si="62"/>
        <v>1</v>
      </c>
      <c r="O187" s="233">
        <f>IF(N187=0,0,IF(SUM($N$5:N187)&gt;251,1,0))</f>
        <v>0</v>
      </c>
      <c r="P187" s="408">
        <v>5</v>
      </c>
      <c r="Q187" s="409">
        <v>0</v>
      </c>
      <c r="R187" s="236">
        <f>SUM(P158:P187)</f>
        <v>518</v>
      </c>
      <c r="S187" s="411" t="s">
        <v>672</v>
      </c>
      <c r="T187" s="225" t="s">
        <v>697</v>
      </c>
      <c r="U187" s="235" t="s">
        <v>698</v>
      </c>
      <c r="V187" s="414" t="s">
        <v>695</v>
      </c>
      <c r="W187" s="225" t="s">
        <v>697</v>
      </c>
      <c r="X187" s="235" t="s">
        <v>698</v>
      </c>
      <c r="Y187" s="414" t="s">
        <v>696</v>
      </c>
      <c r="Z187" s="225" t="s">
        <v>699</v>
      </c>
      <c r="AA187" s="235" t="s">
        <v>698</v>
      </c>
      <c r="AB187" s="414"/>
      <c r="AC187" s="225">
        <f t="shared" si="73"/>
        <v>0</v>
      </c>
      <c r="AD187" s="235">
        <f t="shared" si="68"/>
        <v>0</v>
      </c>
      <c r="AE187" s="414"/>
      <c r="AF187" s="225">
        <f t="shared" si="74"/>
        <v>0</v>
      </c>
      <c r="AG187" s="235">
        <f t="shared" si="69"/>
        <v>0</v>
      </c>
      <c r="AH187" s="414"/>
      <c r="AI187" s="225">
        <f t="shared" si="75"/>
        <v>0</v>
      </c>
      <c r="AJ187" s="235">
        <f t="shared" si="70"/>
        <v>0</v>
      </c>
      <c r="AK187" s="414"/>
      <c r="AL187" s="225">
        <f t="shared" si="76"/>
        <v>0</v>
      </c>
      <c r="AM187" s="235">
        <f t="shared" si="71"/>
        <v>0</v>
      </c>
      <c r="AN187" s="463" t="str">
        <f t="shared" si="63"/>
        <v/>
      </c>
      <c r="AO187" s="417" t="str">
        <f t="shared" si="64"/>
        <v/>
      </c>
      <c r="AP187" s="417" t="str">
        <f t="shared" si="65"/>
        <v/>
      </c>
      <c r="AQ187" s="417" t="str">
        <f t="shared" si="66"/>
        <v/>
      </c>
      <c r="AR187" s="416" t="str">
        <f t="shared" si="72"/>
        <v/>
      </c>
    </row>
    <row r="188" spans="1:44" ht="14.25">
      <c r="A188" s="829" t="s">
        <v>286</v>
      </c>
      <c r="B188" s="467" t="s">
        <v>248</v>
      </c>
      <c r="C188" s="468" t="s">
        <v>262</v>
      </c>
      <c r="D188" s="125" t="s">
        <v>251</v>
      </c>
      <c r="E188" s="126"/>
      <c r="F188" s="126"/>
      <c r="G188" s="207">
        <f t="shared" si="56"/>
        <v>0</v>
      </c>
      <c r="H188" s="208">
        <f t="shared" si="57"/>
        <v>0</v>
      </c>
      <c r="I188" s="95">
        <f t="shared" si="58"/>
        <v>0</v>
      </c>
      <c r="J188" s="209">
        <f t="shared" si="59"/>
        <v>0</v>
      </c>
      <c r="K188" s="210">
        <f t="shared" si="60"/>
        <v>0</v>
      </c>
      <c r="L188" s="97">
        <f t="shared" si="61"/>
        <v>0</v>
      </c>
      <c r="M188" s="211" t="str">
        <f t="shared" si="67"/>
        <v/>
      </c>
      <c r="N188" s="212">
        <f t="shared" si="62"/>
        <v>0</v>
      </c>
      <c r="O188" s="213">
        <f>IF(N188=0,0,IF(SUM($N$5:N188)&gt;251,1,0))</f>
        <v>0</v>
      </c>
      <c r="P188" s="408"/>
      <c r="Q188" s="409"/>
      <c r="R188" s="214"/>
      <c r="S188" s="411"/>
      <c r="T188" s="225">
        <f t="shared" si="77"/>
        <v>0</v>
      </c>
      <c r="U188" s="216">
        <f t="shared" si="78"/>
        <v>0</v>
      </c>
      <c r="V188" s="412"/>
      <c r="W188" s="225">
        <f t="shared" si="79"/>
        <v>0</v>
      </c>
      <c r="X188" s="216">
        <f t="shared" si="80"/>
        <v>0</v>
      </c>
      <c r="Y188" s="412"/>
      <c r="Z188" s="225">
        <f t="shared" si="81"/>
        <v>0</v>
      </c>
      <c r="AA188" s="216">
        <f t="shared" si="82"/>
        <v>0</v>
      </c>
      <c r="AB188" s="412"/>
      <c r="AC188" s="225">
        <f t="shared" si="73"/>
        <v>0</v>
      </c>
      <c r="AD188" s="216">
        <f t="shared" si="68"/>
        <v>0</v>
      </c>
      <c r="AE188" s="412"/>
      <c r="AF188" s="225">
        <f t="shared" si="74"/>
        <v>0</v>
      </c>
      <c r="AG188" s="216">
        <f t="shared" si="69"/>
        <v>0</v>
      </c>
      <c r="AH188" s="412"/>
      <c r="AI188" s="225">
        <f t="shared" si="75"/>
        <v>0</v>
      </c>
      <c r="AJ188" s="216">
        <f t="shared" si="70"/>
        <v>0</v>
      </c>
      <c r="AK188" s="412"/>
      <c r="AL188" s="225">
        <f t="shared" si="76"/>
        <v>0</v>
      </c>
      <c r="AM188" s="216">
        <f t="shared" si="71"/>
        <v>0</v>
      </c>
      <c r="AN188" s="461" t="str">
        <f t="shared" si="63"/>
        <v/>
      </c>
      <c r="AO188" s="418" t="str">
        <f t="shared" si="64"/>
        <v/>
      </c>
      <c r="AP188" s="418" t="str">
        <f t="shared" si="65"/>
        <v/>
      </c>
      <c r="AQ188" s="415" t="str">
        <f t="shared" si="66"/>
        <v/>
      </c>
      <c r="AR188" s="416" t="str">
        <f t="shared" si="72"/>
        <v/>
      </c>
    </row>
    <row r="189" spans="1:44" ht="14.25">
      <c r="A189" s="830"/>
      <c r="B189" s="99" t="s">
        <v>250</v>
      </c>
      <c r="C189" s="466" t="s">
        <v>182</v>
      </c>
      <c r="D189" s="125" t="s">
        <v>24</v>
      </c>
      <c r="E189" s="126">
        <v>0.58333333333333337</v>
      </c>
      <c r="F189" s="126">
        <v>0.79166666666666663</v>
      </c>
      <c r="G189" s="217">
        <f t="shared" si="56"/>
        <v>0.20833333333333326</v>
      </c>
      <c r="H189" s="218">
        <f t="shared" si="57"/>
        <v>0</v>
      </c>
      <c r="I189" s="96">
        <f t="shared" si="58"/>
        <v>0</v>
      </c>
      <c r="J189" s="219">
        <f t="shared" si="59"/>
        <v>0</v>
      </c>
      <c r="K189" s="220">
        <f t="shared" si="60"/>
        <v>0</v>
      </c>
      <c r="L189" s="100">
        <f t="shared" si="61"/>
        <v>0</v>
      </c>
      <c r="M189" s="221" t="str">
        <f t="shared" si="67"/>
        <v/>
      </c>
      <c r="N189" s="222">
        <f t="shared" si="62"/>
        <v>0</v>
      </c>
      <c r="O189" s="223">
        <f>IF(N189=0,0,IF(SUM($N$5:N189)&gt;251,1,0))</f>
        <v>0</v>
      </c>
      <c r="P189" s="408">
        <v>26</v>
      </c>
      <c r="Q189" s="409">
        <v>0</v>
      </c>
      <c r="R189" s="224"/>
      <c r="S189" s="411" t="s">
        <v>672</v>
      </c>
      <c r="T189" s="225" t="s">
        <v>697</v>
      </c>
      <c r="U189" s="226" t="s">
        <v>698</v>
      </c>
      <c r="V189" s="413" t="s">
        <v>695</v>
      </c>
      <c r="W189" s="225" t="s">
        <v>697</v>
      </c>
      <c r="X189" s="226" t="s">
        <v>698</v>
      </c>
      <c r="Y189" s="413" t="s">
        <v>696</v>
      </c>
      <c r="Z189" s="225" t="s">
        <v>699</v>
      </c>
      <c r="AA189" s="226" t="s">
        <v>698</v>
      </c>
      <c r="AB189" s="413"/>
      <c r="AC189" s="225">
        <f t="shared" si="73"/>
        <v>0</v>
      </c>
      <c r="AD189" s="226">
        <f t="shared" si="68"/>
        <v>0</v>
      </c>
      <c r="AE189" s="413"/>
      <c r="AF189" s="225">
        <f t="shared" si="74"/>
        <v>0</v>
      </c>
      <c r="AG189" s="226">
        <f t="shared" si="69"/>
        <v>0</v>
      </c>
      <c r="AH189" s="413"/>
      <c r="AI189" s="225">
        <f t="shared" si="75"/>
        <v>0</v>
      </c>
      <c r="AJ189" s="226">
        <f t="shared" si="70"/>
        <v>0</v>
      </c>
      <c r="AK189" s="413"/>
      <c r="AL189" s="225">
        <f t="shared" si="76"/>
        <v>0</v>
      </c>
      <c r="AM189" s="226">
        <f t="shared" si="71"/>
        <v>0</v>
      </c>
      <c r="AN189" s="462" t="str">
        <f t="shared" si="63"/>
        <v/>
      </c>
      <c r="AO189" s="416" t="str">
        <f t="shared" si="64"/>
        <v/>
      </c>
      <c r="AP189" s="416" t="str">
        <f t="shared" si="65"/>
        <v/>
      </c>
      <c r="AQ189" s="416" t="str">
        <f t="shared" si="66"/>
        <v/>
      </c>
      <c r="AR189" s="416" t="str">
        <f t="shared" si="72"/>
        <v/>
      </c>
    </row>
    <row r="190" spans="1:44" ht="14.25">
      <c r="A190" s="830"/>
      <c r="B190" s="99" t="s">
        <v>252</v>
      </c>
      <c r="C190" s="466" t="s">
        <v>187</v>
      </c>
      <c r="D190" s="125" t="s">
        <v>24</v>
      </c>
      <c r="E190" s="126">
        <v>0.58333333333333337</v>
      </c>
      <c r="F190" s="126">
        <v>0.79166666666666663</v>
      </c>
      <c r="G190" s="217">
        <f t="shared" si="56"/>
        <v>0.20833333333333326</v>
      </c>
      <c r="H190" s="218">
        <f t="shared" si="57"/>
        <v>0</v>
      </c>
      <c r="I190" s="96">
        <f t="shared" si="58"/>
        <v>0</v>
      </c>
      <c r="J190" s="219">
        <f t="shared" si="59"/>
        <v>0</v>
      </c>
      <c r="K190" s="220">
        <f t="shared" si="60"/>
        <v>0</v>
      </c>
      <c r="L190" s="100">
        <f t="shared" si="61"/>
        <v>0</v>
      </c>
      <c r="M190" s="221" t="str">
        <f t="shared" si="67"/>
        <v/>
      </c>
      <c r="N190" s="222">
        <f t="shared" si="62"/>
        <v>0</v>
      </c>
      <c r="O190" s="223">
        <f>IF(N190=0,0,IF(SUM($N$5:N190)&gt;251,1,0))</f>
        <v>0</v>
      </c>
      <c r="P190" s="408">
        <v>27</v>
      </c>
      <c r="Q190" s="409">
        <v>0</v>
      </c>
      <c r="R190" s="224"/>
      <c r="S190" s="411" t="s">
        <v>672</v>
      </c>
      <c r="T190" s="225" t="s">
        <v>697</v>
      </c>
      <c r="U190" s="226" t="s">
        <v>698</v>
      </c>
      <c r="V190" s="413" t="s">
        <v>695</v>
      </c>
      <c r="W190" s="225" t="s">
        <v>697</v>
      </c>
      <c r="X190" s="226" t="s">
        <v>698</v>
      </c>
      <c r="Y190" s="413" t="s">
        <v>696</v>
      </c>
      <c r="Z190" s="225" t="s">
        <v>699</v>
      </c>
      <c r="AA190" s="226" t="s">
        <v>698</v>
      </c>
      <c r="AB190" s="413"/>
      <c r="AC190" s="225">
        <f t="shared" si="73"/>
        <v>0</v>
      </c>
      <c r="AD190" s="226">
        <f t="shared" si="68"/>
        <v>0</v>
      </c>
      <c r="AE190" s="413"/>
      <c r="AF190" s="225">
        <f t="shared" si="74"/>
        <v>0</v>
      </c>
      <c r="AG190" s="226">
        <f t="shared" si="69"/>
        <v>0</v>
      </c>
      <c r="AH190" s="413"/>
      <c r="AI190" s="225">
        <f t="shared" si="75"/>
        <v>0</v>
      </c>
      <c r="AJ190" s="226">
        <f t="shared" si="70"/>
        <v>0</v>
      </c>
      <c r="AK190" s="413"/>
      <c r="AL190" s="225">
        <f t="shared" si="76"/>
        <v>0</v>
      </c>
      <c r="AM190" s="226">
        <f t="shared" si="71"/>
        <v>0</v>
      </c>
      <c r="AN190" s="462" t="str">
        <f t="shared" si="63"/>
        <v/>
      </c>
      <c r="AO190" s="416" t="str">
        <f t="shared" si="64"/>
        <v/>
      </c>
      <c r="AP190" s="416" t="str">
        <f t="shared" si="65"/>
        <v/>
      </c>
      <c r="AQ190" s="416" t="str">
        <f t="shared" si="66"/>
        <v/>
      </c>
      <c r="AR190" s="416" t="str">
        <f t="shared" si="72"/>
        <v/>
      </c>
    </row>
    <row r="191" spans="1:44" ht="14.25">
      <c r="A191" s="830"/>
      <c r="B191" s="99" t="s">
        <v>254</v>
      </c>
      <c r="C191" s="466" t="s">
        <v>183</v>
      </c>
      <c r="D191" s="125" t="s">
        <v>24</v>
      </c>
      <c r="E191" s="126">
        <v>0.58333333333333337</v>
      </c>
      <c r="F191" s="126">
        <v>0.79166666666666663</v>
      </c>
      <c r="G191" s="217">
        <f t="shared" si="56"/>
        <v>0.20833333333333326</v>
      </c>
      <c r="H191" s="218">
        <f t="shared" si="57"/>
        <v>0</v>
      </c>
      <c r="I191" s="96">
        <f t="shared" si="58"/>
        <v>0</v>
      </c>
      <c r="J191" s="219">
        <f t="shared" si="59"/>
        <v>0</v>
      </c>
      <c r="K191" s="220">
        <f t="shared" si="60"/>
        <v>0</v>
      </c>
      <c r="L191" s="100">
        <f t="shared" si="61"/>
        <v>0</v>
      </c>
      <c r="M191" s="221" t="str">
        <f t="shared" si="67"/>
        <v/>
      </c>
      <c r="N191" s="222">
        <f t="shared" si="62"/>
        <v>0</v>
      </c>
      <c r="O191" s="223">
        <f>IF(N191=0,0,IF(SUM($N$5:N191)&gt;251,1,0))</f>
        <v>0</v>
      </c>
      <c r="P191" s="408">
        <v>25</v>
      </c>
      <c r="Q191" s="409">
        <v>0</v>
      </c>
      <c r="R191" s="224"/>
      <c r="S191" s="411" t="s">
        <v>672</v>
      </c>
      <c r="T191" s="225" t="s">
        <v>697</v>
      </c>
      <c r="U191" s="226" t="s">
        <v>698</v>
      </c>
      <c r="V191" s="413" t="s">
        <v>695</v>
      </c>
      <c r="W191" s="225" t="s">
        <v>697</v>
      </c>
      <c r="X191" s="226" t="s">
        <v>698</v>
      </c>
      <c r="Y191" s="413" t="s">
        <v>696</v>
      </c>
      <c r="Z191" s="225" t="s">
        <v>699</v>
      </c>
      <c r="AA191" s="226" t="s">
        <v>698</v>
      </c>
      <c r="AB191" s="413"/>
      <c r="AC191" s="225">
        <f t="shared" si="73"/>
        <v>0</v>
      </c>
      <c r="AD191" s="226">
        <f t="shared" si="68"/>
        <v>0</v>
      </c>
      <c r="AE191" s="413"/>
      <c r="AF191" s="225">
        <f t="shared" si="74"/>
        <v>0</v>
      </c>
      <c r="AG191" s="226">
        <f t="shared" si="69"/>
        <v>0</v>
      </c>
      <c r="AH191" s="413"/>
      <c r="AI191" s="225">
        <f t="shared" si="75"/>
        <v>0</v>
      </c>
      <c r="AJ191" s="226">
        <f t="shared" si="70"/>
        <v>0</v>
      </c>
      <c r="AK191" s="413"/>
      <c r="AL191" s="225">
        <f t="shared" si="76"/>
        <v>0</v>
      </c>
      <c r="AM191" s="226">
        <f t="shared" si="71"/>
        <v>0</v>
      </c>
      <c r="AN191" s="462" t="str">
        <f t="shared" si="63"/>
        <v/>
      </c>
      <c r="AO191" s="416" t="str">
        <f t="shared" si="64"/>
        <v/>
      </c>
      <c r="AP191" s="416" t="str">
        <f t="shared" si="65"/>
        <v/>
      </c>
      <c r="AQ191" s="416" t="str">
        <f t="shared" si="66"/>
        <v/>
      </c>
      <c r="AR191" s="416" t="str">
        <f t="shared" si="72"/>
        <v/>
      </c>
    </row>
    <row r="192" spans="1:44" ht="14.25">
      <c r="A192" s="830"/>
      <c r="B192" s="99" t="s">
        <v>255</v>
      </c>
      <c r="C192" s="466" t="s">
        <v>184</v>
      </c>
      <c r="D192" s="125" t="s">
        <v>24</v>
      </c>
      <c r="E192" s="126">
        <v>0.58333333333333337</v>
      </c>
      <c r="F192" s="126">
        <v>0.79166666666666663</v>
      </c>
      <c r="G192" s="217">
        <f t="shared" si="56"/>
        <v>0.20833333333333326</v>
      </c>
      <c r="H192" s="218">
        <f t="shared" si="57"/>
        <v>0</v>
      </c>
      <c r="I192" s="96">
        <f t="shared" si="58"/>
        <v>0</v>
      </c>
      <c r="J192" s="219">
        <f t="shared" si="59"/>
        <v>0</v>
      </c>
      <c r="K192" s="220">
        <f t="shared" si="60"/>
        <v>0</v>
      </c>
      <c r="L192" s="100">
        <f t="shared" si="61"/>
        <v>0</v>
      </c>
      <c r="M192" s="221" t="str">
        <f t="shared" si="67"/>
        <v/>
      </c>
      <c r="N192" s="222">
        <f t="shared" si="62"/>
        <v>0</v>
      </c>
      <c r="O192" s="223">
        <f>IF(N192=0,0,IF(SUM($N$5:N192)&gt;251,1,0))</f>
        <v>0</v>
      </c>
      <c r="P192" s="408">
        <v>24</v>
      </c>
      <c r="Q192" s="409">
        <v>1</v>
      </c>
      <c r="R192" s="224"/>
      <c r="S192" s="411" t="s">
        <v>672</v>
      </c>
      <c r="T192" s="225" t="s">
        <v>697</v>
      </c>
      <c r="U192" s="226" t="s">
        <v>698</v>
      </c>
      <c r="V192" s="413" t="s">
        <v>695</v>
      </c>
      <c r="W192" s="225" t="s">
        <v>697</v>
      </c>
      <c r="X192" s="226" t="s">
        <v>698</v>
      </c>
      <c r="Y192" s="413" t="s">
        <v>696</v>
      </c>
      <c r="Z192" s="225" t="s">
        <v>699</v>
      </c>
      <c r="AA192" s="226" t="s">
        <v>698</v>
      </c>
      <c r="AB192" s="413"/>
      <c r="AC192" s="225">
        <f t="shared" si="73"/>
        <v>0</v>
      </c>
      <c r="AD192" s="226">
        <f t="shared" si="68"/>
        <v>0</v>
      </c>
      <c r="AE192" s="413"/>
      <c r="AF192" s="225">
        <f t="shared" si="74"/>
        <v>0</v>
      </c>
      <c r="AG192" s="226">
        <f t="shared" si="69"/>
        <v>0</v>
      </c>
      <c r="AH192" s="413"/>
      <c r="AI192" s="225">
        <f t="shared" si="75"/>
        <v>0</v>
      </c>
      <c r="AJ192" s="226">
        <f t="shared" si="70"/>
        <v>0</v>
      </c>
      <c r="AK192" s="413"/>
      <c r="AL192" s="225">
        <f t="shared" si="76"/>
        <v>0</v>
      </c>
      <c r="AM192" s="226">
        <f t="shared" si="71"/>
        <v>0</v>
      </c>
      <c r="AN192" s="462" t="str">
        <f t="shared" si="63"/>
        <v/>
      </c>
      <c r="AO192" s="416" t="str">
        <f t="shared" si="64"/>
        <v/>
      </c>
      <c r="AP192" s="416" t="str">
        <f t="shared" si="65"/>
        <v/>
      </c>
      <c r="AQ192" s="416" t="str">
        <f t="shared" si="66"/>
        <v/>
      </c>
      <c r="AR192" s="416" t="str">
        <f t="shared" si="72"/>
        <v/>
      </c>
    </row>
    <row r="193" spans="1:44" ht="14.25">
      <c r="A193" s="830"/>
      <c r="B193" s="99" t="s">
        <v>256</v>
      </c>
      <c r="C193" s="466" t="s">
        <v>185</v>
      </c>
      <c r="D193" s="125" t="s">
        <v>24</v>
      </c>
      <c r="E193" s="126">
        <v>0.58333333333333337</v>
      </c>
      <c r="F193" s="126">
        <v>0.79166666666666663</v>
      </c>
      <c r="G193" s="217">
        <f t="shared" si="56"/>
        <v>0.20833333333333326</v>
      </c>
      <c r="H193" s="218">
        <f t="shared" si="57"/>
        <v>0</v>
      </c>
      <c r="I193" s="96">
        <f t="shared" si="58"/>
        <v>0</v>
      </c>
      <c r="J193" s="219">
        <f t="shared" si="59"/>
        <v>0</v>
      </c>
      <c r="K193" s="220">
        <f t="shared" si="60"/>
        <v>0</v>
      </c>
      <c r="L193" s="100">
        <f t="shared" si="61"/>
        <v>0</v>
      </c>
      <c r="M193" s="221" t="str">
        <f t="shared" si="67"/>
        <v/>
      </c>
      <c r="N193" s="222">
        <f t="shared" si="62"/>
        <v>0</v>
      </c>
      <c r="O193" s="223">
        <f>IF(N193=0,0,IF(SUM($N$5:N193)&gt;251,1,0))</f>
        <v>0</v>
      </c>
      <c r="P193" s="408">
        <v>25</v>
      </c>
      <c r="Q193" s="409">
        <v>0</v>
      </c>
      <c r="R193" s="224"/>
      <c r="S193" s="411" t="s">
        <v>672</v>
      </c>
      <c r="T193" s="225" t="s">
        <v>697</v>
      </c>
      <c r="U193" s="226" t="s">
        <v>698</v>
      </c>
      <c r="V193" s="413" t="s">
        <v>695</v>
      </c>
      <c r="W193" s="225" t="s">
        <v>697</v>
      </c>
      <c r="X193" s="226" t="s">
        <v>698</v>
      </c>
      <c r="Y193" s="413" t="s">
        <v>696</v>
      </c>
      <c r="Z193" s="225" t="s">
        <v>699</v>
      </c>
      <c r="AA193" s="226" t="s">
        <v>698</v>
      </c>
      <c r="AB193" s="413"/>
      <c r="AC193" s="225">
        <f t="shared" si="73"/>
        <v>0</v>
      </c>
      <c r="AD193" s="226">
        <f t="shared" si="68"/>
        <v>0</v>
      </c>
      <c r="AE193" s="413"/>
      <c r="AF193" s="225">
        <f t="shared" si="74"/>
        <v>0</v>
      </c>
      <c r="AG193" s="226">
        <f t="shared" si="69"/>
        <v>0</v>
      </c>
      <c r="AH193" s="413"/>
      <c r="AI193" s="225">
        <f t="shared" si="75"/>
        <v>0</v>
      </c>
      <c r="AJ193" s="226">
        <f t="shared" si="70"/>
        <v>0</v>
      </c>
      <c r="AK193" s="413"/>
      <c r="AL193" s="225">
        <f t="shared" si="76"/>
        <v>0</v>
      </c>
      <c r="AM193" s="226">
        <f t="shared" si="71"/>
        <v>0</v>
      </c>
      <c r="AN193" s="462" t="str">
        <f t="shared" si="63"/>
        <v/>
      </c>
      <c r="AO193" s="416" t="str">
        <f t="shared" si="64"/>
        <v/>
      </c>
      <c r="AP193" s="416" t="str">
        <f t="shared" si="65"/>
        <v/>
      </c>
      <c r="AQ193" s="416" t="str">
        <f t="shared" si="66"/>
        <v/>
      </c>
      <c r="AR193" s="416" t="str">
        <f t="shared" si="72"/>
        <v/>
      </c>
    </row>
    <row r="194" spans="1:44" ht="14.25">
      <c r="A194" s="830"/>
      <c r="B194" s="99" t="s">
        <v>257</v>
      </c>
      <c r="C194" s="466" t="s">
        <v>186</v>
      </c>
      <c r="D194" s="125" t="s">
        <v>249</v>
      </c>
      <c r="E194" s="126">
        <v>0.375</v>
      </c>
      <c r="F194" s="126">
        <v>0.75</v>
      </c>
      <c r="G194" s="217">
        <f t="shared" si="56"/>
        <v>0.375</v>
      </c>
      <c r="H194" s="218">
        <f t="shared" si="57"/>
        <v>0</v>
      </c>
      <c r="I194" s="96">
        <f t="shared" si="58"/>
        <v>0</v>
      </c>
      <c r="J194" s="219">
        <f t="shared" si="59"/>
        <v>0</v>
      </c>
      <c r="K194" s="220">
        <f t="shared" si="60"/>
        <v>4.1666666666666685E-2</v>
      </c>
      <c r="L194" s="100">
        <f t="shared" si="61"/>
        <v>1</v>
      </c>
      <c r="M194" s="221" t="str">
        <f t="shared" si="67"/>
        <v/>
      </c>
      <c r="N194" s="222">
        <f t="shared" si="62"/>
        <v>1</v>
      </c>
      <c r="O194" s="223">
        <f>IF(N194=0,0,IF(SUM($N$5:N194)&gt;251,1,0))</f>
        <v>0</v>
      </c>
      <c r="P194" s="408">
        <v>2</v>
      </c>
      <c r="Q194" s="409">
        <v>0</v>
      </c>
      <c r="R194" s="224"/>
      <c r="S194" s="411" t="s">
        <v>672</v>
      </c>
      <c r="T194" s="225" t="s">
        <v>697</v>
      </c>
      <c r="U194" s="226" t="s">
        <v>698</v>
      </c>
      <c r="V194" s="413" t="s">
        <v>695</v>
      </c>
      <c r="W194" s="225" t="s">
        <v>697</v>
      </c>
      <c r="X194" s="226" t="s">
        <v>698</v>
      </c>
      <c r="Y194" s="413" t="s">
        <v>696</v>
      </c>
      <c r="Z194" s="225" t="s">
        <v>699</v>
      </c>
      <c r="AA194" s="226" t="s">
        <v>698</v>
      </c>
      <c r="AB194" s="413"/>
      <c r="AC194" s="225">
        <f t="shared" si="73"/>
        <v>0</v>
      </c>
      <c r="AD194" s="226">
        <f t="shared" si="68"/>
        <v>0</v>
      </c>
      <c r="AE194" s="413"/>
      <c r="AF194" s="225">
        <f t="shared" si="74"/>
        <v>0</v>
      </c>
      <c r="AG194" s="226">
        <f t="shared" si="69"/>
        <v>0</v>
      </c>
      <c r="AH194" s="413"/>
      <c r="AI194" s="225">
        <f t="shared" si="75"/>
        <v>0</v>
      </c>
      <c r="AJ194" s="226">
        <f t="shared" si="70"/>
        <v>0</v>
      </c>
      <c r="AK194" s="413"/>
      <c r="AL194" s="225">
        <f t="shared" si="76"/>
        <v>0</v>
      </c>
      <c r="AM194" s="226">
        <f t="shared" si="71"/>
        <v>0</v>
      </c>
      <c r="AN194" s="462" t="str">
        <f t="shared" si="63"/>
        <v/>
      </c>
      <c r="AO194" s="416" t="str">
        <f t="shared" si="64"/>
        <v/>
      </c>
      <c r="AP194" s="416" t="str">
        <f t="shared" si="65"/>
        <v/>
      </c>
      <c r="AQ194" s="416" t="str">
        <f t="shared" si="66"/>
        <v/>
      </c>
      <c r="AR194" s="416" t="str">
        <f t="shared" si="72"/>
        <v/>
      </c>
    </row>
    <row r="195" spans="1:44" ht="14.25">
      <c r="A195" s="830"/>
      <c r="B195" s="99" t="s">
        <v>258</v>
      </c>
      <c r="C195" s="466" t="s">
        <v>262</v>
      </c>
      <c r="D195" s="125" t="s">
        <v>251</v>
      </c>
      <c r="E195" s="126"/>
      <c r="F195" s="126"/>
      <c r="G195" s="217">
        <f t="shared" si="56"/>
        <v>0</v>
      </c>
      <c r="H195" s="218">
        <f t="shared" si="57"/>
        <v>0</v>
      </c>
      <c r="I195" s="96">
        <f t="shared" si="58"/>
        <v>0</v>
      </c>
      <c r="J195" s="219">
        <f t="shared" si="59"/>
        <v>0</v>
      </c>
      <c r="K195" s="220">
        <f t="shared" si="60"/>
        <v>0</v>
      </c>
      <c r="L195" s="100">
        <f t="shared" si="61"/>
        <v>0</v>
      </c>
      <c r="M195" s="221" t="str">
        <f t="shared" si="67"/>
        <v/>
      </c>
      <c r="N195" s="222">
        <f t="shared" si="62"/>
        <v>0</v>
      </c>
      <c r="O195" s="223">
        <f>IF(N195=0,0,IF(SUM($N$5:N195)&gt;251,1,0))</f>
        <v>0</v>
      </c>
      <c r="P195" s="408"/>
      <c r="Q195" s="409"/>
      <c r="R195" s="224"/>
      <c r="S195" s="411"/>
      <c r="T195" s="225">
        <f t="shared" si="77"/>
        <v>0</v>
      </c>
      <c r="U195" s="226">
        <f t="shared" si="78"/>
        <v>0</v>
      </c>
      <c r="V195" s="413"/>
      <c r="W195" s="225">
        <f t="shared" si="79"/>
        <v>0</v>
      </c>
      <c r="X195" s="226">
        <f t="shared" si="80"/>
        <v>0</v>
      </c>
      <c r="Y195" s="413"/>
      <c r="Z195" s="225">
        <f t="shared" si="81"/>
        <v>0</v>
      </c>
      <c r="AA195" s="226">
        <f t="shared" si="82"/>
        <v>0</v>
      </c>
      <c r="AB195" s="413"/>
      <c r="AC195" s="225">
        <f t="shared" si="73"/>
        <v>0</v>
      </c>
      <c r="AD195" s="226">
        <f t="shared" si="68"/>
        <v>0</v>
      </c>
      <c r="AE195" s="413"/>
      <c r="AF195" s="225">
        <f t="shared" si="74"/>
        <v>0</v>
      </c>
      <c r="AG195" s="226">
        <f t="shared" si="69"/>
        <v>0</v>
      </c>
      <c r="AH195" s="413"/>
      <c r="AI195" s="225">
        <f t="shared" si="75"/>
        <v>0</v>
      </c>
      <c r="AJ195" s="226">
        <f t="shared" si="70"/>
        <v>0</v>
      </c>
      <c r="AK195" s="413"/>
      <c r="AL195" s="225">
        <f t="shared" si="76"/>
        <v>0</v>
      </c>
      <c r="AM195" s="226">
        <f t="shared" si="71"/>
        <v>0</v>
      </c>
      <c r="AN195" s="462" t="str">
        <f t="shared" si="63"/>
        <v/>
      </c>
      <c r="AO195" s="416" t="str">
        <f t="shared" si="64"/>
        <v/>
      </c>
      <c r="AP195" s="416" t="str">
        <f t="shared" si="65"/>
        <v/>
      </c>
      <c r="AQ195" s="416" t="str">
        <f t="shared" si="66"/>
        <v/>
      </c>
      <c r="AR195" s="416" t="str">
        <f t="shared" si="72"/>
        <v/>
      </c>
    </row>
    <row r="196" spans="1:44" ht="14.25">
      <c r="A196" s="830"/>
      <c r="B196" s="99" t="s">
        <v>259</v>
      </c>
      <c r="C196" s="466" t="s">
        <v>600</v>
      </c>
      <c r="D196" s="125" t="s">
        <v>249</v>
      </c>
      <c r="E196" s="126">
        <v>0.375</v>
      </c>
      <c r="F196" s="126">
        <v>0.75</v>
      </c>
      <c r="G196" s="217">
        <f t="shared" si="56"/>
        <v>0.375</v>
      </c>
      <c r="H196" s="218">
        <f t="shared" si="57"/>
        <v>0</v>
      </c>
      <c r="I196" s="96">
        <f t="shared" si="58"/>
        <v>0</v>
      </c>
      <c r="J196" s="219">
        <f t="shared" si="59"/>
        <v>0</v>
      </c>
      <c r="K196" s="220">
        <f t="shared" si="60"/>
        <v>4.1666666666666685E-2</v>
      </c>
      <c r="L196" s="100">
        <f t="shared" si="61"/>
        <v>1</v>
      </c>
      <c r="M196" s="221" t="str">
        <f t="shared" si="67"/>
        <v/>
      </c>
      <c r="N196" s="222">
        <f t="shared" si="62"/>
        <v>1</v>
      </c>
      <c r="O196" s="223">
        <f>IF(N196=0,0,IF(SUM($N$5:N196)&gt;251,1,0))</f>
        <v>0</v>
      </c>
      <c r="P196" s="408">
        <v>4</v>
      </c>
      <c r="Q196" s="409">
        <v>0</v>
      </c>
      <c r="R196" s="224"/>
      <c r="S196" s="411" t="s">
        <v>672</v>
      </c>
      <c r="T196" s="225" t="s">
        <v>697</v>
      </c>
      <c r="U196" s="226" t="s">
        <v>698</v>
      </c>
      <c r="V196" s="413" t="s">
        <v>695</v>
      </c>
      <c r="W196" s="225" t="s">
        <v>697</v>
      </c>
      <c r="X196" s="226" t="s">
        <v>698</v>
      </c>
      <c r="Y196" s="413" t="s">
        <v>696</v>
      </c>
      <c r="Z196" s="225" t="s">
        <v>699</v>
      </c>
      <c r="AA196" s="226" t="s">
        <v>698</v>
      </c>
      <c r="AB196" s="413"/>
      <c r="AC196" s="225">
        <f t="shared" si="73"/>
        <v>0</v>
      </c>
      <c r="AD196" s="226">
        <f t="shared" si="68"/>
        <v>0</v>
      </c>
      <c r="AE196" s="413"/>
      <c r="AF196" s="225">
        <f t="shared" si="74"/>
        <v>0</v>
      </c>
      <c r="AG196" s="226">
        <f t="shared" si="69"/>
        <v>0</v>
      </c>
      <c r="AH196" s="413"/>
      <c r="AI196" s="225">
        <f t="shared" si="75"/>
        <v>0</v>
      </c>
      <c r="AJ196" s="226">
        <f t="shared" si="70"/>
        <v>0</v>
      </c>
      <c r="AK196" s="413"/>
      <c r="AL196" s="225">
        <f t="shared" si="76"/>
        <v>0</v>
      </c>
      <c r="AM196" s="226">
        <f t="shared" si="71"/>
        <v>0</v>
      </c>
      <c r="AN196" s="462" t="str">
        <f t="shared" si="63"/>
        <v/>
      </c>
      <c r="AO196" s="416" t="str">
        <f t="shared" si="64"/>
        <v/>
      </c>
      <c r="AP196" s="416" t="str">
        <f t="shared" si="65"/>
        <v/>
      </c>
      <c r="AQ196" s="416" t="str">
        <f t="shared" si="66"/>
        <v/>
      </c>
      <c r="AR196" s="416" t="str">
        <f t="shared" si="72"/>
        <v/>
      </c>
    </row>
    <row r="197" spans="1:44" ht="14.25">
      <c r="A197" s="830"/>
      <c r="B197" s="99" t="s">
        <v>260</v>
      </c>
      <c r="C197" s="466" t="s">
        <v>187</v>
      </c>
      <c r="D197" s="125" t="s">
        <v>24</v>
      </c>
      <c r="E197" s="126">
        <v>0.58333333333333337</v>
      </c>
      <c r="F197" s="126">
        <v>0.79166666666666663</v>
      </c>
      <c r="G197" s="217">
        <f t="shared" ref="G197:G260" si="83">F197-E197</f>
        <v>0.20833333333333326</v>
      </c>
      <c r="H197" s="218">
        <f t="shared" ref="H197:H260" si="84">IF(D197="平日",IF(E197+TIME(6,0,0)&lt;TIME(17,59,59),F197-TIME(18,0,0),0),0)</f>
        <v>0</v>
      </c>
      <c r="I197" s="96">
        <f t="shared" ref="I197:I260" si="85">IF(D197="平日",IF(E197+TIME(6,0,0)&gt;TIME(17,59,59),MAX(F197-(E197+TIME(6,0,0)),0),0),0)</f>
        <v>0</v>
      </c>
      <c r="J197" s="219">
        <f t="shared" ref="J197:J260" si="86">IF(AND(H197=0,I197=0),0,1)</f>
        <v>0</v>
      </c>
      <c r="K197" s="220">
        <f t="shared" ref="K197:K260" si="87">IF(D197="土・日・祝・長期休暇",MAX(G197-TIME(8,0,0),0),0)</f>
        <v>0</v>
      </c>
      <c r="L197" s="100">
        <f t="shared" ref="L197:L260" si="88">IF(K197&gt;=TIME(0,0,1),1,0)</f>
        <v>0</v>
      </c>
      <c r="M197" s="221" t="str">
        <f t="shared" si="67"/>
        <v/>
      </c>
      <c r="N197" s="222">
        <f t="shared" ref="N197:N260" si="89">IF(OR(D197="休所",D197="",D197="平日：開所とみなす閉所"),0,IF(OR(G197-TIME(7,59,59)&gt;0,D197="土日祝長期：開所とみなす閉所"),1,0))</f>
        <v>0</v>
      </c>
      <c r="O197" s="223">
        <f>IF(N197=0,0,IF(SUM($N$5:N197)&gt;251,1,0))</f>
        <v>0</v>
      </c>
      <c r="P197" s="408">
        <v>25</v>
      </c>
      <c r="Q197" s="409">
        <v>1</v>
      </c>
      <c r="R197" s="224"/>
      <c r="S197" s="411" t="s">
        <v>672</v>
      </c>
      <c r="T197" s="225" t="s">
        <v>697</v>
      </c>
      <c r="U197" s="226" t="s">
        <v>698</v>
      </c>
      <c r="V197" s="413" t="s">
        <v>695</v>
      </c>
      <c r="W197" s="225" t="s">
        <v>697</v>
      </c>
      <c r="X197" s="226" t="s">
        <v>698</v>
      </c>
      <c r="Y197" s="413" t="s">
        <v>696</v>
      </c>
      <c r="Z197" s="225" t="s">
        <v>699</v>
      </c>
      <c r="AA197" s="226" t="s">
        <v>698</v>
      </c>
      <c r="AB197" s="413"/>
      <c r="AC197" s="225">
        <f t="shared" si="73"/>
        <v>0</v>
      </c>
      <c r="AD197" s="226">
        <f t="shared" si="68"/>
        <v>0</v>
      </c>
      <c r="AE197" s="413"/>
      <c r="AF197" s="225">
        <f t="shared" si="74"/>
        <v>0</v>
      </c>
      <c r="AG197" s="226">
        <f t="shared" si="69"/>
        <v>0</v>
      </c>
      <c r="AH197" s="413"/>
      <c r="AI197" s="225">
        <f t="shared" si="75"/>
        <v>0</v>
      </c>
      <c r="AJ197" s="226">
        <f t="shared" si="70"/>
        <v>0</v>
      </c>
      <c r="AK197" s="413"/>
      <c r="AL197" s="225">
        <f t="shared" si="76"/>
        <v>0</v>
      </c>
      <c r="AM197" s="226">
        <f t="shared" si="71"/>
        <v>0</v>
      </c>
      <c r="AN197" s="462" t="str">
        <f t="shared" ref="AN197:AN260" si="90">IF(OR(D197=$AS$6,D197=$AS$7,D197=$AS$8,D197=""),"",IF(COUNTIF(S197:AL197,"支援員")&gt;0,"","支援員がいません！"))</f>
        <v/>
      </c>
      <c r="AO197" s="416" t="str">
        <f t="shared" ref="AO197:AO260" si="91">IF(OR(D197=$AS$6,D197=$AS$7,D197=$AS$8),"",IF(Q197&gt;0,IF(COUNTIF(S197:AM197,"対象")&gt;0,"","障害児加配対象職員がいません"),""))</f>
        <v/>
      </c>
      <c r="AP197" s="416" t="str">
        <f t="shared" ref="AP197:AP260" si="92">IF(OR(D197=$AS$6,D197=$AS$7,D197=$AS$8),"",IF(Q197&gt;0,IF(COUNTA(S197:AM197)&gt;16,"","障害児加配の場合は３名以上の配置"),""))</f>
        <v/>
      </c>
      <c r="AQ197" s="416" t="str">
        <f t="shared" ref="AQ197:AQ260" si="93">IF(OR(D197=$AS$6,D197=$AQS199,D197=$AS$8),"",IF(Q197&gt;2,IF(COUNTIF(S197:AM197,"対象")&gt;1,IF(AB197&lt;&gt;"","","障害児3人以上の場合は４名以上の配置")),""))</f>
        <v/>
      </c>
      <c r="AR197" s="416" t="str">
        <f t="shared" si="72"/>
        <v/>
      </c>
    </row>
    <row r="198" spans="1:44" ht="14.25">
      <c r="A198" s="830"/>
      <c r="B198" s="99" t="s">
        <v>261</v>
      </c>
      <c r="C198" s="466" t="s">
        <v>183</v>
      </c>
      <c r="D198" s="125" t="s">
        <v>24</v>
      </c>
      <c r="E198" s="126">
        <v>0.58333333333333337</v>
      </c>
      <c r="F198" s="126">
        <v>0.79166666666666663</v>
      </c>
      <c r="G198" s="217">
        <f t="shared" si="83"/>
        <v>0.20833333333333326</v>
      </c>
      <c r="H198" s="218">
        <f t="shared" si="84"/>
        <v>0</v>
      </c>
      <c r="I198" s="96">
        <f t="shared" si="85"/>
        <v>0</v>
      </c>
      <c r="J198" s="219">
        <f t="shared" si="86"/>
        <v>0</v>
      </c>
      <c r="K198" s="220">
        <f t="shared" si="87"/>
        <v>0</v>
      </c>
      <c r="L198" s="100">
        <f t="shared" si="88"/>
        <v>0</v>
      </c>
      <c r="M198" s="221" t="str">
        <f t="shared" ref="M198:M261" si="94">IF(D198="休所",IF(E198&lt;&gt;"","入力にエラーがあります",""),"")</f>
        <v/>
      </c>
      <c r="N198" s="222">
        <f t="shared" si="89"/>
        <v>0</v>
      </c>
      <c r="O198" s="223">
        <f>IF(N198=0,0,IF(SUM($N$5:N198)&gt;251,1,0))</f>
        <v>0</v>
      </c>
      <c r="P198" s="408">
        <v>25</v>
      </c>
      <c r="Q198" s="409">
        <v>0</v>
      </c>
      <c r="R198" s="224"/>
      <c r="S198" s="411" t="s">
        <v>672</v>
      </c>
      <c r="T198" s="225" t="s">
        <v>697</v>
      </c>
      <c r="U198" s="226" t="s">
        <v>698</v>
      </c>
      <c r="V198" s="413" t="s">
        <v>695</v>
      </c>
      <c r="W198" s="225" t="s">
        <v>697</v>
      </c>
      <c r="X198" s="226" t="s">
        <v>698</v>
      </c>
      <c r="Y198" s="413" t="s">
        <v>696</v>
      </c>
      <c r="Z198" s="225" t="s">
        <v>699</v>
      </c>
      <c r="AA198" s="226" t="s">
        <v>698</v>
      </c>
      <c r="AB198" s="413"/>
      <c r="AC198" s="225">
        <f t="shared" si="73"/>
        <v>0</v>
      </c>
      <c r="AD198" s="226">
        <f t="shared" ref="AD198:AD261" si="95">VLOOKUP(AB198,$AT$12:$AV$31,3,FALSE)</f>
        <v>0</v>
      </c>
      <c r="AE198" s="413"/>
      <c r="AF198" s="225">
        <f t="shared" si="74"/>
        <v>0</v>
      </c>
      <c r="AG198" s="226">
        <f t="shared" ref="AG198:AG261" si="96">VLOOKUP(AE198,$AT$12:$AV$31,3,FALSE)</f>
        <v>0</v>
      </c>
      <c r="AH198" s="413"/>
      <c r="AI198" s="225">
        <f t="shared" si="75"/>
        <v>0</v>
      </c>
      <c r="AJ198" s="226">
        <f t="shared" ref="AJ198:AJ261" si="97">VLOOKUP(AH198,$AT$12:$AV$31,3,FALSE)</f>
        <v>0</v>
      </c>
      <c r="AK198" s="413"/>
      <c r="AL198" s="225">
        <f t="shared" si="76"/>
        <v>0</v>
      </c>
      <c r="AM198" s="226">
        <f t="shared" ref="AM198:AM261" si="98">VLOOKUP(AK198,$AT$12:$AV$31,3,FALSE)</f>
        <v>0</v>
      </c>
      <c r="AN198" s="462" t="str">
        <f t="shared" si="90"/>
        <v/>
      </c>
      <c r="AO198" s="416" t="str">
        <f t="shared" si="91"/>
        <v/>
      </c>
      <c r="AP198" s="416" t="str">
        <f t="shared" si="92"/>
        <v/>
      </c>
      <c r="AQ198" s="416" t="str">
        <f t="shared" si="93"/>
        <v/>
      </c>
      <c r="AR198" s="416" t="str">
        <f t="shared" si="72"/>
        <v/>
      </c>
    </row>
    <row r="199" spans="1:44" ht="14.25">
      <c r="A199" s="830"/>
      <c r="B199" s="99" t="s">
        <v>263</v>
      </c>
      <c r="C199" s="466" t="s">
        <v>184</v>
      </c>
      <c r="D199" s="125" t="s">
        <v>24</v>
      </c>
      <c r="E199" s="126">
        <v>0.58333333333333337</v>
      </c>
      <c r="F199" s="126">
        <v>0.79166666666666663</v>
      </c>
      <c r="G199" s="217">
        <f t="shared" si="83"/>
        <v>0.20833333333333326</v>
      </c>
      <c r="H199" s="218">
        <f t="shared" si="84"/>
        <v>0</v>
      </c>
      <c r="I199" s="96">
        <f t="shared" si="85"/>
        <v>0</v>
      </c>
      <c r="J199" s="219">
        <f t="shared" si="86"/>
        <v>0</v>
      </c>
      <c r="K199" s="220">
        <f t="shared" si="87"/>
        <v>0</v>
      </c>
      <c r="L199" s="100">
        <f t="shared" si="88"/>
        <v>0</v>
      </c>
      <c r="M199" s="221" t="str">
        <f t="shared" si="94"/>
        <v/>
      </c>
      <c r="N199" s="222">
        <f t="shared" si="89"/>
        <v>0</v>
      </c>
      <c r="O199" s="223">
        <f>IF(N199=0,0,IF(SUM($N$5:N199)&gt;251,1,0))</f>
        <v>0</v>
      </c>
      <c r="P199" s="408">
        <v>24</v>
      </c>
      <c r="Q199" s="409">
        <v>1</v>
      </c>
      <c r="R199" s="224"/>
      <c r="S199" s="411" t="s">
        <v>672</v>
      </c>
      <c r="T199" s="225" t="s">
        <v>697</v>
      </c>
      <c r="U199" s="226" t="s">
        <v>698</v>
      </c>
      <c r="V199" s="413" t="s">
        <v>695</v>
      </c>
      <c r="W199" s="225" t="s">
        <v>697</v>
      </c>
      <c r="X199" s="226" t="s">
        <v>698</v>
      </c>
      <c r="Y199" s="413" t="s">
        <v>696</v>
      </c>
      <c r="Z199" s="225" t="s">
        <v>699</v>
      </c>
      <c r="AA199" s="226" t="s">
        <v>698</v>
      </c>
      <c r="AB199" s="413"/>
      <c r="AC199" s="225">
        <f t="shared" si="73"/>
        <v>0</v>
      </c>
      <c r="AD199" s="226">
        <f t="shared" si="95"/>
        <v>0</v>
      </c>
      <c r="AE199" s="413"/>
      <c r="AF199" s="225">
        <f t="shared" si="74"/>
        <v>0</v>
      </c>
      <c r="AG199" s="226">
        <f t="shared" si="96"/>
        <v>0</v>
      </c>
      <c r="AH199" s="413"/>
      <c r="AI199" s="225">
        <f t="shared" si="75"/>
        <v>0</v>
      </c>
      <c r="AJ199" s="226">
        <f t="shared" si="97"/>
        <v>0</v>
      </c>
      <c r="AK199" s="413"/>
      <c r="AL199" s="225">
        <f t="shared" si="76"/>
        <v>0</v>
      </c>
      <c r="AM199" s="226">
        <f t="shared" si="98"/>
        <v>0</v>
      </c>
      <c r="AN199" s="462" t="str">
        <f t="shared" si="90"/>
        <v/>
      </c>
      <c r="AO199" s="416" t="str">
        <f t="shared" si="91"/>
        <v/>
      </c>
      <c r="AP199" s="416" t="str">
        <f t="shared" si="92"/>
        <v/>
      </c>
      <c r="AQ199" s="416" t="str">
        <f t="shared" si="93"/>
        <v/>
      </c>
      <c r="AR199" s="416" t="str">
        <f t="shared" ref="AR199:AR262" si="99">IF(AND(OR(D199="平日", D199="土・日・祝・長期休暇"), OR(P199=0, P199="")), "児童数が入力されていません！", "")</f>
        <v/>
      </c>
    </row>
    <row r="200" spans="1:44" ht="14.25">
      <c r="A200" s="830"/>
      <c r="B200" s="99" t="s">
        <v>264</v>
      </c>
      <c r="C200" s="466" t="s">
        <v>185</v>
      </c>
      <c r="D200" s="125" t="s">
        <v>24</v>
      </c>
      <c r="E200" s="126">
        <v>0.58333333333333337</v>
      </c>
      <c r="F200" s="126">
        <v>0.79166666666666663</v>
      </c>
      <c r="G200" s="217">
        <f t="shared" si="83"/>
        <v>0.20833333333333326</v>
      </c>
      <c r="H200" s="218">
        <f t="shared" si="84"/>
        <v>0</v>
      </c>
      <c r="I200" s="96">
        <f t="shared" si="85"/>
        <v>0</v>
      </c>
      <c r="J200" s="219">
        <f t="shared" si="86"/>
        <v>0</v>
      </c>
      <c r="K200" s="220">
        <f t="shared" si="87"/>
        <v>0</v>
      </c>
      <c r="L200" s="100">
        <f t="shared" si="88"/>
        <v>0</v>
      </c>
      <c r="M200" s="221" t="str">
        <f t="shared" si="94"/>
        <v/>
      </c>
      <c r="N200" s="222">
        <f t="shared" si="89"/>
        <v>0</v>
      </c>
      <c r="O200" s="223">
        <f>IF(N200=0,0,IF(SUM($N$5:N200)&gt;251,1,0))</f>
        <v>0</v>
      </c>
      <c r="P200" s="408">
        <v>19</v>
      </c>
      <c r="Q200" s="409">
        <v>1</v>
      </c>
      <c r="R200" s="224"/>
      <c r="S200" s="411" t="s">
        <v>672</v>
      </c>
      <c r="T200" s="225" t="s">
        <v>697</v>
      </c>
      <c r="U200" s="226" t="s">
        <v>698</v>
      </c>
      <c r="V200" s="413" t="s">
        <v>695</v>
      </c>
      <c r="W200" s="225" t="s">
        <v>697</v>
      </c>
      <c r="X200" s="226" t="s">
        <v>698</v>
      </c>
      <c r="Y200" s="413" t="s">
        <v>696</v>
      </c>
      <c r="Z200" s="225" t="s">
        <v>699</v>
      </c>
      <c r="AA200" s="226" t="s">
        <v>698</v>
      </c>
      <c r="AB200" s="413"/>
      <c r="AC200" s="225">
        <f t="shared" ref="AC200:AC263" si="100">VLOOKUP(AB200,$AT$12:$AU$31,2,FALSE)</f>
        <v>0</v>
      </c>
      <c r="AD200" s="226">
        <f t="shared" si="95"/>
        <v>0</v>
      </c>
      <c r="AE200" s="413"/>
      <c r="AF200" s="225">
        <f t="shared" ref="AF200:AF263" si="101">VLOOKUP(AE200,$AT$12:$AU$31,2,FALSE)</f>
        <v>0</v>
      </c>
      <c r="AG200" s="226">
        <f t="shared" si="96"/>
        <v>0</v>
      </c>
      <c r="AH200" s="413"/>
      <c r="AI200" s="225">
        <f t="shared" ref="AI200:AI263" si="102">VLOOKUP(AH200,$AT$12:$AU$31,2,FALSE)</f>
        <v>0</v>
      </c>
      <c r="AJ200" s="226">
        <f t="shared" si="97"/>
        <v>0</v>
      </c>
      <c r="AK200" s="413"/>
      <c r="AL200" s="225">
        <f t="shared" ref="AL200:AL263" si="103">VLOOKUP(AK200,$AT$12:$AU$31,2,FALSE)</f>
        <v>0</v>
      </c>
      <c r="AM200" s="226">
        <f t="shared" si="98"/>
        <v>0</v>
      </c>
      <c r="AN200" s="462" t="str">
        <f t="shared" si="90"/>
        <v/>
      </c>
      <c r="AO200" s="416" t="str">
        <f t="shared" si="91"/>
        <v/>
      </c>
      <c r="AP200" s="416" t="str">
        <f t="shared" si="92"/>
        <v/>
      </c>
      <c r="AQ200" s="416" t="str">
        <f t="shared" si="93"/>
        <v/>
      </c>
      <c r="AR200" s="416" t="str">
        <f t="shared" si="99"/>
        <v/>
      </c>
    </row>
    <row r="201" spans="1:44" ht="14.25">
      <c r="A201" s="830"/>
      <c r="B201" s="99" t="s">
        <v>265</v>
      </c>
      <c r="C201" s="466" t="s">
        <v>186</v>
      </c>
      <c r="D201" s="125" t="s">
        <v>249</v>
      </c>
      <c r="E201" s="126">
        <v>0.375</v>
      </c>
      <c r="F201" s="126">
        <v>0.75</v>
      </c>
      <c r="G201" s="217">
        <f t="shared" si="83"/>
        <v>0.375</v>
      </c>
      <c r="H201" s="218">
        <f t="shared" si="84"/>
        <v>0</v>
      </c>
      <c r="I201" s="96">
        <f t="shared" si="85"/>
        <v>0</v>
      </c>
      <c r="J201" s="219">
        <f t="shared" si="86"/>
        <v>0</v>
      </c>
      <c r="K201" s="220">
        <f t="shared" si="87"/>
        <v>4.1666666666666685E-2</v>
      </c>
      <c r="L201" s="100">
        <f t="shared" si="88"/>
        <v>1</v>
      </c>
      <c r="M201" s="221" t="str">
        <f t="shared" si="94"/>
        <v/>
      </c>
      <c r="N201" s="222">
        <f t="shared" si="89"/>
        <v>1</v>
      </c>
      <c r="O201" s="223">
        <f>IF(N201=0,0,IF(SUM($N$5:N201)&gt;251,1,0))</f>
        <v>0</v>
      </c>
      <c r="P201" s="408">
        <v>1</v>
      </c>
      <c r="Q201" s="409">
        <v>0</v>
      </c>
      <c r="R201" s="224"/>
      <c r="S201" s="411" t="s">
        <v>672</v>
      </c>
      <c r="T201" s="225" t="s">
        <v>697</v>
      </c>
      <c r="U201" s="226" t="s">
        <v>698</v>
      </c>
      <c r="V201" s="413" t="s">
        <v>695</v>
      </c>
      <c r="W201" s="225" t="s">
        <v>697</v>
      </c>
      <c r="X201" s="226" t="s">
        <v>698</v>
      </c>
      <c r="Y201" s="413" t="s">
        <v>696</v>
      </c>
      <c r="Z201" s="225" t="s">
        <v>699</v>
      </c>
      <c r="AA201" s="226" t="s">
        <v>698</v>
      </c>
      <c r="AB201" s="413"/>
      <c r="AC201" s="225">
        <f t="shared" si="100"/>
        <v>0</v>
      </c>
      <c r="AD201" s="226">
        <f t="shared" si="95"/>
        <v>0</v>
      </c>
      <c r="AE201" s="413"/>
      <c r="AF201" s="225">
        <f t="shared" si="101"/>
        <v>0</v>
      </c>
      <c r="AG201" s="226">
        <f t="shared" si="96"/>
        <v>0</v>
      </c>
      <c r="AH201" s="413"/>
      <c r="AI201" s="225">
        <f t="shared" si="102"/>
        <v>0</v>
      </c>
      <c r="AJ201" s="226">
        <f t="shared" si="97"/>
        <v>0</v>
      </c>
      <c r="AK201" s="413"/>
      <c r="AL201" s="225">
        <f t="shared" si="103"/>
        <v>0</v>
      </c>
      <c r="AM201" s="226">
        <f t="shared" si="98"/>
        <v>0</v>
      </c>
      <c r="AN201" s="462" t="str">
        <f t="shared" si="90"/>
        <v/>
      </c>
      <c r="AO201" s="416" t="str">
        <f t="shared" si="91"/>
        <v/>
      </c>
      <c r="AP201" s="416" t="str">
        <f t="shared" si="92"/>
        <v/>
      </c>
      <c r="AQ201" s="416" t="str">
        <f t="shared" si="93"/>
        <v/>
      </c>
      <c r="AR201" s="416" t="str">
        <f t="shared" si="99"/>
        <v/>
      </c>
    </row>
    <row r="202" spans="1:44" ht="14.25">
      <c r="A202" s="830"/>
      <c r="B202" s="99" t="s">
        <v>266</v>
      </c>
      <c r="C202" s="466" t="s">
        <v>262</v>
      </c>
      <c r="D202" s="125" t="s">
        <v>251</v>
      </c>
      <c r="E202" s="126"/>
      <c r="F202" s="126"/>
      <c r="G202" s="217">
        <f t="shared" si="83"/>
        <v>0</v>
      </c>
      <c r="H202" s="218">
        <f t="shared" si="84"/>
        <v>0</v>
      </c>
      <c r="I202" s="96">
        <f t="shared" si="85"/>
        <v>0</v>
      </c>
      <c r="J202" s="219">
        <f t="shared" si="86"/>
        <v>0</v>
      </c>
      <c r="K202" s="220">
        <f t="shared" si="87"/>
        <v>0</v>
      </c>
      <c r="L202" s="100">
        <f t="shared" si="88"/>
        <v>0</v>
      </c>
      <c r="M202" s="221" t="str">
        <f t="shared" si="94"/>
        <v/>
      </c>
      <c r="N202" s="222">
        <f t="shared" si="89"/>
        <v>0</v>
      </c>
      <c r="O202" s="223">
        <f>IF(N202=0,0,IF(SUM($N$5:N202)&gt;251,1,0))</f>
        <v>0</v>
      </c>
      <c r="P202" s="408"/>
      <c r="Q202" s="409"/>
      <c r="R202" s="224"/>
      <c r="S202" s="411"/>
      <c r="T202" s="225">
        <f t="shared" ref="T202:T258" si="104">VLOOKUP(S202,$AT$12:$AU$31,2,FALSE)</f>
        <v>0</v>
      </c>
      <c r="U202" s="226">
        <f t="shared" ref="U202:U258" si="105">VLOOKUP(S202,$AT$12:$AV$31,3,FALSE)</f>
        <v>0</v>
      </c>
      <c r="V202" s="413"/>
      <c r="W202" s="225">
        <f t="shared" ref="W202:W258" si="106">VLOOKUP(V202,$AT$12:$AU$31,2,FALSE)</f>
        <v>0</v>
      </c>
      <c r="X202" s="226">
        <f t="shared" ref="X202:X258" si="107">VLOOKUP(V202,$AT$12:$AV$31,3,FALSE)</f>
        <v>0</v>
      </c>
      <c r="Y202" s="413"/>
      <c r="Z202" s="225">
        <f t="shared" ref="Z202:Z258" si="108">VLOOKUP(Y202,$AT$12:$AU$31,2,FALSE)</f>
        <v>0</v>
      </c>
      <c r="AA202" s="226">
        <f t="shared" ref="AA202:AA258" si="109">VLOOKUP(Y202,$AT$12:$AV$31,3,FALSE)</f>
        <v>0</v>
      </c>
      <c r="AB202" s="413"/>
      <c r="AC202" s="225">
        <f t="shared" si="100"/>
        <v>0</v>
      </c>
      <c r="AD202" s="226">
        <f t="shared" si="95"/>
        <v>0</v>
      </c>
      <c r="AE202" s="413"/>
      <c r="AF202" s="225">
        <f t="shared" si="101"/>
        <v>0</v>
      </c>
      <c r="AG202" s="226">
        <f t="shared" si="96"/>
        <v>0</v>
      </c>
      <c r="AH202" s="413"/>
      <c r="AI202" s="225">
        <f t="shared" si="102"/>
        <v>0</v>
      </c>
      <c r="AJ202" s="226">
        <f t="shared" si="97"/>
        <v>0</v>
      </c>
      <c r="AK202" s="413"/>
      <c r="AL202" s="225">
        <f t="shared" si="103"/>
        <v>0</v>
      </c>
      <c r="AM202" s="226">
        <f t="shared" si="98"/>
        <v>0</v>
      </c>
      <c r="AN202" s="462" t="str">
        <f t="shared" si="90"/>
        <v/>
      </c>
      <c r="AO202" s="416" t="str">
        <f t="shared" si="91"/>
        <v/>
      </c>
      <c r="AP202" s="416" t="str">
        <f t="shared" si="92"/>
        <v/>
      </c>
      <c r="AQ202" s="416" t="str">
        <f t="shared" si="93"/>
        <v/>
      </c>
      <c r="AR202" s="416" t="str">
        <f t="shared" si="99"/>
        <v/>
      </c>
    </row>
    <row r="203" spans="1:44" ht="14.25">
      <c r="A203" s="830"/>
      <c r="B203" s="99" t="s">
        <v>267</v>
      </c>
      <c r="C203" s="466" t="s">
        <v>182</v>
      </c>
      <c r="D203" s="125" t="s">
        <v>24</v>
      </c>
      <c r="E203" s="126">
        <v>0.58333333333333337</v>
      </c>
      <c r="F203" s="126">
        <v>0.79166666666666663</v>
      </c>
      <c r="G203" s="217">
        <f t="shared" si="83"/>
        <v>0.20833333333333326</v>
      </c>
      <c r="H203" s="218">
        <f t="shared" si="84"/>
        <v>0</v>
      </c>
      <c r="I203" s="96">
        <f t="shared" si="85"/>
        <v>0</v>
      </c>
      <c r="J203" s="219">
        <f t="shared" si="86"/>
        <v>0</v>
      </c>
      <c r="K203" s="220">
        <f t="shared" si="87"/>
        <v>0</v>
      </c>
      <c r="L203" s="100">
        <f t="shared" si="88"/>
        <v>0</v>
      </c>
      <c r="M203" s="221" t="str">
        <f t="shared" si="94"/>
        <v/>
      </c>
      <c r="N203" s="222">
        <f t="shared" si="89"/>
        <v>0</v>
      </c>
      <c r="O203" s="223">
        <f>IF(N203=0,0,IF(SUM($N$5:N203)&gt;251,1,0))</f>
        <v>0</v>
      </c>
      <c r="P203" s="408">
        <v>5</v>
      </c>
      <c r="Q203" s="409">
        <v>0</v>
      </c>
      <c r="R203" s="224"/>
      <c r="S203" s="411" t="s">
        <v>672</v>
      </c>
      <c r="T203" s="225" t="s">
        <v>697</v>
      </c>
      <c r="U203" s="226" t="s">
        <v>698</v>
      </c>
      <c r="V203" s="413" t="s">
        <v>695</v>
      </c>
      <c r="W203" s="225" t="s">
        <v>697</v>
      </c>
      <c r="X203" s="226" t="s">
        <v>698</v>
      </c>
      <c r="Y203" s="413" t="s">
        <v>696</v>
      </c>
      <c r="Z203" s="225" t="s">
        <v>699</v>
      </c>
      <c r="AA203" s="226" t="s">
        <v>698</v>
      </c>
      <c r="AB203" s="413"/>
      <c r="AC203" s="225">
        <f t="shared" si="100"/>
        <v>0</v>
      </c>
      <c r="AD203" s="226">
        <f t="shared" si="95"/>
        <v>0</v>
      </c>
      <c r="AE203" s="413"/>
      <c r="AF203" s="225">
        <f t="shared" si="101"/>
        <v>0</v>
      </c>
      <c r="AG203" s="226">
        <f t="shared" si="96"/>
        <v>0</v>
      </c>
      <c r="AH203" s="413"/>
      <c r="AI203" s="225">
        <f t="shared" si="102"/>
        <v>0</v>
      </c>
      <c r="AJ203" s="226">
        <f t="shared" si="97"/>
        <v>0</v>
      </c>
      <c r="AK203" s="413"/>
      <c r="AL203" s="225">
        <f t="shared" si="103"/>
        <v>0</v>
      </c>
      <c r="AM203" s="226">
        <f t="shared" si="98"/>
        <v>0</v>
      </c>
      <c r="AN203" s="462" t="str">
        <f t="shared" si="90"/>
        <v/>
      </c>
      <c r="AO203" s="416" t="str">
        <f t="shared" si="91"/>
        <v/>
      </c>
      <c r="AP203" s="416" t="str">
        <f t="shared" si="92"/>
        <v/>
      </c>
      <c r="AQ203" s="416" t="str">
        <f t="shared" si="93"/>
        <v/>
      </c>
      <c r="AR203" s="416" t="str">
        <f t="shared" si="99"/>
        <v/>
      </c>
    </row>
    <row r="204" spans="1:44" ht="14.25">
      <c r="A204" s="830"/>
      <c r="B204" s="99" t="s">
        <v>268</v>
      </c>
      <c r="C204" s="466" t="s">
        <v>187</v>
      </c>
      <c r="D204" s="125" t="s">
        <v>24</v>
      </c>
      <c r="E204" s="126">
        <v>0.58333333333333337</v>
      </c>
      <c r="F204" s="126">
        <v>0.79166666666666663</v>
      </c>
      <c r="G204" s="217">
        <f t="shared" si="83"/>
        <v>0.20833333333333326</v>
      </c>
      <c r="H204" s="218">
        <f t="shared" si="84"/>
        <v>0</v>
      </c>
      <c r="I204" s="96">
        <f t="shared" si="85"/>
        <v>0</v>
      </c>
      <c r="J204" s="219">
        <f t="shared" si="86"/>
        <v>0</v>
      </c>
      <c r="K204" s="220">
        <f t="shared" si="87"/>
        <v>0</v>
      </c>
      <c r="L204" s="100">
        <f t="shared" si="88"/>
        <v>0</v>
      </c>
      <c r="M204" s="221" t="str">
        <f t="shared" si="94"/>
        <v/>
      </c>
      <c r="N204" s="222">
        <f t="shared" si="89"/>
        <v>0</v>
      </c>
      <c r="O204" s="223">
        <f>IF(N204=0,0,IF(SUM($N$5:N204)&gt;251,1,0))</f>
        <v>0</v>
      </c>
      <c r="P204" s="408">
        <v>23</v>
      </c>
      <c r="Q204" s="409">
        <v>0</v>
      </c>
      <c r="R204" s="224"/>
      <c r="S204" s="411" t="s">
        <v>672</v>
      </c>
      <c r="T204" s="225" t="s">
        <v>697</v>
      </c>
      <c r="U204" s="226" t="s">
        <v>698</v>
      </c>
      <c r="V204" s="413" t="s">
        <v>695</v>
      </c>
      <c r="W204" s="225" t="s">
        <v>697</v>
      </c>
      <c r="X204" s="226" t="s">
        <v>698</v>
      </c>
      <c r="Y204" s="413" t="s">
        <v>696</v>
      </c>
      <c r="Z204" s="225" t="s">
        <v>699</v>
      </c>
      <c r="AA204" s="226" t="s">
        <v>698</v>
      </c>
      <c r="AB204" s="413"/>
      <c r="AC204" s="225">
        <f t="shared" si="100"/>
        <v>0</v>
      </c>
      <c r="AD204" s="226">
        <f t="shared" si="95"/>
        <v>0</v>
      </c>
      <c r="AE204" s="413"/>
      <c r="AF204" s="225">
        <f t="shared" si="101"/>
        <v>0</v>
      </c>
      <c r="AG204" s="226">
        <f t="shared" si="96"/>
        <v>0</v>
      </c>
      <c r="AH204" s="413"/>
      <c r="AI204" s="225">
        <f t="shared" si="102"/>
        <v>0</v>
      </c>
      <c r="AJ204" s="226">
        <f t="shared" si="97"/>
        <v>0</v>
      </c>
      <c r="AK204" s="413"/>
      <c r="AL204" s="225">
        <f t="shared" si="103"/>
        <v>0</v>
      </c>
      <c r="AM204" s="226">
        <f t="shared" si="98"/>
        <v>0</v>
      </c>
      <c r="AN204" s="462" t="str">
        <f t="shared" si="90"/>
        <v/>
      </c>
      <c r="AO204" s="416" t="str">
        <f t="shared" si="91"/>
        <v/>
      </c>
      <c r="AP204" s="416" t="str">
        <f t="shared" si="92"/>
        <v/>
      </c>
      <c r="AQ204" s="416" t="str">
        <f t="shared" si="93"/>
        <v/>
      </c>
      <c r="AR204" s="416" t="str">
        <f t="shared" si="99"/>
        <v/>
      </c>
    </row>
    <row r="205" spans="1:44" ht="14.25">
      <c r="A205" s="830"/>
      <c r="B205" s="99" t="s">
        <v>269</v>
      </c>
      <c r="C205" s="466" t="s">
        <v>183</v>
      </c>
      <c r="D205" s="125" t="s">
        <v>24</v>
      </c>
      <c r="E205" s="126">
        <v>0.58333333333333337</v>
      </c>
      <c r="F205" s="126">
        <v>0.79166666666666663</v>
      </c>
      <c r="G205" s="217">
        <f t="shared" si="83"/>
        <v>0.20833333333333326</v>
      </c>
      <c r="H205" s="218">
        <f t="shared" si="84"/>
        <v>0</v>
      </c>
      <c r="I205" s="96">
        <f t="shared" si="85"/>
        <v>0</v>
      </c>
      <c r="J205" s="219">
        <f t="shared" si="86"/>
        <v>0</v>
      </c>
      <c r="K205" s="220">
        <f t="shared" si="87"/>
        <v>0</v>
      </c>
      <c r="L205" s="100">
        <f t="shared" si="88"/>
        <v>0</v>
      </c>
      <c r="M205" s="221" t="str">
        <f t="shared" si="94"/>
        <v/>
      </c>
      <c r="N205" s="222">
        <f t="shared" si="89"/>
        <v>0</v>
      </c>
      <c r="O205" s="223">
        <f>IF(N205=0,0,IF(SUM($N$5:N205)&gt;251,1,0))</f>
        <v>0</v>
      </c>
      <c r="P205" s="408">
        <v>29</v>
      </c>
      <c r="Q205" s="409">
        <v>1</v>
      </c>
      <c r="R205" s="224"/>
      <c r="S205" s="411" t="s">
        <v>672</v>
      </c>
      <c r="T205" s="225" t="s">
        <v>697</v>
      </c>
      <c r="U205" s="226" t="s">
        <v>698</v>
      </c>
      <c r="V205" s="413" t="s">
        <v>695</v>
      </c>
      <c r="W205" s="225" t="s">
        <v>697</v>
      </c>
      <c r="X205" s="226" t="s">
        <v>698</v>
      </c>
      <c r="Y205" s="413" t="s">
        <v>696</v>
      </c>
      <c r="Z205" s="225" t="s">
        <v>699</v>
      </c>
      <c r="AA205" s="226" t="s">
        <v>698</v>
      </c>
      <c r="AB205" s="413"/>
      <c r="AC205" s="225">
        <f t="shared" si="100"/>
        <v>0</v>
      </c>
      <c r="AD205" s="226">
        <f t="shared" si="95"/>
        <v>0</v>
      </c>
      <c r="AE205" s="413"/>
      <c r="AF205" s="225">
        <f t="shared" si="101"/>
        <v>0</v>
      </c>
      <c r="AG205" s="226">
        <f t="shared" si="96"/>
        <v>0</v>
      </c>
      <c r="AH205" s="413"/>
      <c r="AI205" s="225">
        <f t="shared" si="102"/>
        <v>0</v>
      </c>
      <c r="AJ205" s="226">
        <f t="shared" si="97"/>
        <v>0</v>
      </c>
      <c r="AK205" s="413"/>
      <c r="AL205" s="225">
        <f t="shared" si="103"/>
        <v>0</v>
      </c>
      <c r="AM205" s="226">
        <f t="shared" si="98"/>
        <v>0</v>
      </c>
      <c r="AN205" s="462" t="str">
        <f t="shared" si="90"/>
        <v/>
      </c>
      <c r="AO205" s="416" t="str">
        <f t="shared" si="91"/>
        <v/>
      </c>
      <c r="AP205" s="416" t="str">
        <f t="shared" si="92"/>
        <v/>
      </c>
      <c r="AQ205" s="416" t="str">
        <f t="shared" si="93"/>
        <v/>
      </c>
      <c r="AR205" s="416" t="str">
        <f t="shared" si="99"/>
        <v/>
      </c>
    </row>
    <row r="206" spans="1:44" ht="14.25">
      <c r="A206" s="830"/>
      <c r="B206" s="99" t="s">
        <v>270</v>
      </c>
      <c r="C206" s="466" t="s">
        <v>184</v>
      </c>
      <c r="D206" s="125" t="s">
        <v>24</v>
      </c>
      <c r="E206" s="126">
        <v>0.58333333333333337</v>
      </c>
      <c r="F206" s="126">
        <v>0.79166666666666663</v>
      </c>
      <c r="G206" s="217">
        <f t="shared" si="83"/>
        <v>0.20833333333333326</v>
      </c>
      <c r="H206" s="218">
        <f t="shared" si="84"/>
        <v>0</v>
      </c>
      <c r="I206" s="96">
        <f t="shared" si="85"/>
        <v>0</v>
      </c>
      <c r="J206" s="219">
        <f t="shared" si="86"/>
        <v>0</v>
      </c>
      <c r="K206" s="220">
        <f t="shared" si="87"/>
        <v>0</v>
      </c>
      <c r="L206" s="100">
        <f t="shared" si="88"/>
        <v>0</v>
      </c>
      <c r="M206" s="221" t="str">
        <f t="shared" si="94"/>
        <v/>
      </c>
      <c r="N206" s="222">
        <f t="shared" si="89"/>
        <v>0</v>
      </c>
      <c r="O206" s="223">
        <f>IF(N206=0,0,IF(SUM($N$5:N206)&gt;251,1,0))</f>
        <v>0</v>
      </c>
      <c r="P206" s="408">
        <v>27</v>
      </c>
      <c r="Q206" s="409">
        <v>0</v>
      </c>
      <c r="R206" s="224"/>
      <c r="S206" s="411" t="s">
        <v>672</v>
      </c>
      <c r="T206" s="225" t="s">
        <v>697</v>
      </c>
      <c r="U206" s="226" t="s">
        <v>698</v>
      </c>
      <c r="V206" s="413" t="s">
        <v>695</v>
      </c>
      <c r="W206" s="225" t="s">
        <v>697</v>
      </c>
      <c r="X206" s="226" t="s">
        <v>698</v>
      </c>
      <c r="Y206" s="413" t="s">
        <v>696</v>
      </c>
      <c r="Z206" s="225" t="s">
        <v>699</v>
      </c>
      <c r="AA206" s="226" t="s">
        <v>698</v>
      </c>
      <c r="AB206" s="413"/>
      <c r="AC206" s="225">
        <f t="shared" si="100"/>
        <v>0</v>
      </c>
      <c r="AD206" s="226">
        <f t="shared" si="95"/>
        <v>0</v>
      </c>
      <c r="AE206" s="413"/>
      <c r="AF206" s="225">
        <f t="shared" si="101"/>
        <v>0</v>
      </c>
      <c r="AG206" s="226">
        <f t="shared" si="96"/>
        <v>0</v>
      </c>
      <c r="AH206" s="413"/>
      <c r="AI206" s="225">
        <f t="shared" si="102"/>
        <v>0</v>
      </c>
      <c r="AJ206" s="226">
        <f t="shared" si="97"/>
        <v>0</v>
      </c>
      <c r="AK206" s="413"/>
      <c r="AL206" s="225">
        <f t="shared" si="103"/>
        <v>0</v>
      </c>
      <c r="AM206" s="226">
        <f t="shared" si="98"/>
        <v>0</v>
      </c>
      <c r="AN206" s="462" t="str">
        <f t="shared" si="90"/>
        <v/>
      </c>
      <c r="AO206" s="416" t="str">
        <f t="shared" si="91"/>
        <v/>
      </c>
      <c r="AP206" s="416" t="str">
        <f t="shared" si="92"/>
        <v/>
      </c>
      <c r="AQ206" s="416" t="str">
        <f t="shared" si="93"/>
        <v/>
      </c>
      <c r="AR206" s="416" t="str">
        <f t="shared" si="99"/>
        <v/>
      </c>
    </row>
    <row r="207" spans="1:44" ht="14.25">
      <c r="A207" s="830"/>
      <c r="B207" s="99" t="s">
        <v>271</v>
      </c>
      <c r="C207" s="466" t="s">
        <v>185</v>
      </c>
      <c r="D207" s="125" t="s">
        <v>24</v>
      </c>
      <c r="E207" s="126">
        <v>0.58333333333333337</v>
      </c>
      <c r="F207" s="126">
        <v>0.79166666666666663</v>
      </c>
      <c r="G207" s="217">
        <f t="shared" si="83"/>
        <v>0.20833333333333326</v>
      </c>
      <c r="H207" s="218">
        <f t="shared" si="84"/>
        <v>0</v>
      </c>
      <c r="I207" s="96">
        <f t="shared" si="85"/>
        <v>0</v>
      </c>
      <c r="J207" s="219">
        <f t="shared" si="86"/>
        <v>0</v>
      </c>
      <c r="K207" s="220">
        <f t="shared" si="87"/>
        <v>0</v>
      </c>
      <c r="L207" s="100">
        <f t="shared" si="88"/>
        <v>0</v>
      </c>
      <c r="M207" s="221" t="str">
        <f t="shared" si="94"/>
        <v/>
      </c>
      <c r="N207" s="222">
        <f t="shared" si="89"/>
        <v>0</v>
      </c>
      <c r="O207" s="223">
        <f>IF(N207=0,0,IF(SUM($N$5:N207)&gt;251,1,0))</f>
        <v>0</v>
      </c>
      <c r="P207" s="408">
        <v>21</v>
      </c>
      <c r="Q207" s="409">
        <v>1</v>
      </c>
      <c r="R207" s="224"/>
      <c r="S207" s="411" t="s">
        <v>672</v>
      </c>
      <c r="T207" s="225" t="s">
        <v>697</v>
      </c>
      <c r="U207" s="226" t="s">
        <v>698</v>
      </c>
      <c r="V207" s="413" t="s">
        <v>695</v>
      </c>
      <c r="W207" s="225" t="s">
        <v>697</v>
      </c>
      <c r="X207" s="226" t="s">
        <v>698</v>
      </c>
      <c r="Y207" s="413" t="s">
        <v>696</v>
      </c>
      <c r="Z207" s="225" t="s">
        <v>699</v>
      </c>
      <c r="AA207" s="226" t="s">
        <v>698</v>
      </c>
      <c r="AB207" s="413"/>
      <c r="AC207" s="225">
        <f t="shared" si="100"/>
        <v>0</v>
      </c>
      <c r="AD207" s="226">
        <f t="shared" si="95"/>
        <v>0</v>
      </c>
      <c r="AE207" s="413"/>
      <c r="AF207" s="225">
        <f t="shared" si="101"/>
        <v>0</v>
      </c>
      <c r="AG207" s="226">
        <f t="shared" si="96"/>
        <v>0</v>
      </c>
      <c r="AH207" s="413"/>
      <c r="AI207" s="225">
        <f t="shared" si="102"/>
        <v>0</v>
      </c>
      <c r="AJ207" s="226">
        <f t="shared" si="97"/>
        <v>0</v>
      </c>
      <c r="AK207" s="413"/>
      <c r="AL207" s="225">
        <f t="shared" si="103"/>
        <v>0</v>
      </c>
      <c r="AM207" s="226">
        <f t="shared" si="98"/>
        <v>0</v>
      </c>
      <c r="AN207" s="462" t="str">
        <f t="shared" si="90"/>
        <v/>
      </c>
      <c r="AO207" s="416" t="str">
        <f t="shared" si="91"/>
        <v/>
      </c>
      <c r="AP207" s="416" t="str">
        <f t="shared" si="92"/>
        <v/>
      </c>
      <c r="AQ207" s="416" t="str">
        <f t="shared" si="93"/>
        <v/>
      </c>
      <c r="AR207" s="416" t="str">
        <f t="shared" si="99"/>
        <v/>
      </c>
    </row>
    <row r="208" spans="1:44" ht="14.25">
      <c r="A208" s="830"/>
      <c r="B208" s="99" t="s">
        <v>272</v>
      </c>
      <c r="C208" s="466" t="s">
        <v>186</v>
      </c>
      <c r="D208" s="125" t="s">
        <v>249</v>
      </c>
      <c r="E208" s="126">
        <v>0.375</v>
      </c>
      <c r="F208" s="126">
        <v>0.75</v>
      </c>
      <c r="G208" s="217">
        <f t="shared" si="83"/>
        <v>0.375</v>
      </c>
      <c r="H208" s="218">
        <f t="shared" si="84"/>
        <v>0</v>
      </c>
      <c r="I208" s="96">
        <f t="shared" si="85"/>
        <v>0</v>
      </c>
      <c r="J208" s="219">
        <f t="shared" si="86"/>
        <v>0</v>
      </c>
      <c r="K208" s="220">
        <f t="shared" si="87"/>
        <v>4.1666666666666685E-2</v>
      </c>
      <c r="L208" s="100">
        <f t="shared" si="88"/>
        <v>1</v>
      </c>
      <c r="M208" s="221" t="str">
        <f t="shared" si="94"/>
        <v/>
      </c>
      <c r="N208" s="222">
        <f t="shared" si="89"/>
        <v>1</v>
      </c>
      <c r="O208" s="223">
        <f>IF(N208=0,0,IF(SUM($N$5:N208)&gt;251,1,0))</f>
        <v>0</v>
      </c>
      <c r="P208" s="408">
        <v>5</v>
      </c>
      <c r="Q208" s="409">
        <v>1</v>
      </c>
      <c r="R208" s="224"/>
      <c r="S208" s="411" t="s">
        <v>672</v>
      </c>
      <c r="T208" s="225" t="s">
        <v>697</v>
      </c>
      <c r="U208" s="226" t="s">
        <v>698</v>
      </c>
      <c r="V208" s="413" t="s">
        <v>695</v>
      </c>
      <c r="W208" s="225" t="s">
        <v>697</v>
      </c>
      <c r="X208" s="226" t="s">
        <v>698</v>
      </c>
      <c r="Y208" s="413" t="s">
        <v>696</v>
      </c>
      <c r="Z208" s="225" t="s">
        <v>699</v>
      </c>
      <c r="AA208" s="226" t="s">
        <v>698</v>
      </c>
      <c r="AB208" s="413"/>
      <c r="AC208" s="225">
        <f t="shared" si="100"/>
        <v>0</v>
      </c>
      <c r="AD208" s="226">
        <f t="shared" si="95"/>
        <v>0</v>
      </c>
      <c r="AE208" s="413"/>
      <c r="AF208" s="225">
        <f t="shared" si="101"/>
        <v>0</v>
      </c>
      <c r="AG208" s="226">
        <f t="shared" si="96"/>
        <v>0</v>
      </c>
      <c r="AH208" s="413"/>
      <c r="AI208" s="225">
        <f t="shared" si="102"/>
        <v>0</v>
      </c>
      <c r="AJ208" s="226">
        <f t="shared" si="97"/>
        <v>0</v>
      </c>
      <c r="AK208" s="413"/>
      <c r="AL208" s="225">
        <f t="shared" si="103"/>
        <v>0</v>
      </c>
      <c r="AM208" s="226">
        <f t="shared" si="98"/>
        <v>0</v>
      </c>
      <c r="AN208" s="462" t="str">
        <f t="shared" si="90"/>
        <v/>
      </c>
      <c r="AO208" s="416" t="str">
        <f t="shared" si="91"/>
        <v/>
      </c>
      <c r="AP208" s="416" t="str">
        <f t="shared" si="92"/>
        <v/>
      </c>
      <c r="AQ208" s="416" t="str">
        <f t="shared" si="93"/>
        <v/>
      </c>
      <c r="AR208" s="416" t="str">
        <f t="shared" si="99"/>
        <v/>
      </c>
    </row>
    <row r="209" spans="1:44" ht="14.25">
      <c r="A209" s="830"/>
      <c r="B209" s="99" t="s">
        <v>273</v>
      </c>
      <c r="C209" s="466" t="s">
        <v>262</v>
      </c>
      <c r="D209" s="125" t="s">
        <v>251</v>
      </c>
      <c r="E209" s="126"/>
      <c r="F209" s="126"/>
      <c r="G209" s="217">
        <f t="shared" si="83"/>
        <v>0</v>
      </c>
      <c r="H209" s="218">
        <f t="shared" si="84"/>
        <v>0</v>
      </c>
      <c r="I209" s="96">
        <f t="shared" si="85"/>
        <v>0</v>
      </c>
      <c r="J209" s="219">
        <f t="shared" si="86"/>
        <v>0</v>
      </c>
      <c r="K209" s="220">
        <f t="shared" si="87"/>
        <v>0</v>
      </c>
      <c r="L209" s="100">
        <f t="shared" si="88"/>
        <v>0</v>
      </c>
      <c r="M209" s="221" t="str">
        <f t="shared" si="94"/>
        <v/>
      </c>
      <c r="N209" s="222">
        <f t="shared" si="89"/>
        <v>0</v>
      </c>
      <c r="O209" s="223">
        <f>IF(N209=0,0,IF(SUM($N$5:N209)&gt;251,1,0))</f>
        <v>0</v>
      </c>
      <c r="P209" s="408"/>
      <c r="Q209" s="409"/>
      <c r="R209" s="224"/>
      <c r="S209" s="411"/>
      <c r="T209" s="225">
        <f t="shared" si="104"/>
        <v>0</v>
      </c>
      <c r="U209" s="226">
        <f t="shared" si="105"/>
        <v>0</v>
      </c>
      <c r="V209" s="413"/>
      <c r="W209" s="225">
        <f t="shared" si="106"/>
        <v>0</v>
      </c>
      <c r="X209" s="226">
        <f t="shared" si="107"/>
        <v>0</v>
      </c>
      <c r="Y209" s="413"/>
      <c r="Z209" s="225">
        <f t="shared" si="108"/>
        <v>0</v>
      </c>
      <c r="AA209" s="226">
        <f t="shared" si="109"/>
        <v>0</v>
      </c>
      <c r="AB209" s="413"/>
      <c r="AC209" s="225">
        <f t="shared" si="100"/>
        <v>0</v>
      </c>
      <c r="AD209" s="226">
        <f t="shared" si="95"/>
        <v>0</v>
      </c>
      <c r="AE209" s="413"/>
      <c r="AF209" s="225">
        <f t="shared" si="101"/>
        <v>0</v>
      </c>
      <c r="AG209" s="226">
        <f t="shared" si="96"/>
        <v>0</v>
      </c>
      <c r="AH209" s="413"/>
      <c r="AI209" s="225">
        <f t="shared" si="102"/>
        <v>0</v>
      </c>
      <c r="AJ209" s="226">
        <f t="shared" si="97"/>
        <v>0</v>
      </c>
      <c r="AK209" s="413"/>
      <c r="AL209" s="225">
        <f t="shared" si="103"/>
        <v>0</v>
      </c>
      <c r="AM209" s="226">
        <f t="shared" si="98"/>
        <v>0</v>
      </c>
      <c r="AN209" s="462" t="str">
        <f t="shared" si="90"/>
        <v/>
      </c>
      <c r="AO209" s="416" t="str">
        <f t="shared" si="91"/>
        <v/>
      </c>
      <c r="AP209" s="416" t="str">
        <f t="shared" si="92"/>
        <v/>
      </c>
      <c r="AQ209" s="416" t="str">
        <f t="shared" si="93"/>
        <v/>
      </c>
      <c r="AR209" s="416" t="str">
        <f t="shared" si="99"/>
        <v/>
      </c>
    </row>
    <row r="210" spans="1:44" ht="14.25">
      <c r="A210" s="830"/>
      <c r="B210" s="99" t="s">
        <v>274</v>
      </c>
      <c r="C210" s="466" t="s">
        <v>182</v>
      </c>
      <c r="D210" s="125" t="s">
        <v>24</v>
      </c>
      <c r="E210" s="126">
        <v>0.58333333333333337</v>
      </c>
      <c r="F210" s="126">
        <v>0.79166666666666663</v>
      </c>
      <c r="G210" s="217">
        <f t="shared" si="83"/>
        <v>0.20833333333333326</v>
      </c>
      <c r="H210" s="218">
        <f t="shared" si="84"/>
        <v>0</v>
      </c>
      <c r="I210" s="96">
        <f t="shared" si="85"/>
        <v>0</v>
      </c>
      <c r="J210" s="219">
        <f t="shared" si="86"/>
        <v>0</v>
      </c>
      <c r="K210" s="220">
        <f t="shared" si="87"/>
        <v>0</v>
      </c>
      <c r="L210" s="100">
        <f t="shared" si="88"/>
        <v>0</v>
      </c>
      <c r="M210" s="221" t="str">
        <f t="shared" si="94"/>
        <v/>
      </c>
      <c r="N210" s="222">
        <f t="shared" si="89"/>
        <v>0</v>
      </c>
      <c r="O210" s="223">
        <f>IF(N210=0,0,IF(SUM($N$5:N210)&gt;251,1,0))</f>
        <v>0</v>
      </c>
      <c r="P210" s="408">
        <v>25</v>
      </c>
      <c r="Q210" s="409">
        <v>1</v>
      </c>
      <c r="R210" s="224"/>
      <c r="S210" s="411" t="s">
        <v>672</v>
      </c>
      <c r="T210" s="225" t="s">
        <v>697</v>
      </c>
      <c r="U210" s="226" t="s">
        <v>698</v>
      </c>
      <c r="V210" s="413" t="s">
        <v>695</v>
      </c>
      <c r="W210" s="225" t="s">
        <v>697</v>
      </c>
      <c r="X210" s="226" t="s">
        <v>698</v>
      </c>
      <c r="Y210" s="413" t="s">
        <v>696</v>
      </c>
      <c r="Z210" s="225" t="s">
        <v>699</v>
      </c>
      <c r="AA210" s="226" t="s">
        <v>698</v>
      </c>
      <c r="AB210" s="413"/>
      <c r="AC210" s="225">
        <f t="shared" si="100"/>
        <v>0</v>
      </c>
      <c r="AD210" s="226">
        <f t="shared" si="95"/>
        <v>0</v>
      </c>
      <c r="AE210" s="413"/>
      <c r="AF210" s="225">
        <f t="shared" si="101"/>
        <v>0</v>
      </c>
      <c r="AG210" s="226">
        <f t="shared" si="96"/>
        <v>0</v>
      </c>
      <c r="AH210" s="413"/>
      <c r="AI210" s="225">
        <f t="shared" si="102"/>
        <v>0</v>
      </c>
      <c r="AJ210" s="226">
        <f t="shared" si="97"/>
        <v>0</v>
      </c>
      <c r="AK210" s="413"/>
      <c r="AL210" s="225">
        <f t="shared" si="103"/>
        <v>0</v>
      </c>
      <c r="AM210" s="226">
        <f t="shared" si="98"/>
        <v>0</v>
      </c>
      <c r="AN210" s="462" t="str">
        <f t="shared" si="90"/>
        <v/>
      </c>
      <c r="AO210" s="416" t="str">
        <f t="shared" si="91"/>
        <v/>
      </c>
      <c r="AP210" s="416" t="str">
        <f t="shared" si="92"/>
        <v/>
      </c>
      <c r="AQ210" s="416" t="str">
        <f t="shared" si="93"/>
        <v/>
      </c>
      <c r="AR210" s="416" t="str">
        <f t="shared" si="99"/>
        <v/>
      </c>
    </row>
    <row r="211" spans="1:44" ht="14.25">
      <c r="A211" s="830"/>
      <c r="B211" s="99" t="s">
        <v>275</v>
      </c>
      <c r="C211" s="466" t="s">
        <v>187</v>
      </c>
      <c r="D211" s="125" t="s">
        <v>24</v>
      </c>
      <c r="E211" s="126">
        <v>0.58333333333333337</v>
      </c>
      <c r="F211" s="126">
        <v>0.79166666666666663</v>
      </c>
      <c r="G211" s="217">
        <f t="shared" si="83"/>
        <v>0.20833333333333326</v>
      </c>
      <c r="H211" s="218">
        <f t="shared" si="84"/>
        <v>0</v>
      </c>
      <c r="I211" s="96">
        <f t="shared" si="85"/>
        <v>0</v>
      </c>
      <c r="J211" s="219">
        <f t="shared" si="86"/>
        <v>0</v>
      </c>
      <c r="K211" s="220">
        <f t="shared" si="87"/>
        <v>0</v>
      </c>
      <c r="L211" s="100">
        <f t="shared" si="88"/>
        <v>0</v>
      </c>
      <c r="M211" s="221" t="str">
        <f t="shared" si="94"/>
        <v/>
      </c>
      <c r="N211" s="222">
        <f t="shared" si="89"/>
        <v>0</v>
      </c>
      <c r="O211" s="223">
        <f>IF(N211=0,0,IF(SUM($N$5:N211)&gt;251,1,0))</f>
        <v>0</v>
      </c>
      <c r="P211" s="408">
        <v>20</v>
      </c>
      <c r="Q211" s="409">
        <v>1</v>
      </c>
      <c r="R211" s="224"/>
      <c r="S211" s="411" t="s">
        <v>672</v>
      </c>
      <c r="T211" s="225" t="s">
        <v>697</v>
      </c>
      <c r="U211" s="226" t="s">
        <v>698</v>
      </c>
      <c r="V211" s="413" t="s">
        <v>695</v>
      </c>
      <c r="W211" s="225" t="s">
        <v>697</v>
      </c>
      <c r="X211" s="226" t="s">
        <v>698</v>
      </c>
      <c r="Y211" s="413" t="s">
        <v>696</v>
      </c>
      <c r="Z211" s="225" t="s">
        <v>699</v>
      </c>
      <c r="AA211" s="226" t="s">
        <v>698</v>
      </c>
      <c r="AB211" s="413"/>
      <c r="AC211" s="225">
        <f t="shared" si="100"/>
        <v>0</v>
      </c>
      <c r="AD211" s="226">
        <f t="shared" si="95"/>
        <v>0</v>
      </c>
      <c r="AE211" s="413"/>
      <c r="AF211" s="225">
        <f t="shared" si="101"/>
        <v>0</v>
      </c>
      <c r="AG211" s="226">
        <f t="shared" si="96"/>
        <v>0</v>
      </c>
      <c r="AH211" s="413"/>
      <c r="AI211" s="225">
        <f t="shared" si="102"/>
        <v>0</v>
      </c>
      <c r="AJ211" s="226">
        <f t="shared" si="97"/>
        <v>0</v>
      </c>
      <c r="AK211" s="413"/>
      <c r="AL211" s="225">
        <f t="shared" si="103"/>
        <v>0</v>
      </c>
      <c r="AM211" s="226">
        <f t="shared" si="98"/>
        <v>0</v>
      </c>
      <c r="AN211" s="462" t="str">
        <f t="shared" si="90"/>
        <v/>
      </c>
      <c r="AO211" s="416" t="str">
        <f t="shared" si="91"/>
        <v/>
      </c>
      <c r="AP211" s="416" t="str">
        <f t="shared" si="92"/>
        <v/>
      </c>
      <c r="AQ211" s="416" t="str">
        <f t="shared" si="93"/>
        <v/>
      </c>
      <c r="AR211" s="416" t="str">
        <f t="shared" si="99"/>
        <v/>
      </c>
    </row>
    <row r="212" spans="1:44" ht="14.25">
      <c r="A212" s="830"/>
      <c r="B212" s="99" t="s">
        <v>276</v>
      </c>
      <c r="C212" s="466" t="s">
        <v>183</v>
      </c>
      <c r="D212" s="125" t="s">
        <v>24</v>
      </c>
      <c r="E212" s="126">
        <v>0.58333333333333337</v>
      </c>
      <c r="F212" s="126">
        <v>0.79166666666666663</v>
      </c>
      <c r="G212" s="217">
        <f t="shared" si="83"/>
        <v>0.20833333333333326</v>
      </c>
      <c r="H212" s="218">
        <f t="shared" si="84"/>
        <v>0</v>
      </c>
      <c r="I212" s="96">
        <f t="shared" si="85"/>
        <v>0</v>
      </c>
      <c r="J212" s="219">
        <f t="shared" si="86"/>
        <v>0</v>
      </c>
      <c r="K212" s="220">
        <f t="shared" si="87"/>
        <v>0</v>
      </c>
      <c r="L212" s="100">
        <f t="shared" si="88"/>
        <v>0</v>
      </c>
      <c r="M212" s="221" t="str">
        <f t="shared" si="94"/>
        <v/>
      </c>
      <c r="N212" s="222">
        <f t="shared" si="89"/>
        <v>0</v>
      </c>
      <c r="O212" s="223">
        <f>IF(N212=0,0,IF(SUM($N$5:N212)&gt;251,1,0))</f>
        <v>0</v>
      </c>
      <c r="P212" s="408">
        <v>26</v>
      </c>
      <c r="Q212" s="409">
        <v>1</v>
      </c>
      <c r="R212" s="224"/>
      <c r="S212" s="411" t="s">
        <v>672</v>
      </c>
      <c r="T212" s="225" t="s">
        <v>697</v>
      </c>
      <c r="U212" s="226" t="s">
        <v>698</v>
      </c>
      <c r="V212" s="413" t="s">
        <v>695</v>
      </c>
      <c r="W212" s="225" t="s">
        <v>697</v>
      </c>
      <c r="X212" s="226" t="s">
        <v>698</v>
      </c>
      <c r="Y212" s="413" t="s">
        <v>696</v>
      </c>
      <c r="Z212" s="225" t="s">
        <v>699</v>
      </c>
      <c r="AA212" s="226" t="s">
        <v>698</v>
      </c>
      <c r="AB212" s="413"/>
      <c r="AC212" s="225">
        <f t="shared" si="100"/>
        <v>0</v>
      </c>
      <c r="AD212" s="226">
        <f t="shared" si="95"/>
        <v>0</v>
      </c>
      <c r="AE212" s="413"/>
      <c r="AF212" s="225">
        <f t="shared" si="101"/>
        <v>0</v>
      </c>
      <c r="AG212" s="226">
        <f t="shared" si="96"/>
        <v>0</v>
      </c>
      <c r="AH212" s="413"/>
      <c r="AI212" s="225">
        <f t="shared" si="102"/>
        <v>0</v>
      </c>
      <c r="AJ212" s="226">
        <f t="shared" si="97"/>
        <v>0</v>
      </c>
      <c r="AK212" s="413"/>
      <c r="AL212" s="225">
        <f t="shared" si="103"/>
        <v>0</v>
      </c>
      <c r="AM212" s="226">
        <f t="shared" si="98"/>
        <v>0</v>
      </c>
      <c r="AN212" s="462" t="str">
        <f t="shared" si="90"/>
        <v/>
      </c>
      <c r="AO212" s="416" t="str">
        <f t="shared" si="91"/>
        <v/>
      </c>
      <c r="AP212" s="416" t="str">
        <f t="shared" si="92"/>
        <v/>
      </c>
      <c r="AQ212" s="416" t="str">
        <f t="shared" si="93"/>
        <v/>
      </c>
      <c r="AR212" s="416" t="str">
        <f t="shared" si="99"/>
        <v/>
      </c>
    </row>
    <row r="213" spans="1:44" ht="14.25">
      <c r="A213" s="830"/>
      <c r="B213" s="99" t="s">
        <v>277</v>
      </c>
      <c r="C213" s="466" t="s">
        <v>184</v>
      </c>
      <c r="D213" s="125" t="s">
        <v>24</v>
      </c>
      <c r="E213" s="126">
        <v>0.58333333333333337</v>
      </c>
      <c r="F213" s="126">
        <v>0.79166666666666663</v>
      </c>
      <c r="G213" s="217">
        <f t="shared" si="83"/>
        <v>0.20833333333333326</v>
      </c>
      <c r="H213" s="218">
        <f t="shared" si="84"/>
        <v>0</v>
      </c>
      <c r="I213" s="96">
        <f t="shared" si="85"/>
        <v>0</v>
      </c>
      <c r="J213" s="219">
        <f t="shared" si="86"/>
        <v>0</v>
      </c>
      <c r="K213" s="220">
        <f t="shared" si="87"/>
        <v>0</v>
      </c>
      <c r="L213" s="100">
        <f t="shared" si="88"/>
        <v>0</v>
      </c>
      <c r="M213" s="221" t="str">
        <f t="shared" si="94"/>
        <v/>
      </c>
      <c r="N213" s="222">
        <f t="shared" si="89"/>
        <v>0</v>
      </c>
      <c r="O213" s="223">
        <f>IF(N213=0,0,IF(SUM($N$5:N213)&gt;251,1,0))</f>
        <v>0</v>
      </c>
      <c r="P213" s="408">
        <v>25</v>
      </c>
      <c r="Q213" s="409">
        <v>0</v>
      </c>
      <c r="R213" s="224"/>
      <c r="S213" s="411" t="s">
        <v>672</v>
      </c>
      <c r="T213" s="225" t="s">
        <v>697</v>
      </c>
      <c r="U213" s="226" t="s">
        <v>698</v>
      </c>
      <c r="V213" s="413" t="s">
        <v>695</v>
      </c>
      <c r="W213" s="225" t="s">
        <v>697</v>
      </c>
      <c r="X213" s="226" t="s">
        <v>698</v>
      </c>
      <c r="Y213" s="413" t="s">
        <v>696</v>
      </c>
      <c r="Z213" s="225" t="s">
        <v>699</v>
      </c>
      <c r="AA213" s="226" t="s">
        <v>698</v>
      </c>
      <c r="AB213" s="413"/>
      <c r="AC213" s="225">
        <f t="shared" si="100"/>
        <v>0</v>
      </c>
      <c r="AD213" s="226">
        <f t="shared" si="95"/>
        <v>0</v>
      </c>
      <c r="AE213" s="413"/>
      <c r="AF213" s="225">
        <f t="shared" si="101"/>
        <v>0</v>
      </c>
      <c r="AG213" s="226">
        <f t="shared" si="96"/>
        <v>0</v>
      </c>
      <c r="AH213" s="413"/>
      <c r="AI213" s="225">
        <f t="shared" si="102"/>
        <v>0</v>
      </c>
      <c r="AJ213" s="226">
        <f t="shared" si="97"/>
        <v>0</v>
      </c>
      <c r="AK213" s="413"/>
      <c r="AL213" s="225">
        <f t="shared" si="103"/>
        <v>0</v>
      </c>
      <c r="AM213" s="226">
        <f t="shared" si="98"/>
        <v>0</v>
      </c>
      <c r="AN213" s="462" t="str">
        <f t="shared" si="90"/>
        <v/>
      </c>
      <c r="AO213" s="416" t="str">
        <f t="shared" si="91"/>
        <v/>
      </c>
      <c r="AP213" s="416" t="str">
        <f t="shared" si="92"/>
        <v/>
      </c>
      <c r="AQ213" s="416" t="str">
        <f t="shared" si="93"/>
        <v/>
      </c>
      <c r="AR213" s="416" t="str">
        <f t="shared" si="99"/>
        <v/>
      </c>
    </row>
    <row r="214" spans="1:44" ht="14.25">
      <c r="A214" s="830"/>
      <c r="B214" s="99" t="s">
        <v>278</v>
      </c>
      <c r="C214" s="466" t="s">
        <v>185</v>
      </c>
      <c r="D214" s="125" t="s">
        <v>24</v>
      </c>
      <c r="E214" s="126">
        <v>0.58333333333333337</v>
      </c>
      <c r="F214" s="126">
        <v>0.79166666666666663</v>
      </c>
      <c r="G214" s="217">
        <f t="shared" si="83"/>
        <v>0.20833333333333326</v>
      </c>
      <c r="H214" s="218">
        <f t="shared" si="84"/>
        <v>0</v>
      </c>
      <c r="I214" s="96">
        <f t="shared" si="85"/>
        <v>0</v>
      </c>
      <c r="J214" s="219">
        <f t="shared" si="86"/>
        <v>0</v>
      </c>
      <c r="K214" s="220">
        <f t="shared" si="87"/>
        <v>0</v>
      </c>
      <c r="L214" s="100">
        <f t="shared" si="88"/>
        <v>0</v>
      </c>
      <c r="M214" s="221" t="str">
        <f t="shared" si="94"/>
        <v/>
      </c>
      <c r="N214" s="222">
        <f t="shared" si="89"/>
        <v>0</v>
      </c>
      <c r="O214" s="223">
        <f>IF(N214=0,0,IF(SUM($N$5:N214)&gt;251,1,0))</f>
        <v>0</v>
      </c>
      <c r="P214" s="408">
        <v>27</v>
      </c>
      <c r="Q214" s="409">
        <v>1</v>
      </c>
      <c r="R214" s="224"/>
      <c r="S214" s="411" t="s">
        <v>672</v>
      </c>
      <c r="T214" s="225" t="s">
        <v>697</v>
      </c>
      <c r="U214" s="226" t="s">
        <v>698</v>
      </c>
      <c r="V214" s="413" t="s">
        <v>695</v>
      </c>
      <c r="W214" s="225" t="s">
        <v>697</v>
      </c>
      <c r="X214" s="226" t="s">
        <v>698</v>
      </c>
      <c r="Y214" s="413" t="s">
        <v>696</v>
      </c>
      <c r="Z214" s="225" t="s">
        <v>699</v>
      </c>
      <c r="AA214" s="226" t="s">
        <v>698</v>
      </c>
      <c r="AB214" s="413"/>
      <c r="AC214" s="225">
        <f t="shared" si="100"/>
        <v>0</v>
      </c>
      <c r="AD214" s="226">
        <f t="shared" si="95"/>
        <v>0</v>
      </c>
      <c r="AE214" s="413"/>
      <c r="AF214" s="225">
        <f t="shared" si="101"/>
        <v>0</v>
      </c>
      <c r="AG214" s="226">
        <f t="shared" si="96"/>
        <v>0</v>
      </c>
      <c r="AH214" s="413"/>
      <c r="AI214" s="225">
        <f t="shared" si="102"/>
        <v>0</v>
      </c>
      <c r="AJ214" s="226">
        <f t="shared" si="97"/>
        <v>0</v>
      </c>
      <c r="AK214" s="413"/>
      <c r="AL214" s="225">
        <f t="shared" si="103"/>
        <v>0</v>
      </c>
      <c r="AM214" s="226">
        <f t="shared" si="98"/>
        <v>0</v>
      </c>
      <c r="AN214" s="462" t="str">
        <f t="shared" si="90"/>
        <v/>
      </c>
      <c r="AO214" s="416" t="str">
        <f t="shared" si="91"/>
        <v/>
      </c>
      <c r="AP214" s="416" t="str">
        <f t="shared" si="92"/>
        <v/>
      </c>
      <c r="AQ214" s="416" t="str">
        <f t="shared" si="93"/>
        <v/>
      </c>
      <c r="AR214" s="416" t="str">
        <f t="shared" si="99"/>
        <v/>
      </c>
    </row>
    <row r="215" spans="1:44" ht="14.25">
      <c r="A215" s="830"/>
      <c r="B215" s="99" t="s">
        <v>279</v>
      </c>
      <c r="C215" s="466" t="s">
        <v>186</v>
      </c>
      <c r="D215" s="125" t="s">
        <v>249</v>
      </c>
      <c r="E215" s="126">
        <v>0.375</v>
      </c>
      <c r="F215" s="126">
        <v>0.75</v>
      </c>
      <c r="G215" s="217">
        <f t="shared" si="83"/>
        <v>0.375</v>
      </c>
      <c r="H215" s="218">
        <f t="shared" si="84"/>
        <v>0</v>
      </c>
      <c r="I215" s="96">
        <f t="shared" si="85"/>
        <v>0</v>
      </c>
      <c r="J215" s="219">
        <f t="shared" si="86"/>
        <v>0</v>
      </c>
      <c r="K215" s="220">
        <f t="shared" si="87"/>
        <v>4.1666666666666685E-2</v>
      </c>
      <c r="L215" s="100">
        <f t="shared" si="88"/>
        <v>1</v>
      </c>
      <c r="M215" s="221" t="str">
        <f t="shared" si="94"/>
        <v/>
      </c>
      <c r="N215" s="222">
        <f t="shared" si="89"/>
        <v>1</v>
      </c>
      <c r="O215" s="223">
        <f>IF(N215=0,0,IF(SUM($N$5:N215)&gt;251,1,0))</f>
        <v>0</v>
      </c>
      <c r="P215" s="408">
        <v>5</v>
      </c>
      <c r="Q215" s="409">
        <v>0</v>
      </c>
      <c r="R215" s="224"/>
      <c r="S215" s="411" t="s">
        <v>672</v>
      </c>
      <c r="T215" s="225" t="s">
        <v>697</v>
      </c>
      <c r="U215" s="226" t="s">
        <v>698</v>
      </c>
      <c r="V215" s="413" t="s">
        <v>695</v>
      </c>
      <c r="W215" s="225" t="s">
        <v>697</v>
      </c>
      <c r="X215" s="226" t="s">
        <v>698</v>
      </c>
      <c r="Y215" s="413" t="s">
        <v>696</v>
      </c>
      <c r="Z215" s="225" t="s">
        <v>699</v>
      </c>
      <c r="AA215" s="226" t="s">
        <v>698</v>
      </c>
      <c r="AB215" s="413"/>
      <c r="AC215" s="225">
        <f t="shared" si="100"/>
        <v>0</v>
      </c>
      <c r="AD215" s="226">
        <f t="shared" si="95"/>
        <v>0</v>
      </c>
      <c r="AE215" s="413"/>
      <c r="AF215" s="225">
        <f t="shared" si="101"/>
        <v>0</v>
      </c>
      <c r="AG215" s="226">
        <f t="shared" si="96"/>
        <v>0</v>
      </c>
      <c r="AH215" s="413"/>
      <c r="AI215" s="225">
        <f t="shared" si="102"/>
        <v>0</v>
      </c>
      <c r="AJ215" s="226">
        <f t="shared" si="97"/>
        <v>0</v>
      </c>
      <c r="AK215" s="413"/>
      <c r="AL215" s="225">
        <f t="shared" si="103"/>
        <v>0</v>
      </c>
      <c r="AM215" s="226">
        <f t="shared" si="98"/>
        <v>0</v>
      </c>
      <c r="AN215" s="462" t="str">
        <f t="shared" si="90"/>
        <v/>
      </c>
      <c r="AO215" s="416" t="str">
        <f t="shared" si="91"/>
        <v/>
      </c>
      <c r="AP215" s="416" t="str">
        <f t="shared" si="92"/>
        <v/>
      </c>
      <c r="AQ215" s="416" t="str">
        <f t="shared" si="93"/>
        <v/>
      </c>
      <c r="AR215" s="416" t="str">
        <f t="shared" si="99"/>
        <v/>
      </c>
    </row>
    <row r="216" spans="1:44" ht="14.25">
      <c r="A216" s="830"/>
      <c r="B216" s="99" t="s">
        <v>280</v>
      </c>
      <c r="C216" s="466" t="s">
        <v>262</v>
      </c>
      <c r="D216" s="125" t="s">
        <v>251</v>
      </c>
      <c r="E216" s="126"/>
      <c r="F216" s="126"/>
      <c r="G216" s="217">
        <f t="shared" si="83"/>
        <v>0</v>
      </c>
      <c r="H216" s="218">
        <f t="shared" si="84"/>
        <v>0</v>
      </c>
      <c r="I216" s="96">
        <f t="shared" si="85"/>
        <v>0</v>
      </c>
      <c r="J216" s="219">
        <f t="shared" si="86"/>
        <v>0</v>
      </c>
      <c r="K216" s="220">
        <f t="shared" si="87"/>
        <v>0</v>
      </c>
      <c r="L216" s="100">
        <f t="shared" si="88"/>
        <v>0</v>
      </c>
      <c r="M216" s="221" t="str">
        <f t="shared" si="94"/>
        <v/>
      </c>
      <c r="N216" s="222">
        <f t="shared" si="89"/>
        <v>0</v>
      </c>
      <c r="O216" s="223">
        <f>IF(N216=0,0,IF(SUM($N$5:N216)&gt;251,1,0))</f>
        <v>0</v>
      </c>
      <c r="P216" s="408"/>
      <c r="Q216" s="409"/>
      <c r="R216" s="224"/>
      <c r="S216" s="411"/>
      <c r="T216" s="225">
        <f t="shared" si="104"/>
        <v>0</v>
      </c>
      <c r="U216" s="226">
        <f t="shared" si="105"/>
        <v>0</v>
      </c>
      <c r="V216" s="413"/>
      <c r="W216" s="225">
        <f t="shared" si="106"/>
        <v>0</v>
      </c>
      <c r="X216" s="226">
        <f t="shared" si="107"/>
        <v>0</v>
      </c>
      <c r="Y216" s="413"/>
      <c r="Z216" s="225">
        <f t="shared" si="108"/>
        <v>0</v>
      </c>
      <c r="AA216" s="226">
        <f t="shared" si="109"/>
        <v>0</v>
      </c>
      <c r="AB216" s="413"/>
      <c r="AC216" s="225">
        <f t="shared" si="100"/>
        <v>0</v>
      </c>
      <c r="AD216" s="226">
        <f t="shared" si="95"/>
        <v>0</v>
      </c>
      <c r="AE216" s="413"/>
      <c r="AF216" s="225">
        <f t="shared" si="101"/>
        <v>0</v>
      </c>
      <c r="AG216" s="226">
        <f t="shared" si="96"/>
        <v>0</v>
      </c>
      <c r="AH216" s="413"/>
      <c r="AI216" s="225">
        <f t="shared" si="102"/>
        <v>0</v>
      </c>
      <c r="AJ216" s="226">
        <f t="shared" si="97"/>
        <v>0</v>
      </c>
      <c r="AK216" s="413"/>
      <c r="AL216" s="225">
        <f t="shared" si="103"/>
        <v>0</v>
      </c>
      <c r="AM216" s="226">
        <f t="shared" si="98"/>
        <v>0</v>
      </c>
      <c r="AN216" s="462" t="str">
        <f t="shared" si="90"/>
        <v/>
      </c>
      <c r="AO216" s="416" t="str">
        <f t="shared" si="91"/>
        <v/>
      </c>
      <c r="AP216" s="416" t="str">
        <f t="shared" si="92"/>
        <v/>
      </c>
      <c r="AQ216" s="416" t="str">
        <f t="shared" si="93"/>
        <v/>
      </c>
      <c r="AR216" s="416" t="str">
        <f t="shared" si="99"/>
        <v/>
      </c>
    </row>
    <row r="217" spans="1:44" ht="14.25">
      <c r="A217" s="830"/>
      <c r="B217" s="99" t="s">
        <v>281</v>
      </c>
      <c r="C217" s="466" t="s">
        <v>182</v>
      </c>
      <c r="D217" s="125" t="s">
        <v>24</v>
      </c>
      <c r="E217" s="126">
        <v>0.58333333333333337</v>
      </c>
      <c r="F217" s="126">
        <v>0.79166666666666663</v>
      </c>
      <c r="G217" s="217">
        <f t="shared" si="83"/>
        <v>0.20833333333333326</v>
      </c>
      <c r="H217" s="218">
        <f t="shared" si="84"/>
        <v>0</v>
      </c>
      <c r="I217" s="96">
        <f t="shared" si="85"/>
        <v>0</v>
      </c>
      <c r="J217" s="219">
        <f t="shared" si="86"/>
        <v>0</v>
      </c>
      <c r="K217" s="220">
        <f t="shared" si="87"/>
        <v>0</v>
      </c>
      <c r="L217" s="100">
        <f t="shared" si="88"/>
        <v>0</v>
      </c>
      <c r="M217" s="221" t="str">
        <f t="shared" si="94"/>
        <v/>
      </c>
      <c r="N217" s="222">
        <f t="shared" si="89"/>
        <v>0</v>
      </c>
      <c r="O217" s="223">
        <f>IF(N217=0,0,IF(SUM($N$5:N217)&gt;251,1,0))</f>
        <v>0</v>
      </c>
      <c r="P217" s="408">
        <v>26</v>
      </c>
      <c r="Q217" s="409">
        <v>0</v>
      </c>
      <c r="R217" s="224"/>
      <c r="S217" s="411" t="s">
        <v>672</v>
      </c>
      <c r="T217" s="225" t="s">
        <v>697</v>
      </c>
      <c r="U217" s="226" t="s">
        <v>698</v>
      </c>
      <c r="V217" s="413" t="s">
        <v>695</v>
      </c>
      <c r="W217" s="225" t="s">
        <v>697</v>
      </c>
      <c r="X217" s="226" t="s">
        <v>698</v>
      </c>
      <c r="Y217" s="413" t="s">
        <v>696</v>
      </c>
      <c r="Z217" s="225" t="s">
        <v>699</v>
      </c>
      <c r="AA217" s="226" t="s">
        <v>698</v>
      </c>
      <c r="AB217" s="413"/>
      <c r="AC217" s="225">
        <f t="shared" si="100"/>
        <v>0</v>
      </c>
      <c r="AD217" s="226">
        <f t="shared" si="95"/>
        <v>0</v>
      </c>
      <c r="AE217" s="413"/>
      <c r="AF217" s="225">
        <f t="shared" si="101"/>
        <v>0</v>
      </c>
      <c r="AG217" s="226">
        <f t="shared" si="96"/>
        <v>0</v>
      </c>
      <c r="AH217" s="413"/>
      <c r="AI217" s="225">
        <f t="shared" si="102"/>
        <v>0</v>
      </c>
      <c r="AJ217" s="226">
        <f t="shared" si="97"/>
        <v>0</v>
      </c>
      <c r="AK217" s="413"/>
      <c r="AL217" s="225">
        <f t="shared" si="103"/>
        <v>0</v>
      </c>
      <c r="AM217" s="226">
        <f t="shared" si="98"/>
        <v>0</v>
      </c>
      <c r="AN217" s="462" t="str">
        <f t="shared" si="90"/>
        <v/>
      </c>
      <c r="AO217" s="416" t="str">
        <f t="shared" si="91"/>
        <v/>
      </c>
      <c r="AP217" s="416" t="str">
        <f t="shared" si="92"/>
        <v/>
      </c>
      <c r="AQ217" s="416" t="str">
        <f t="shared" si="93"/>
        <v/>
      </c>
      <c r="AR217" s="416" t="str">
        <f t="shared" si="99"/>
        <v/>
      </c>
    </row>
    <row r="218" spans="1:44" ht="15" thickBot="1">
      <c r="A218" s="831"/>
      <c r="B218" s="101" t="s">
        <v>292</v>
      </c>
      <c r="C218" s="102" t="s">
        <v>187</v>
      </c>
      <c r="D218" s="125" t="s">
        <v>24</v>
      </c>
      <c r="E218" s="126">
        <v>0.58333333333333337</v>
      </c>
      <c r="F218" s="126">
        <v>0.79166666666666663</v>
      </c>
      <c r="G218" s="227">
        <f t="shared" si="83"/>
        <v>0.20833333333333326</v>
      </c>
      <c r="H218" s="228">
        <f t="shared" si="84"/>
        <v>0</v>
      </c>
      <c r="I218" s="103">
        <f t="shared" si="85"/>
        <v>0</v>
      </c>
      <c r="J218" s="229">
        <f t="shared" si="86"/>
        <v>0</v>
      </c>
      <c r="K218" s="230">
        <f t="shared" si="87"/>
        <v>0</v>
      </c>
      <c r="L218" s="104">
        <f t="shared" si="88"/>
        <v>0</v>
      </c>
      <c r="M218" s="231" t="str">
        <f t="shared" si="94"/>
        <v/>
      </c>
      <c r="N218" s="232">
        <f t="shared" si="89"/>
        <v>0</v>
      </c>
      <c r="O218" s="233">
        <f>IF(N218=0,0,IF(SUM($N$5:N218)&gt;251,1,0))</f>
        <v>0</v>
      </c>
      <c r="P218" s="408">
        <v>27</v>
      </c>
      <c r="Q218" s="409">
        <v>0</v>
      </c>
      <c r="R218" s="236">
        <f>SUM(P188:P218)</f>
        <v>518</v>
      </c>
      <c r="S218" s="411" t="s">
        <v>672</v>
      </c>
      <c r="T218" s="225" t="s">
        <v>697</v>
      </c>
      <c r="U218" s="235" t="s">
        <v>698</v>
      </c>
      <c r="V218" s="414" t="s">
        <v>695</v>
      </c>
      <c r="W218" s="225" t="s">
        <v>697</v>
      </c>
      <c r="X218" s="235" t="s">
        <v>698</v>
      </c>
      <c r="Y218" s="414" t="s">
        <v>696</v>
      </c>
      <c r="Z218" s="225" t="s">
        <v>699</v>
      </c>
      <c r="AA218" s="235" t="s">
        <v>698</v>
      </c>
      <c r="AB218" s="414"/>
      <c r="AC218" s="225">
        <f t="shared" si="100"/>
        <v>0</v>
      </c>
      <c r="AD218" s="235">
        <f t="shared" si="95"/>
        <v>0</v>
      </c>
      <c r="AE218" s="414"/>
      <c r="AF218" s="225">
        <f t="shared" si="101"/>
        <v>0</v>
      </c>
      <c r="AG218" s="235">
        <f t="shared" si="96"/>
        <v>0</v>
      </c>
      <c r="AH218" s="414"/>
      <c r="AI218" s="225">
        <f t="shared" si="102"/>
        <v>0</v>
      </c>
      <c r="AJ218" s="235">
        <f t="shared" si="97"/>
        <v>0</v>
      </c>
      <c r="AK218" s="414"/>
      <c r="AL218" s="225">
        <f t="shared" si="103"/>
        <v>0</v>
      </c>
      <c r="AM218" s="235">
        <f t="shared" si="98"/>
        <v>0</v>
      </c>
      <c r="AN218" s="463" t="str">
        <f t="shared" si="90"/>
        <v/>
      </c>
      <c r="AO218" s="417" t="str">
        <f t="shared" si="91"/>
        <v/>
      </c>
      <c r="AP218" s="417" t="str">
        <f t="shared" si="92"/>
        <v/>
      </c>
      <c r="AQ218" s="417" t="str">
        <f t="shared" si="93"/>
        <v/>
      </c>
      <c r="AR218" s="416" t="str">
        <f t="shared" si="99"/>
        <v/>
      </c>
    </row>
    <row r="219" spans="1:44" ht="14.25">
      <c r="A219" s="829" t="s">
        <v>287</v>
      </c>
      <c r="B219" s="467" t="s">
        <v>248</v>
      </c>
      <c r="C219" s="468" t="s">
        <v>183</v>
      </c>
      <c r="D219" s="125" t="s">
        <v>24</v>
      </c>
      <c r="E219" s="126">
        <v>0.58333333333333337</v>
      </c>
      <c r="F219" s="126">
        <v>0.79166666666666663</v>
      </c>
      <c r="G219" s="207">
        <f t="shared" si="83"/>
        <v>0.20833333333333326</v>
      </c>
      <c r="H219" s="208">
        <f t="shared" si="84"/>
        <v>0</v>
      </c>
      <c r="I219" s="95">
        <f t="shared" si="85"/>
        <v>0</v>
      </c>
      <c r="J219" s="209">
        <f t="shared" si="86"/>
        <v>0</v>
      </c>
      <c r="K219" s="210">
        <f t="shared" si="87"/>
        <v>0</v>
      </c>
      <c r="L219" s="97">
        <f t="shared" si="88"/>
        <v>0</v>
      </c>
      <c r="M219" s="211" t="str">
        <f t="shared" si="94"/>
        <v/>
      </c>
      <c r="N219" s="212">
        <f t="shared" si="89"/>
        <v>0</v>
      </c>
      <c r="O219" s="213">
        <f>IF(N219=0,0,IF(SUM($N$5:N219)&gt;251,1,0))</f>
        <v>0</v>
      </c>
      <c r="P219" s="408">
        <v>25</v>
      </c>
      <c r="Q219" s="409">
        <v>0</v>
      </c>
      <c r="R219" s="214"/>
      <c r="S219" s="411" t="s">
        <v>672</v>
      </c>
      <c r="T219" s="225" t="s">
        <v>697</v>
      </c>
      <c r="U219" s="216" t="s">
        <v>698</v>
      </c>
      <c r="V219" s="412" t="s">
        <v>695</v>
      </c>
      <c r="W219" s="225" t="s">
        <v>697</v>
      </c>
      <c r="X219" s="216" t="s">
        <v>698</v>
      </c>
      <c r="Y219" s="412" t="s">
        <v>696</v>
      </c>
      <c r="Z219" s="225" t="s">
        <v>699</v>
      </c>
      <c r="AA219" s="216" t="s">
        <v>698</v>
      </c>
      <c r="AB219" s="412"/>
      <c r="AC219" s="225">
        <f t="shared" si="100"/>
        <v>0</v>
      </c>
      <c r="AD219" s="216">
        <f t="shared" si="95"/>
        <v>0</v>
      </c>
      <c r="AE219" s="412"/>
      <c r="AF219" s="225">
        <f t="shared" si="101"/>
        <v>0</v>
      </c>
      <c r="AG219" s="216">
        <f t="shared" si="96"/>
        <v>0</v>
      </c>
      <c r="AH219" s="412"/>
      <c r="AI219" s="225">
        <f t="shared" si="102"/>
        <v>0</v>
      </c>
      <c r="AJ219" s="216">
        <f t="shared" si="97"/>
        <v>0</v>
      </c>
      <c r="AK219" s="412"/>
      <c r="AL219" s="225">
        <f t="shared" si="103"/>
        <v>0</v>
      </c>
      <c r="AM219" s="216">
        <f t="shared" si="98"/>
        <v>0</v>
      </c>
      <c r="AN219" s="461" t="str">
        <f t="shared" si="90"/>
        <v/>
      </c>
      <c r="AO219" s="418" t="str">
        <f t="shared" si="91"/>
        <v/>
      </c>
      <c r="AP219" s="418" t="str">
        <f t="shared" si="92"/>
        <v/>
      </c>
      <c r="AQ219" s="415" t="str">
        <f t="shared" si="93"/>
        <v/>
      </c>
      <c r="AR219" s="416" t="str">
        <f t="shared" si="99"/>
        <v/>
      </c>
    </row>
    <row r="220" spans="1:44" ht="14.25">
      <c r="A220" s="830"/>
      <c r="B220" s="99" t="s">
        <v>250</v>
      </c>
      <c r="C220" s="466" t="s">
        <v>184</v>
      </c>
      <c r="D220" s="125" t="s">
        <v>24</v>
      </c>
      <c r="E220" s="126">
        <v>0.58333333333333337</v>
      </c>
      <c r="F220" s="126">
        <v>0.79166666666666663</v>
      </c>
      <c r="G220" s="217">
        <f t="shared" si="83"/>
        <v>0.20833333333333326</v>
      </c>
      <c r="H220" s="218">
        <f t="shared" si="84"/>
        <v>0</v>
      </c>
      <c r="I220" s="96">
        <f t="shared" si="85"/>
        <v>0</v>
      </c>
      <c r="J220" s="219">
        <f t="shared" si="86"/>
        <v>0</v>
      </c>
      <c r="K220" s="220">
        <f t="shared" si="87"/>
        <v>0</v>
      </c>
      <c r="L220" s="100">
        <f t="shared" si="88"/>
        <v>0</v>
      </c>
      <c r="M220" s="221" t="str">
        <f t="shared" si="94"/>
        <v/>
      </c>
      <c r="N220" s="222">
        <f t="shared" si="89"/>
        <v>0</v>
      </c>
      <c r="O220" s="223">
        <f>IF(N220=0,0,IF(SUM($N$5:N220)&gt;251,1,0))</f>
        <v>0</v>
      </c>
      <c r="P220" s="408">
        <v>24</v>
      </c>
      <c r="Q220" s="409">
        <v>1</v>
      </c>
      <c r="R220" s="224"/>
      <c r="S220" s="411" t="s">
        <v>672</v>
      </c>
      <c r="T220" s="225" t="s">
        <v>697</v>
      </c>
      <c r="U220" s="226" t="s">
        <v>698</v>
      </c>
      <c r="V220" s="413" t="s">
        <v>695</v>
      </c>
      <c r="W220" s="225" t="s">
        <v>697</v>
      </c>
      <c r="X220" s="226" t="s">
        <v>698</v>
      </c>
      <c r="Y220" s="413" t="s">
        <v>696</v>
      </c>
      <c r="Z220" s="225" t="s">
        <v>699</v>
      </c>
      <c r="AA220" s="226" t="s">
        <v>698</v>
      </c>
      <c r="AB220" s="413"/>
      <c r="AC220" s="225">
        <f t="shared" si="100"/>
        <v>0</v>
      </c>
      <c r="AD220" s="226">
        <f t="shared" si="95"/>
        <v>0</v>
      </c>
      <c r="AE220" s="413"/>
      <c r="AF220" s="225">
        <f t="shared" si="101"/>
        <v>0</v>
      </c>
      <c r="AG220" s="226">
        <f t="shared" si="96"/>
        <v>0</v>
      </c>
      <c r="AH220" s="413"/>
      <c r="AI220" s="225">
        <f t="shared" si="102"/>
        <v>0</v>
      </c>
      <c r="AJ220" s="226">
        <f t="shared" si="97"/>
        <v>0</v>
      </c>
      <c r="AK220" s="413"/>
      <c r="AL220" s="225">
        <f t="shared" si="103"/>
        <v>0</v>
      </c>
      <c r="AM220" s="226">
        <f t="shared" si="98"/>
        <v>0</v>
      </c>
      <c r="AN220" s="462" t="str">
        <f t="shared" si="90"/>
        <v/>
      </c>
      <c r="AO220" s="416" t="str">
        <f t="shared" si="91"/>
        <v/>
      </c>
      <c r="AP220" s="416" t="str">
        <f t="shared" si="92"/>
        <v/>
      </c>
      <c r="AQ220" s="416" t="str">
        <f t="shared" si="93"/>
        <v/>
      </c>
      <c r="AR220" s="416" t="str">
        <f t="shared" si="99"/>
        <v/>
      </c>
    </row>
    <row r="221" spans="1:44" ht="14.25">
      <c r="A221" s="830"/>
      <c r="B221" s="99" t="s">
        <v>252</v>
      </c>
      <c r="C221" s="466" t="s">
        <v>599</v>
      </c>
      <c r="D221" s="125" t="s">
        <v>249</v>
      </c>
      <c r="E221" s="126">
        <v>0.375</v>
      </c>
      <c r="F221" s="126">
        <v>0.75</v>
      </c>
      <c r="G221" s="217">
        <f t="shared" si="83"/>
        <v>0.375</v>
      </c>
      <c r="H221" s="218">
        <f t="shared" si="84"/>
        <v>0</v>
      </c>
      <c r="I221" s="96">
        <f t="shared" si="85"/>
        <v>0</v>
      </c>
      <c r="J221" s="219">
        <f t="shared" si="86"/>
        <v>0</v>
      </c>
      <c r="K221" s="220">
        <f t="shared" si="87"/>
        <v>4.1666666666666685E-2</v>
      </c>
      <c r="L221" s="100">
        <f t="shared" si="88"/>
        <v>1</v>
      </c>
      <c r="M221" s="221" t="str">
        <f t="shared" si="94"/>
        <v/>
      </c>
      <c r="N221" s="222">
        <f t="shared" si="89"/>
        <v>1</v>
      </c>
      <c r="O221" s="223">
        <f>IF(N221=0,0,IF(SUM($N$5:N221)&gt;251,1,0))</f>
        <v>0</v>
      </c>
      <c r="P221" s="408">
        <v>4</v>
      </c>
      <c r="Q221" s="409">
        <v>0</v>
      </c>
      <c r="R221" s="224"/>
      <c r="S221" s="411" t="s">
        <v>672</v>
      </c>
      <c r="T221" s="225" t="s">
        <v>697</v>
      </c>
      <c r="U221" s="226" t="s">
        <v>698</v>
      </c>
      <c r="V221" s="413" t="s">
        <v>695</v>
      </c>
      <c r="W221" s="225" t="s">
        <v>697</v>
      </c>
      <c r="X221" s="226" t="s">
        <v>698</v>
      </c>
      <c r="Y221" s="413" t="s">
        <v>696</v>
      </c>
      <c r="Z221" s="225" t="s">
        <v>699</v>
      </c>
      <c r="AA221" s="226" t="s">
        <v>698</v>
      </c>
      <c r="AB221" s="413"/>
      <c r="AC221" s="225">
        <f t="shared" si="100"/>
        <v>0</v>
      </c>
      <c r="AD221" s="226">
        <f t="shared" si="95"/>
        <v>0</v>
      </c>
      <c r="AE221" s="413"/>
      <c r="AF221" s="225">
        <f t="shared" si="101"/>
        <v>0</v>
      </c>
      <c r="AG221" s="226">
        <f t="shared" si="96"/>
        <v>0</v>
      </c>
      <c r="AH221" s="413"/>
      <c r="AI221" s="225">
        <f t="shared" si="102"/>
        <v>0</v>
      </c>
      <c r="AJ221" s="226">
        <f t="shared" si="97"/>
        <v>0</v>
      </c>
      <c r="AK221" s="413"/>
      <c r="AL221" s="225">
        <f t="shared" si="103"/>
        <v>0</v>
      </c>
      <c r="AM221" s="226">
        <f t="shared" si="98"/>
        <v>0</v>
      </c>
      <c r="AN221" s="462" t="str">
        <f t="shared" si="90"/>
        <v/>
      </c>
      <c r="AO221" s="416" t="str">
        <f t="shared" si="91"/>
        <v/>
      </c>
      <c r="AP221" s="416" t="str">
        <f t="shared" si="92"/>
        <v/>
      </c>
      <c r="AQ221" s="416" t="str">
        <f t="shared" si="93"/>
        <v/>
      </c>
      <c r="AR221" s="416" t="str">
        <f t="shared" si="99"/>
        <v/>
      </c>
    </row>
    <row r="222" spans="1:44" ht="14.25">
      <c r="A222" s="830"/>
      <c r="B222" s="99" t="s">
        <v>254</v>
      </c>
      <c r="C222" s="466" t="s">
        <v>186</v>
      </c>
      <c r="D222" s="125" t="s">
        <v>249</v>
      </c>
      <c r="E222" s="126">
        <v>0.375</v>
      </c>
      <c r="F222" s="126">
        <v>0.75</v>
      </c>
      <c r="G222" s="217">
        <f t="shared" si="83"/>
        <v>0.375</v>
      </c>
      <c r="H222" s="218">
        <f t="shared" si="84"/>
        <v>0</v>
      </c>
      <c r="I222" s="96">
        <f t="shared" si="85"/>
        <v>0</v>
      </c>
      <c r="J222" s="219">
        <f t="shared" si="86"/>
        <v>0</v>
      </c>
      <c r="K222" s="220">
        <f t="shared" si="87"/>
        <v>4.1666666666666685E-2</v>
      </c>
      <c r="L222" s="100">
        <f t="shared" si="88"/>
        <v>1</v>
      </c>
      <c r="M222" s="221" t="str">
        <f t="shared" si="94"/>
        <v/>
      </c>
      <c r="N222" s="222">
        <f t="shared" si="89"/>
        <v>1</v>
      </c>
      <c r="O222" s="223">
        <f>IF(N222=0,0,IF(SUM($N$5:N222)&gt;251,1,0))</f>
        <v>0</v>
      </c>
      <c r="P222" s="408">
        <v>2</v>
      </c>
      <c r="Q222" s="409">
        <v>0</v>
      </c>
      <c r="R222" s="224"/>
      <c r="S222" s="411" t="s">
        <v>672</v>
      </c>
      <c r="T222" s="225" t="s">
        <v>697</v>
      </c>
      <c r="U222" s="226" t="s">
        <v>698</v>
      </c>
      <c r="V222" s="413" t="s">
        <v>695</v>
      </c>
      <c r="W222" s="225" t="s">
        <v>697</v>
      </c>
      <c r="X222" s="226" t="s">
        <v>698</v>
      </c>
      <c r="Y222" s="413" t="s">
        <v>696</v>
      </c>
      <c r="Z222" s="225" t="s">
        <v>699</v>
      </c>
      <c r="AA222" s="226" t="s">
        <v>698</v>
      </c>
      <c r="AB222" s="413"/>
      <c r="AC222" s="225">
        <f t="shared" si="100"/>
        <v>0</v>
      </c>
      <c r="AD222" s="226">
        <f t="shared" si="95"/>
        <v>0</v>
      </c>
      <c r="AE222" s="413"/>
      <c r="AF222" s="225">
        <f t="shared" si="101"/>
        <v>0</v>
      </c>
      <c r="AG222" s="226">
        <f t="shared" si="96"/>
        <v>0</v>
      </c>
      <c r="AH222" s="413"/>
      <c r="AI222" s="225">
        <f t="shared" si="102"/>
        <v>0</v>
      </c>
      <c r="AJ222" s="226">
        <f t="shared" si="97"/>
        <v>0</v>
      </c>
      <c r="AK222" s="413"/>
      <c r="AL222" s="225">
        <f t="shared" si="103"/>
        <v>0</v>
      </c>
      <c r="AM222" s="226">
        <f t="shared" si="98"/>
        <v>0</v>
      </c>
      <c r="AN222" s="462" t="str">
        <f t="shared" si="90"/>
        <v/>
      </c>
      <c r="AO222" s="416" t="str">
        <f t="shared" si="91"/>
        <v/>
      </c>
      <c r="AP222" s="416" t="str">
        <f t="shared" si="92"/>
        <v/>
      </c>
      <c r="AQ222" s="416" t="str">
        <f t="shared" si="93"/>
        <v/>
      </c>
      <c r="AR222" s="416" t="str">
        <f t="shared" si="99"/>
        <v/>
      </c>
    </row>
    <row r="223" spans="1:44" ht="14.25">
      <c r="A223" s="830"/>
      <c r="B223" s="99" t="s">
        <v>255</v>
      </c>
      <c r="C223" s="466" t="s">
        <v>262</v>
      </c>
      <c r="D223" s="125" t="s">
        <v>251</v>
      </c>
      <c r="E223" s="126"/>
      <c r="F223" s="126"/>
      <c r="G223" s="217">
        <f t="shared" si="83"/>
        <v>0</v>
      </c>
      <c r="H223" s="218">
        <f t="shared" si="84"/>
        <v>0</v>
      </c>
      <c r="I223" s="96">
        <f t="shared" si="85"/>
        <v>0</v>
      </c>
      <c r="J223" s="219">
        <f t="shared" si="86"/>
        <v>0</v>
      </c>
      <c r="K223" s="220">
        <f t="shared" si="87"/>
        <v>0</v>
      </c>
      <c r="L223" s="100">
        <f t="shared" si="88"/>
        <v>0</v>
      </c>
      <c r="M223" s="221" t="str">
        <f t="shared" si="94"/>
        <v/>
      </c>
      <c r="N223" s="222">
        <f t="shared" si="89"/>
        <v>0</v>
      </c>
      <c r="O223" s="223">
        <f>IF(N223=0,0,IF(SUM($N$5:N223)&gt;251,1,0))</f>
        <v>0</v>
      </c>
      <c r="P223" s="408"/>
      <c r="Q223" s="409"/>
      <c r="R223" s="224"/>
      <c r="S223" s="411"/>
      <c r="T223" s="225">
        <f t="shared" si="104"/>
        <v>0</v>
      </c>
      <c r="U223" s="226">
        <f t="shared" si="105"/>
        <v>0</v>
      </c>
      <c r="V223" s="413"/>
      <c r="W223" s="225">
        <f t="shared" si="106"/>
        <v>0</v>
      </c>
      <c r="X223" s="226">
        <f t="shared" si="107"/>
        <v>0</v>
      </c>
      <c r="Y223" s="413"/>
      <c r="Z223" s="225">
        <f t="shared" si="108"/>
        <v>0</v>
      </c>
      <c r="AA223" s="226">
        <f t="shared" si="109"/>
        <v>0</v>
      </c>
      <c r="AB223" s="413"/>
      <c r="AC223" s="225">
        <f t="shared" si="100"/>
        <v>0</v>
      </c>
      <c r="AD223" s="226">
        <f t="shared" si="95"/>
        <v>0</v>
      </c>
      <c r="AE223" s="413"/>
      <c r="AF223" s="225">
        <f t="shared" si="101"/>
        <v>0</v>
      </c>
      <c r="AG223" s="226">
        <f t="shared" si="96"/>
        <v>0</v>
      </c>
      <c r="AH223" s="413"/>
      <c r="AI223" s="225">
        <f t="shared" si="102"/>
        <v>0</v>
      </c>
      <c r="AJ223" s="226">
        <f t="shared" si="97"/>
        <v>0</v>
      </c>
      <c r="AK223" s="413"/>
      <c r="AL223" s="225">
        <f t="shared" si="103"/>
        <v>0</v>
      </c>
      <c r="AM223" s="226">
        <f t="shared" si="98"/>
        <v>0</v>
      </c>
      <c r="AN223" s="462" t="str">
        <f t="shared" si="90"/>
        <v/>
      </c>
      <c r="AO223" s="416" t="str">
        <f t="shared" si="91"/>
        <v/>
      </c>
      <c r="AP223" s="416" t="str">
        <f t="shared" si="92"/>
        <v/>
      </c>
      <c r="AQ223" s="416" t="str">
        <f t="shared" si="93"/>
        <v/>
      </c>
      <c r="AR223" s="416" t="str">
        <f t="shared" si="99"/>
        <v/>
      </c>
    </row>
    <row r="224" spans="1:44" ht="14.25">
      <c r="A224" s="830"/>
      <c r="B224" s="99" t="s">
        <v>256</v>
      </c>
      <c r="C224" s="466" t="s">
        <v>182</v>
      </c>
      <c r="D224" s="125" t="s">
        <v>24</v>
      </c>
      <c r="E224" s="126">
        <v>0.58333333333333337</v>
      </c>
      <c r="F224" s="126">
        <v>0.79166666666666663</v>
      </c>
      <c r="G224" s="217">
        <f t="shared" si="83"/>
        <v>0.20833333333333326</v>
      </c>
      <c r="H224" s="218">
        <f t="shared" si="84"/>
        <v>0</v>
      </c>
      <c r="I224" s="96">
        <f t="shared" si="85"/>
        <v>0</v>
      </c>
      <c r="J224" s="219">
        <f t="shared" si="86"/>
        <v>0</v>
      </c>
      <c r="K224" s="220">
        <f t="shared" si="87"/>
        <v>0</v>
      </c>
      <c r="L224" s="100">
        <f t="shared" si="88"/>
        <v>0</v>
      </c>
      <c r="M224" s="221" t="str">
        <f t="shared" si="94"/>
        <v/>
      </c>
      <c r="N224" s="222">
        <f t="shared" si="89"/>
        <v>0</v>
      </c>
      <c r="O224" s="223">
        <f>IF(N224=0,0,IF(SUM($N$5:N224)&gt;251,1,0))</f>
        <v>0</v>
      </c>
      <c r="P224" s="408">
        <v>25</v>
      </c>
      <c r="Q224" s="409">
        <v>0</v>
      </c>
      <c r="R224" s="224"/>
      <c r="S224" s="411" t="s">
        <v>672</v>
      </c>
      <c r="T224" s="225" t="s">
        <v>697</v>
      </c>
      <c r="U224" s="226" t="s">
        <v>698</v>
      </c>
      <c r="V224" s="413" t="s">
        <v>695</v>
      </c>
      <c r="W224" s="225" t="s">
        <v>697</v>
      </c>
      <c r="X224" s="226" t="s">
        <v>698</v>
      </c>
      <c r="Y224" s="413" t="s">
        <v>696</v>
      </c>
      <c r="Z224" s="225" t="s">
        <v>699</v>
      </c>
      <c r="AA224" s="226" t="s">
        <v>698</v>
      </c>
      <c r="AB224" s="413"/>
      <c r="AC224" s="225">
        <f t="shared" si="100"/>
        <v>0</v>
      </c>
      <c r="AD224" s="226">
        <f t="shared" si="95"/>
        <v>0</v>
      </c>
      <c r="AE224" s="413"/>
      <c r="AF224" s="225">
        <f t="shared" si="101"/>
        <v>0</v>
      </c>
      <c r="AG224" s="226">
        <f t="shared" si="96"/>
        <v>0</v>
      </c>
      <c r="AH224" s="413"/>
      <c r="AI224" s="225">
        <f t="shared" si="102"/>
        <v>0</v>
      </c>
      <c r="AJ224" s="226">
        <f t="shared" si="97"/>
        <v>0</v>
      </c>
      <c r="AK224" s="413"/>
      <c r="AL224" s="225">
        <f t="shared" si="103"/>
        <v>0</v>
      </c>
      <c r="AM224" s="226">
        <f t="shared" si="98"/>
        <v>0</v>
      </c>
      <c r="AN224" s="462" t="str">
        <f t="shared" si="90"/>
        <v/>
      </c>
      <c r="AO224" s="416" t="str">
        <f t="shared" si="91"/>
        <v/>
      </c>
      <c r="AP224" s="416" t="str">
        <f t="shared" si="92"/>
        <v/>
      </c>
      <c r="AQ224" s="416" t="str">
        <f t="shared" si="93"/>
        <v/>
      </c>
      <c r="AR224" s="416" t="str">
        <f t="shared" si="99"/>
        <v/>
      </c>
    </row>
    <row r="225" spans="1:44" ht="14.25">
      <c r="A225" s="830"/>
      <c r="B225" s="99" t="s">
        <v>257</v>
      </c>
      <c r="C225" s="466" t="s">
        <v>187</v>
      </c>
      <c r="D225" s="125" t="s">
        <v>24</v>
      </c>
      <c r="E225" s="126">
        <v>0.58333333333333337</v>
      </c>
      <c r="F225" s="126">
        <v>0.79166666666666663</v>
      </c>
      <c r="G225" s="217">
        <f t="shared" si="83"/>
        <v>0.20833333333333326</v>
      </c>
      <c r="H225" s="218">
        <f t="shared" si="84"/>
        <v>0</v>
      </c>
      <c r="I225" s="96">
        <f t="shared" si="85"/>
        <v>0</v>
      </c>
      <c r="J225" s="219">
        <f t="shared" si="86"/>
        <v>0</v>
      </c>
      <c r="K225" s="220">
        <f t="shared" si="87"/>
        <v>0</v>
      </c>
      <c r="L225" s="100">
        <f t="shared" si="88"/>
        <v>0</v>
      </c>
      <c r="M225" s="221" t="str">
        <f t="shared" si="94"/>
        <v/>
      </c>
      <c r="N225" s="222">
        <f t="shared" si="89"/>
        <v>0</v>
      </c>
      <c r="O225" s="223">
        <f>IF(N225=0,0,IF(SUM($N$5:N225)&gt;251,1,0))</f>
        <v>0</v>
      </c>
      <c r="P225" s="408">
        <v>25</v>
      </c>
      <c r="Q225" s="409">
        <v>1</v>
      </c>
      <c r="R225" s="224"/>
      <c r="S225" s="411" t="s">
        <v>672</v>
      </c>
      <c r="T225" s="225" t="s">
        <v>697</v>
      </c>
      <c r="U225" s="226" t="s">
        <v>698</v>
      </c>
      <c r="V225" s="413" t="s">
        <v>695</v>
      </c>
      <c r="W225" s="225" t="s">
        <v>697</v>
      </c>
      <c r="X225" s="226" t="s">
        <v>698</v>
      </c>
      <c r="Y225" s="413" t="s">
        <v>696</v>
      </c>
      <c r="Z225" s="225" t="s">
        <v>699</v>
      </c>
      <c r="AA225" s="226" t="s">
        <v>698</v>
      </c>
      <c r="AB225" s="413"/>
      <c r="AC225" s="225">
        <f t="shared" si="100"/>
        <v>0</v>
      </c>
      <c r="AD225" s="226">
        <f t="shared" si="95"/>
        <v>0</v>
      </c>
      <c r="AE225" s="413"/>
      <c r="AF225" s="225">
        <f t="shared" si="101"/>
        <v>0</v>
      </c>
      <c r="AG225" s="226">
        <f t="shared" si="96"/>
        <v>0</v>
      </c>
      <c r="AH225" s="413"/>
      <c r="AI225" s="225">
        <f t="shared" si="102"/>
        <v>0</v>
      </c>
      <c r="AJ225" s="226">
        <f t="shared" si="97"/>
        <v>0</v>
      </c>
      <c r="AK225" s="413"/>
      <c r="AL225" s="225">
        <f t="shared" si="103"/>
        <v>0</v>
      </c>
      <c r="AM225" s="226">
        <f t="shared" si="98"/>
        <v>0</v>
      </c>
      <c r="AN225" s="462" t="str">
        <f t="shared" si="90"/>
        <v/>
      </c>
      <c r="AO225" s="416" t="str">
        <f t="shared" si="91"/>
        <v/>
      </c>
      <c r="AP225" s="416" t="str">
        <f t="shared" si="92"/>
        <v/>
      </c>
      <c r="AQ225" s="416" t="str">
        <f t="shared" si="93"/>
        <v/>
      </c>
      <c r="AR225" s="416" t="str">
        <f t="shared" si="99"/>
        <v/>
      </c>
    </row>
    <row r="226" spans="1:44" ht="14.25">
      <c r="A226" s="830"/>
      <c r="B226" s="99" t="s">
        <v>258</v>
      </c>
      <c r="C226" s="466" t="s">
        <v>183</v>
      </c>
      <c r="D226" s="125" t="s">
        <v>24</v>
      </c>
      <c r="E226" s="126">
        <v>0.58333333333333337</v>
      </c>
      <c r="F226" s="126">
        <v>0.79166666666666663</v>
      </c>
      <c r="G226" s="217">
        <f t="shared" si="83"/>
        <v>0.20833333333333326</v>
      </c>
      <c r="H226" s="218">
        <f t="shared" si="84"/>
        <v>0</v>
      </c>
      <c r="I226" s="96">
        <f t="shared" si="85"/>
        <v>0</v>
      </c>
      <c r="J226" s="219">
        <f t="shared" si="86"/>
        <v>0</v>
      </c>
      <c r="K226" s="220">
        <f t="shared" si="87"/>
        <v>0</v>
      </c>
      <c r="L226" s="100">
        <f t="shared" si="88"/>
        <v>0</v>
      </c>
      <c r="M226" s="221" t="str">
        <f t="shared" si="94"/>
        <v/>
      </c>
      <c r="N226" s="222">
        <f t="shared" si="89"/>
        <v>0</v>
      </c>
      <c r="O226" s="223">
        <f>IF(N226=0,0,IF(SUM($N$5:N226)&gt;251,1,0))</f>
        <v>0</v>
      </c>
      <c r="P226" s="408">
        <v>25</v>
      </c>
      <c r="Q226" s="409">
        <v>0</v>
      </c>
      <c r="R226" s="224"/>
      <c r="S226" s="411" t="s">
        <v>672</v>
      </c>
      <c r="T226" s="225" t="s">
        <v>697</v>
      </c>
      <c r="U226" s="226" t="s">
        <v>698</v>
      </c>
      <c r="V226" s="413" t="s">
        <v>695</v>
      </c>
      <c r="W226" s="225" t="s">
        <v>697</v>
      </c>
      <c r="X226" s="226" t="s">
        <v>698</v>
      </c>
      <c r="Y226" s="413" t="s">
        <v>696</v>
      </c>
      <c r="Z226" s="225" t="s">
        <v>699</v>
      </c>
      <c r="AA226" s="226" t="s">
        <v>698</v>
      </c>
      <c r="AB226" s="413"/>
      <c r="AC226" s="225">
        <f t="shared" si="100"/>
        <v>0</v>
      </c>
      <c r="AD226" s="226">
        <f t="shared" si="95"/>
        <v>0</v>
      </c>
      <c r="AE226" s="413"/>
      <c r="AF226" s="225">
        <f t="shared" si="101"/>
        <v>0</v>
      </c>
      <c r="AG226" s="226">
        <f t="shared" si="96"/>
        <v>0</v>
      </c>
      <c r="AH226" s="413"/>
      <c r="AI226" s="225">
        <f t="shared" si="102"/>
        <v>0</v>
      </c>
      <c r="AJ226" s="226">
        <f t="shared" si="97"/>
        <v>0</v>
      </c>
      <c r="AK226" s="413"/>
      <c r="AL226" s="225">
        <f t="shared" si="103"/>
        <v>0</v>
      </c>
      <c r="AM226" s="226">
        <f t="shared" si="98"/>
        <v>0</v>
      </c>
      <c r="AN226" s="462" t="str">
        <f t="shared" si="90"/>
        <v/>
      </c>
      <c r="AO226" s="416" t="str">
        <f t="shared" si="91"/>
        <v/>
      </c>
      <c r="AP226" s="416" t="str">
        <f t="shared" si="92"/>
        <v/>
      </c>
      <c r="AQ226" s="416" t="str">
        <f t="shared" si="93"/>
        <v/>
      </c>
      <c r="AR226" s="416" t="str">
        <f t="shared" si="99"/>
        <v/>
      </c>
    </row>
    <row r="227" spans="1:44" ht="14.25">
      <c r="A227" s="830"/>
      <c r="B227" s="99" t="s">
        <v>259</v>
      </c>
      <c r="C227" s="466" t="s">
        <v>184</v>
      </c>
      <c r="D227" s="125" t="s">
        <v>24</v>
      </c>
      <c r="E227" s="126">
        <v>0.58333333333333337</v>
      </c>
      <c r="F227" s="126">
        <v>0.79166666666666663</v>
      </c>
      <c r="G227" s="217">
        <f t="shared" si="83"/>
        <v>0.20833333333333326</v>
      </c>
      <c r="H227" s="218">
        <f t="shared" si="84"/>
        <v>0</v>
      </c>
      <c r="I227" s="96">
        <f t="shared" si="85"/>
        <v>0</v>
      </c>
      <c r="J227" s="219">
        <f t="shared" si="86"/>
        <v>0</v>
      </c>
      <c r="K227" s="220">
        <f t="shared" si="87"/>
        <v>0</v>
      </c>
      <c r="L227" s="100">
        <f t="shared" si="88"/>
        <v>0</v>
      </c>
      <c r="M227" s="221" t="str">
        <f t="shared" si="94"/>
        <v/>
      </c>
      <c r="N227" s="222">
        <f t="shared" si="89"/>
        <v>0</v>
      </c>
      <c r="O227" s="223">
        <f>IF(N227=0,0,IF(SUM($N$5:N227)&gt;251,1,0))</f>
        <v>0</v>
      </c>
      <c r="P227" s="408">
        <v>24</v>
      </c>
      <c r="Q227" s="409">
        <v>1</v>
      </c>
      <c r="R227" s="224"/>
      <c r="S227" s="411" t="s">
        <v>672</v>
      </c>
      <c r="T227" s="225" t="s">
        <v>697</v>
      </c>
      <c r="U227" s="226" t="s">
        <v>698</v>
      </c>
      <c r="V227" s="413" t="s">
        <v>695</v>
      </c>
      <c r="W227" s="225" t="s">
        <v>697</v>
      </c>
      <c r="X227" s="226" t="s">
        <v>698</v>
      </c>
      <c r="Y227" s="413" t="s">
        <v>696</v>
      </c>
      <c r="Z227" s="225" t="s">
        <v>699</v>
      </c>
      <c r="AA227" s="226" t="s">
        <v>698</v>
      </c>
      <c r="AB227" s="413"/>
      <c r="AC227" s="225">
        <f t="shared" si="100"/>
        <v>0</v>
      </c>
      <c r="AD227" s="226">
        <f t="shared" si="95"/>
        <v>0</v>
      </c>
      <c r="AE227" s="413"/>
      <c r="AF227" s="225">
        <f t="shared" si="101"/>
        <v>0</v>
      </c>
      <c r="AG227" s="226">
        <f t="shared" si="96"/>
        <v>0</v>
      </c>
      <c r="AH227" s="413"/>
      <c r="AI227" s="225">
        <f t="shared" si="102"/>
        <v>0</v>
      </c>
      <c r="AJ227" s="226">
        <f t="shared" si="97"/>
        <v>0</v>
      </c>
      <c r="AK227" s="413"/>
      <c r="AL227" s="225">
        <f t="shared" si="103"/>
        <v>0</v>
      </c>
      <c r="AM227" s="226">
        <f t="shared" si="98"/>
        <v>0</v>
      </c>
      <c r="AN227" s="462" t="str">
        <f t="shared" si="90"/>
        <v/>
      </c>
      <c r="AO227" s="416" t="str">
        <f t="shared" si="91"/>
        <v/>
      </c>
      <c r="AP227" s="416" t="str">
        <f t="shared" si="92"/>
        <v/>
      </c>
      <c r="AQ227" s="416" t="str">
        <f t="shared" si="93"/>
        <v/>
      </c>
      <c r="AR227" s="416" t="str">
        <f t="shared" si="99"/>
        <v/>
      </c>
    </row>
    <row r="228" spans="1:44" ht="14.25">
      <c r="A228" s="830"/>
      <c r="B228" s="99" t="s">
        <v>260</v>
      </c>
      <c r="C228" s="466" t="s">
        <v>185</v>
      </c>
      <c r="D228" s="125" t="s">
        <v>24</v>
      </c>
      <c r="E228" s="126">
        <v>0.58333333333333337</v>
      </c>
      <c r="F228" s="126">
        <v>0.79166666666666663</v>
      </c>
      <c r="G228" s="217">
        <f t="shared" si="83"/>
        <v>0.20833333333333326</v>
      </c>
      <c r="H228" s="218">
        <f t="shared" si="84"/>
        <v>0</v>
      </c>
      <c r="I228" s="96">
        <f t="shared" si="85"/>
        <v>0</v>
      </c>
      <c r="J228" s="219">
        <f t="shared" si="86"/>
        <v>0</v>
      </c>
      <c r="K228" s="220">
        <f t="shared" si="87"/>
        <v>0</v>
      </c>
      <c r="L228" s="100">
        <f t="shared" si="88"/>
        <v>0</v>
      </c>
      <c r="M228" s="221" t="str">
        <f t="shared" si="94"/>
        <v/>
      </c>
      <c r="N228" s="222">
        <f t="shared" si="89"/>
        <v>0</v>
      </c>
      <c r="O228" s="223">
        <f>IF(N228=0,0,IF(SUM($N$5:N228)&gt;251,1,0))</f>
        <v>0</v>
      </c>
      <c r="P228" s="408">
        <v>19</v>
      </c>
      <c r="Q228" s="409">
        <v>1</v>
      </c>
      <c r="R228" s="224"/>
      <c r="S228" s="411" t="s">
        <v>672</v>
      </c>
      <c r="T228" s="225" t="s">
        <v>697</v>
      </c>
      <c r="U228" s="226" t="s">
        <v>698</v>
      </c>
      <c r="V228" s="413" t="s">
        <v>695</v>
      </c>
      <c r="W228" s="225" t="s">
        <v>697</v>
      </c>
      <c r="X228" s="226" t="s">
        <v>698</v>
      </c>
      <c r="Y228" s="413" t="s">
        <v>696</v>
      </c>
      <c r="Z228" s="225" t="s">
        <v>699</v>
      </c>
      <c r="AA228" s="226" t="s">
        <v>698</v>
      </c>
      <c r="AB228" s="413"/>
      <c r="AC228" s="225">
        <f t="shared" si="100"/>
        <v>0</v>
      </c>
      <c r="AD228" s="226">
        <f t="shared" si="95"/>
        <v>0</v>
      </c>
      <c r="AE228" s="413"/>
      <c r="AF228" s="225">
        <f t="shared" si="101"/>
        <v>0</v>
      </c>
      <c r="AG228" s="226">
        <f t="shared" si="96"/>
        <v>0</v>
      </c>
      <c r="AH228" s="413"/>
      <c r="AI228" s="225">
        <f t="shared" si="102"/>
        <v>0</v>
      </c>
      <c r="AJ228" s="226">
        <f t="shared" si="97"/>
        <v>0</v>
      </c>
      <c r="AK228" s="413"/>
      <c r="AL228" s="225">
        <f t="shared" si="103"/>
        <v>0</v>
      </c>
      <c r="AM228" s="226">
        <f t="shared" si="98"/>
        <v>0</v>
      </c>
      <c r="AN228" s="462" t="str">
        <f t="shared" si="90"/>
        <v/>
      </c>
      <c r="AO228" s="416" t="str">
        <f t="shared" si="91"/>
        <v/>
      </c>
      <c r="AP228" s="416" t="str">
        <f t="shared" si="92"/>
        <v/>
      </c>
      <c r="AQ228" s="416" t="str">
        <f t="shared" si="93"/>
        <v/>
      </c>
      <c r="AR228" s="416" t="str">
        <f t="shared" si="99"/>
        <v/>
      </c>
    </row>
    <row r="229" spans="1:44" ht="14.25">
      <c r="A229" s="830"/>
      <c r="B229" s="99" t="s">
        <v>261</v>
      </c>
      <c r="C229" s="466" t="s">
        <v>186</v>
      </c>
      <c r="D229" s="125" t="s">
        <v>249</v>
      </c>
      <c r="E229" s="126">
        <v>0.375</v>
      </c>
      <c r="F229" s="126">
        <v>0.75</v>
      </c>
      <c r="G229" s="217">
        <f t="shared" si="83"/>
        <v>0.375</v>
      </c>
      <c r="H229" s="218">
        <f t="shared" si="84"/>
        <v>0</v>
      </c>
      <c r="I229" s="96">
        <f t="shared" si="85"/>
        <v>0</v>
      </c>
      <c r="J229" s="219">
        <f t="shared" si="86"/>
        <v>0</v>
      </c>
      <c r="K229" s="220">
        <f t="shared" si="87"/>
        <v>4.1666666666666685E-2</v>
      </c>
      <c r="L229" s="100">
        <f t="shared" si="88"/>
        <v>1</v>
      </c>
      <c r="M229" s="221" t="str">
        <f t="shared" si="94"/>
        <v/>
      </c>
      <c r="N229" s="222">
        <f t="shared" si="89"/>
        <v>1</v>
      </c>
      <c r="O229" s="223">
        <f>IF(N229=0,0,IF(SUM($N$5:N229)&gt;251,1,0))</f>
        <v>0</v>
      </c>
      <c r="P229" s="408">
        <v>1</v>
      </c>
      <c r="Q229" s="409">
        <v>0</v>
      </c>
      <c r="R229" s="224"/>
      <c r="S229" s="411" t="s">
        <v>672</v>
      </c>
      <c r="T229" s="225" t="s">
        <v>697</v>
      </c>
      <c r="U229" s="226" t="s">
        <v>698</v>
      </c>
      <c r="V229" s="413" t="s">
        <v>695</v>
      </c>
      <c r="W229" s="225" t="s">
        <v>697</v>
      </c>
      <c r="X229" s="226" t="s">
        <v>698</v>
      </c>
      <c r="Y229" s="413" t="s">
        <v>696</v>
      </c>
      <c r="Z229" s="225" t="s">
        <v>699</v>
      </c>
      <c r="AA229" s="226" t="s">
        <v>698</v>
      </c>
      <c r="AB229" s="413"/>
      <c r="AC229" s="225">
        <f t="shared" si="100"/>
        <v>0</v>
      </c>
      <c r="AD229" s="226">
        <f t="shared" si="95"/>
        <v>0</v>
      </c>
      <c r="AE229" s="413"/>
      <c r="AF229" s="225">
        <f t="shared" si="101"/>
        <v>0</v>
      </c>
      <c r="AG229" s="226">
        <f t="shared" si="96"/>
        <v>0</v>
      </c>
      <c r="AH229" s="413"/>
      <c r="AI229" s="225">
        <f t="shared" si="102"/>
        <v>0</v>
      </c>
      <c r="AJ229" s="226">
        <f t="shared" si="97"/>
        <v>0</v>
      </c>
      <c r="AK229" s="413"/>
      <c r="AL229" s="225">
        <f t="shared" si="103"/>
        <v>0</v>
      </c>
      <c r="AM229" s="226">
        <f t="shared" si="98"/>
        <v>0</v>
      </c>
      <c r="AN229" s="462" t="str">
        <f t="shared" si="90"/>
        <v/>
      </c>
      <c r="AO229" s="416" t="str">
        <f t="shared" si="91"/>
        <v/>
      </c>
      <c r="AP229" s="416" t="str">
        <f t="shared" si="92"/>
        <v/>
      </c>
      <c r="AQ229" s="416" t="str">
        <f t="shared" si="93"/>
        <v/>
      </c>
      <c r="AR229" s="416" t="str">
        <f t="shared" si="99"/>
        <v/>
      </c>
    </row>
    <row r="230" spans="1:44" ht="14.25">
      <c r="A230" s="830"/>
      <c r="B230" s="99" t="s">
        <v>263</v>
      </c>
      <c r="C230" s="466" t="s">
        <v>262</v>
      </c>
      <c r="D230" s="125" t="s">
        <v>251</v>
      </c>
      <c r="E230" s="126"/>
      <c r="F230" s="126"/>
      <c r="G230" s="217">
        <f t="shared" si="83"/>
        <v>0</v>
      </c>
      <c r="H230" s="218">
        <f t="shared" si="84"/>
        <v>0</v>
      </c>
      <c r="I230" s="96">
        <f t="shared" si="85"/>
        <v>0</v>
      </c>
      <c r="J230" s="219">
        <f t="shared" si="86"/>
        <v>0</v>
      </c>
      <c r="K230" s="220">
        <f t="shared" si="87"/>
        <v>0</v>
      </c>
      <c r="L230" s="100">
        <f t="shared" si="88"/>
        <v>0</v>
      </c>
      <c r="M230" s="221" t="str">
        <f t="shared" si="94"/>
        <v/>
      </c>
      <c r="N230" s="222">
        <f t="shared" si="89"/>
        <v>0</v>
      </c>
      <c r="O230" s="223">
        <f>IF(N230=0,0,IF(SUM($N$5:N230)&gt;251,1,0))</f>
        <v>0</v>
      </c>
      <c r="P230" s="408"/>
      <c r="Q230" s="409"/>
      <c r="R230" s="224"/>
      <c r="S230" s="411"/>
      <c r="T230" s="225">
        <f t="shared" si="104"/>
        <v>0</v>
      </c>
      <c r="U230" s="226">
        <f t="shared" si="105"/>
        <v>0</v>
      </c>
      <c r="V230" s="413"/>
      <c r="W230" s="225">
        <f t="shared" si="106"/>
        <v>0</v>
      </c>
      <c r="X230" s="226">
        <f t="shared" si="107"/>
        <v>0</v>
      </c>
      <c r="Y230" s="413"/>
      <c r="Z230" s="225">
        <f t="shared" si="108"/>
        <v>0</v>
      </c>
      <c r="AA230" s="226">
        <f t="shared" si="109"/>
        <v>0</v>
      </c>
      <c r="AB230" s="413"/>
      <c r="AC230" s="225">
        <f t="shared" si="100"/>
        <v>0</v>
      </c>
      <c r="AD230" s="226">
        <f t="shared" si="95"/>
        <v>0</v>
      </c>
      <c r="AE230" s="413"/>
      <c r="AF230" s="225">
        <f t="shared" si="101"/>
        <v>0</v>
      </c>
      <c r="AG230" s="226">
        <f t="shared" si="96"/>
        <v>0</v>
      </c>
      <c r="AH230" s="413"/>
      <c r="AI230" s="225">
        <f t="shared" si="102"/>
        <v>0</v>
      </c>
      <c r="AJ230" s="226">
        <f t="shared" si="97"/>
        <v>0</v>
      </c>
      <c r="AK230" s="413"/>
      <c r="AL230" s="225">
        <f t="shared" si="103"/>
        <v>0</v>
      </c>
      <c r="AM230" s="226">
        <f t="shared" si="98"/>
        <v>0</v>
      </c>
      <c r="AN230" s="462" t="str">
        <f t="shared" si="90"/>
        <v/>
      </c>
      <c r="AO230" s="416" t="str">
        <f t="shared" si="91"/>
        <v/>
      </c>
      <c r="AP230" s="416" t="str">
        <f t="shared" si="92"/>
        <v/>
      </c>
      <c r="AQ230" s="416" t="str">
        <f t="shared" si="93"/>
        <v/>
      </c>
      <c r="AR230" s="416" t="str">
        <f t="shared" si="99"/>
        <v/>
      </c>
    </row>
    <row r="231" spans="1:44" ht="14.25">
      <c r="A231" s="830"/>
      <c r="B231" s="99" t="s">
        <v>264</v>
      </c>
      <c r="C231" s="466" t="s">
        <v>182</v>
      </c>
      <c r="D231" s="125" t="s">
        <v>24</v>
      </c>
      <c r="E231" s="126">
        <v>0.58333333333333337</v>
      </c>
      <c r="F231" s="126">
        <v>0.79166666666666663</v>
      </c>
      <c r="G231" s="217">
        <f t="shared" si="83"/>
        <v>0.20833333333333326</v>
      </c>
      <c r="H231" s="218">
        <f t="shared" si="84"/>
        <v>0</v>
      </c>
      <c r="I231" s="96">
        <f t="shared" si="85"/>
        <v>0</v>
      </c>
      <c r="J231" s="219">
        <f t="shared" si="86"/>
        <v>0</v>
      </c>
      <c r="K231" s="220">
        <f t="shared" si="87"/>
        <v>0</v>
      </c>
      <c r="L231" s="100">
        <f t="shared" si="88"/>
        <v>0</v>
      </c>
      <c r="M231" s="221" t="str">
        <f t="shared" si="94"/>
        <v/>
      </c>
      <c r="N231" s="222">
        <f t="shared" si="89"/>
        <v>0</v>
      </c>
      <c r="O231" s="223">
        <f>IF(N231=0,0,IF(SUM($N$5:N231)&gt;251,1,0))</f>
        <v>0</v>
      </c>
      <c r="P231" s="408">
        <v>5</v>
      </c>
      <c r="Q231" s="409">
        <v>0</v>
      </c>
      <c r="R231" s="224"/>
      <c r="S231" s="411" t="s">
        <v>672</v>
      </c>
      <c r="T231" s="225" t="s">
        <v>697</v>
      </c>
      <c r="U231" s="226" t="s">
        <v>698</v>
      </c>
      <c r="V231" s="413" t="s">
        <v>695</v>
      </c>
      <c r="W231" s="225" t="s">
        <v>697</v>
      </c>
      <c r="X231" s="226" t="s">
        <v>698</v>
      </c>
      <c r="Y231" s="413" t="s">
        <v>696</v>
      </c>
      <c r="Z231" s="225" t="s">
        <v>699</v>
      </c>
      <c r="AA231" s="226" t="s">
        <v>698</v>
      </c>
      <c r="AB231" s="413"/>
      <c r="AC231" s="225">
        <f t="shared" si="100"/>
        <v>0</v>
      </c>
      <c r="AD231" s="226">
        <f t="shared" si="95"/>
        <v>0</v>
      </c>
      <c r="AE231" s="413"/>
      <c r="AF231" s="225">
        <f t="shared" si="101"/>
        <v>0</v>
      </c>
      <c r="AG231" s="226">
        <f t="shared" si="96"/>
        <v>0</v>
      </c>
      <c r="AH231" s="413"/>
      <c r="AI231" s="225">
        <f t="shared" si="102"/>
        <v>0</v>
      </c>
      <c r="AJ231" s="226">
        <f t="shared" si="97"/>
        <v>0</v>
      </c>
      <c r="AK231" s="413"/>
      <c r="AL231" s="225">
        <f t="shared" si="103"/>
        <v>0</v>
      </c>
      <c r="AM231" s="226">
        <f t="shared" si="98"/>
        <v>0</v>
      </c>
      <c r="AN231" s="462" t="str">
        <f t="shared" si="90"/>
        <v/>
      </c>
      <c r="AO231" s="416" t="str">
        <f t="shared" si="91"/>
        <v/>
      </c>
      <c r="AP231" s="416" t="str">
        <f t="shared" si="92"/>
        <v/>
      </c>
      <c r="AQ231" s="416" t="str">
        <f t="shared" si="93"/>
        <v/>
      </c>
      <c r="AR231" s="416" t="str">
        <f t="shared" si="99"/>
        <v/>
      </c>
    </row>
    <row r="232" spans="1:44" ht="14.25">
      <c r="A232" s="830"/>
      <c r="B232" s="99" t="s">
        <v>265</v>
      </c>
      <c r="C232" s="466" t="s">
        <v>187</v>
      </c>
      <c r="D232" s="125" t="s">
        <v>24</v>
      </c>
      <c r="E232" s="126">
        <v>0.58333333333333337</v>
      </c>
      <c r="F232" s="126">
        <v>0.79166666666666663</v>
      </c>
      <c r="G232" s="217">
        <f t="shared" si="83"/>
        <v>0.20833333333333326</v>
      </c>
      <c r="H232" s="218">
        <f t="shared" si="84"/>
        <v>0</v>
      </c>
      <c r="I232" s="96">
        <f t="shared" si="85"/>
        <v>0</v>
      </c>
      <c r="J232" s="219">
        <f t="shared" si="86"/>
        <v>0</v>
      </c>
      <c r="K232" s="220">
        <f t="shared" si="87"/>
        <v>0</v>
      </c>
      <c r="L232" s="100">
        <f t="shared" si="88"/>
        <v>0</v>
      </c>
      <c r="M232" s="221" t="str">
        <f t="shared" si="94"/>
        <v/>
      </c>
      <c r="N232" s="222">
        <f t="shared" si="89"/>
        <v>0</v>
      </c>
      <c r="O232" s="223">
        <f>IF(N232=0,0,IF(SUM($N$5:N232)&gt;251,1,0))</f>
        <v>0</v>
      </c>
      <c r="P232" s="408">
        <v>23</v>
      </c>
      <c r="Q232" s="409">
        <v>0</v>
      </c>
      <c r="R232" s="224"/>
      <c r="S232" s="411" t="s">
        <v>672</v>
      </c>
      <c r="T232" s="225" t="s">
        <v>697</v>
      </c>
      <c r="U232" s="226" t="s">
        <v>698</v>
      </c>
      <c r="V232" s="413" t="s">
        <v>695</v>
      </c>
      <c r="W232" s="225" t="s">
        <v>697</v>
      </c>
      <c r="X232" s="226" t="s">
        <v>698</v>
      </c>
      <c r="Y232" s="413" t="s">
        <v>696</v>
      </c>
      <c r="Z232" s="225" t="s">
        <v>699</v>
      </c>
      <c r="AA232" s="226" t="s">
        <v>698</v>
      </c>
      <c r="AB232" s="413"/>
      <c r="AC232" s="225">
        <f t="shared" si="100"/>
        <v>0</v>
      </c>
      <c r="AD232" s="226">
        <f t="shared" si="95"/>
        <v>0</v>
      </c>
      <c r="AE232" s="413"/>
      <c r="AF232" s="225">
        <f t="shared" si="101"/>
        <v>0</v>
      </c>
      <c r="AG232" s="226">
        <f t="shared" si="96"/>
        <v>0</v>
      </c>
      <c r="AH232" s="413"/>
      <c r="AI232" s="225">
        <f t="shared" si="102"/>
        <v>0</v>
      </c>
      <c r="AJ232" s="226">
        <f t="shared" si="97"/>
        <v>0</v>
      </c>
      <c r="AK232" s="413"/>
      <c r="AL232" s="225">
        <f t="shared" si="103"/>
        <v>0</v>
      </c>
      <c r="AM232" s="226">
        <f t="shared" si="98"/>
        <v>0</v>
      </c>
      <c r="AN232" s="462" t="str">
        <f t="shared" si="90"/>
        <v/>
      </c>
      <c r="AO232" s="416" t="str">
        <f t="shared" si="91"/>
        <v/>
      </c>
      <c r="AP232" s="416" t="str">
        <f t="shared" si="92"/>
        <v/>
      </c>
      <c r="AQ232" s="416" t="str">
        <f t="shared" si="93"/>
        <v/>
      </c>
      <c r="AR232" s="416" t="str">
        <f t="shared" si="99"/>
        <v/>
      </c>
    </row>
    <row r="233" spans="1:44" ht="14.25">
      <c r="A233" s="830"/>
      <c r="B233" s="99" t="s">
        <v>266</v>
      </c>
      <c r="C233" s="466" t="s">
        <v>183</v>
      </c>
      <c r="D233" s="125" t="s">
        <v>24</v>
      </c>
      <c r="E233" s="126">
        <v>0.58333333333333337</v>
      </c>
      <c r="F233" s="126">
        <v>0.79166666666666663</v>
      </c>
      <c r="G233" s="217">
        <f t="shared" si="83"/>
        <v>0.20833333333333326</v>
      </c>
      <c r="H233" s="218">
        <f t="shared" si="84"/>
        <v>0</v>
      </c>
      <c r="I233" s="96">
        <f t="shared" si="85"/>
        <v>0</v>
      </c>
      <c r="J233" s="219">
        <f t="shared" si="86"/>
        <v>0</v>
      </c>
      <c r="K233" s="220">
        <f t="shared" si="87"/>
        <v>0</v>
      </c>
      <c r="L233" s="100">
        <f t="shared" si="88"/>
        <v>0</v>
      </c>
      <c r="M233" s="221" t="str">
        <f t="shared" si="94"/>
        <v/>
      </c>
      <c r="N233" s="222">
        <f t="shared" si="89"/>
        <v>0</v>
      </c>
      <c r="O233" s="223">
        <f>IF(N233=0,0,IF(SUM($N$5:N233)&gt;251,1,0))</f>
        <v>0</v>
      </c>
      <c r="P233" s="408">
        <v>29</v>
      </c>
      <c r="Q233" s="409">
        <v>1</v>
      </c>
      <c r="R233" s="224"/>
      <c r="S233" s="411" t="s">
        <v>672</v>
      </c>
      <c r="T233" s="225" t="s">
        <v>697</v>
      </c>
      <c r="U233" s="226" t="s">
        <v>698</v>
      </c>
      <c r="V233" s="413" t="s">
        <v>695</v>
      </c>
      <c r="W233" s="225" t="s">
        <v>697</v>
      </c>
      <c r="X233" s="226" t="s">
        <v>698</v>
      </c>
      <c r="Y233" s="413" t="s">
        <v>696</v>
      </c>
      <c r="Z233" s="225" t="s">
        <v>699</v>
      </c>
      <c r="AA233" s="226" t="s">
        <v>698</v>
      </c>
      <c r="AB233" s="413"/>
      <c r="AC233" s="225">
        <f t="shared" si="100"/>
        <v>0</v>
      </c>
      <c r="AD233" s="226">
        <f t="shared" si="95"/>
        <v>0</v>
      </c>
      <c r="AE233" s="413"/>
      <c r="AF233" s="225">
        <f t="shared" si="101"/>
        <v>0</v>
      </c>
      <c r="AG233" s="226">
        <f t="shared" si="96"/>
        <v>0</v>
      </c>
      <c r="AH233" s="413"/>
      <c r="AI233" s="225">
        <f t="shared" si="102"/>
        <v>0</v>
      </c>
      <c r="AJ233" s="226">
        <f t="shared" si="97"/>
        <v>0</v>
      </c>
      <c r="AK233" s="413"/>
      <c r="AL233" s="225">
        <f t="shared" si="103"/>
        <v>0</v>
      </c>
      <c r="AM233" s="226">
        <f t="shared" si="98"/>
        <v>0</v>
      </c>
      <c r="AN233" s="462" t="str">
        <f t="shared" si="90"/>
        <v/>
      </c>
      <c r="AO233" s="416" t="str">
        <f t="shared" si="91"/>
        <v/>
      </c>
      <c r="AP233" s="416" t="str">
        <f t="shared" si="92"/>
        <v/>
      </c>
      <c r="AQ233" s="416" t="str">
        <f t="shared" si="93"/>
        <v/>
      </c>
      <c r="AR233" s="416" t="str">
        <f t="shared" si="99"/>
        <v/>
      </c>
    </row>
    <row r="234" spans="1:44" ht="14.25">
      <c r="A234" s="830"/>
      <c r="B234" s="99" t="s">
        <v>267</v>
      </c>
      <c r="C234" s="466" t="s">
        <v>184</v>
      </c>
      <c r="D234" s="125" t="s">
        <v>24</v>
      </c>
      <c r="E234" s="126">
        <v>0.58333333333333337</v>
      </c>
      <c r="F234" s="126">
        <v>0.79166666666666663</v>
      </c>
      <c r="G234" s="217">
        <f t="shared" si="83"/>
        <v>0.20833333333333326</v>
      </c>
      <c r="H234" s="218">
        <f t="shared" si="84"/>
        <v>0</v>
      </c>
      <c r="I234" s="96">
        <f t="shared" si="85"/>
        <v>0</v>
      </c>
      <c r="J234" s="219">
        <f t="shared" si="86"/>
        <v>0</v>
      </c>
      <c r="K234" s="220">
        <f t="shared" si="87"/>
        <v>0</v>
      </c>
      <c r="L234" s="100">
        <f t="shared" si="88"/>
        <v>0</v>
      </c>
      <c r="M234" s="221" t="str">
        <f t="shared" si="94"/>
        <v/>
      </c>
      <c r="N234" s="222">
        <f t="shared" si="89"/>
        <v>0</v>
      </c>
      <c r="O234" s="223">
        <f>IF(N234=0,0,IF(SUM($N$5:N234)&gt;251,1,0))</f>
        <v>0</v>
      </c>
      <c r="P234" s="408">
        <v>27</v>
      </c>
      <c r="Q234" s="409">
        <v>0</v>
      </c>
      <c r="R234" s="224"/>
      <c r="S234" s="411" t="s">
        <v>672</v>
      </c>
      <c r="T234" s="225" t="s">
        <v>697</v>
      </c>
      <c r="U234" s="226" t="s">
        <v>698</v>
      </c>
      <c r="V234" s="413" t="s">
        <v>695</v>
      </c>
      <c r="W234" s="225" t="s">
        <v>697</v>
      </c>
      <c r="X234" s="226" t="s">
        <v>698</v>
      </c>
      <c r="Y234" s="413" t="s">
        <v>696</v>
      </c>
      <c r="Z234" s="225" t="s">
        <v>699</v>
      </c>
      <c r="AA234" s="226" t="s">
        <v>698</v>
      </c>
      <c r="AB234" s="413"/>
      <c r="AC234" s="225">
        <f t="shared" si="100"/>
        <v>0</v>
      </c>
      <c r="AD234" s="226">
        <f t="shared" si="95"/>
        <v>0</v>
      </c>
      <c r="AE234" s="413"/>
      <c r="AF234" s="225">
        <f t="shared" si="101"/>
        <v>0</v>
      </c>
      <c r="AG234" s="226">
        <f t="shared" si="96"/>
        <v>0</v>
      </c>
      <c r="AH234" s="413"/>
      <c r="AI234" s="225">
        <f t="shared" si="102"/>
        <v>0</v>
      </c>
      <c r="AJ234" s="226">
        <f t="shared" si="97"/>
        <v>0</v>
      </c>
      <c r="AK234" s="413"/>
      <c r="AL234" s="225">
        <f t="shared" si="103"/>
        <v>0</v>
      </c>
      <c r="AM234" s="226">
        <f t="shared" si="98"/>
        <v>0</v>
      </c>
      <c r="AN234" s="462" t="str">
        <f t="shared" si="90"/>
        <v/>
      </c>
      <c r="AO234" s="416" t="str">
        <f t="shared" si="91"/>
        <v/>
      </c>
      <c r="AP234" s="416" t="str">
        <f t="shared" si="92"/>
        <v/>
      </c>
      <c r="AQ234" s="416" t="str">
        <f t="shared" si="93"/>
        <v/>
      </c>
      <c r="AR234" s="416" t="str">
        <f t="shared" si="99"/>
        <v/>
      </c>
    </row>
    <row r="235" spans="1:44" ht="14.25">
      <c r="A235" s="830"/>
      <c r="B235" s="99" t="s">
        <v>268</v>
      </c>
      <c r="C235" s="466" t="s">
        <v>185</v>
      </c>
      <c r="D235" s="125" t="s">
        <v>24</v>
      </c>
      <c r="E235" s="126">
        <v>0.58333333333333337</v>
      </c>
      <c r="F235" s="126">
        <v>0.79166666666666663</v>
      </c>
      <c r="G235" s="217">
        <f t="shared" si="83"/>
        <v>0.20833333333333326</v>
      </c>
      <c r="H235" s="218">
        <f t="shared" si="84"/>
        <v>0</v>
      </c>
      <c r="I235" s="96">
        <f t="shared" si="85"/>
        <v>0</v>
      </c>
      <c r="J235" s="219">
        <f t="shared" si="86"/>
        <v>0</v>
      </c>
      <c r="K235" s="220">
        <f t="shared" si="87"/>
        <v>0</v>
      </c>
      <c r="L235" s="100">
        <f t="shared" si="88"/>
        <v>0</v>
      </c>
      <c r="M235" s="221" t="str">
        <f t="shared" si="94"/>
        <v/>
      </c>
      <c r="N235" s="222">
        <f t="shared" si="89"/>
        <v>0</v>
      </c>
      <c r="O235" s="223">
        <f>IF(N235=0,0,IF(SUM($N$5:N235)&gt;251,1,0))</f>
        <v>0</v>
      </c>
      <c r="P235" s="408">
        <v>21</v>
      </c>
      <c r="Q235" s="409">
        <v>1</v>
      </c>
      <c r="R235" s="224"/>
      <c r="S235" s="411" t="s">
        <v>672</v>
      </c>
      <c r="T235" s="225" t="s">
        <v>697</v>
      </c>
      <c r="U235" s="226" t="s">
        <v>698</v>
      </c>
      <c r="V235" s="413" t="s">
        <v>695</v>
      </c>
      <c r="W235" s="225" t="s">
        <v>697</v>
      </c>
      <c r="X235" s="226" t="s">
        <v>698</v>
      </c>
      <c r="Y235" s="413" t="s">
        <v>696</v>
      </c>
      <c r="Z235" s="225" t="s">
        <v>699</v>
      </c>
      <c r="AA235" s="226" t="s">
        <v>698</v>
      </c>
      <c r="AB235" s="413"/>
      <c r="AC235" s="225">
        <f t="shared" si="100"/>
        <v>0</v>
      </c>
      <c r="AD235" s="226">
        <f t="shared" si="95"/>
        <v>0</v>
      </c>
      <c r="AE235" s="413"/>
      <c r="AF235" s="225">
        <f t="shared" si="101"/>
        <v>0</v>
      </c>
      <c r="AG235" s="226">
        <f t="shared" si="96"/>
        <v>0</v>
      </c>
      <c r="AH235" s="413"/>
      <c r="AI235" s="225">
        <f t="shared" si="102"/>
        <v>0</v>
      </c>
      <c r="AJ235" s="226">
        <f t="shared" si="97"/>
        <v>0</v>
      </c>
      <c r="AK235" s="413"/>
      <c r="AL235" s="225">
        <f t="shared" si="103"/>
        <v>0</v>
      </c>
      <c r="AM235" s="226">
        <f t="shared" si="98"/>
        <v>0</v>
      </c>
      <c r="AN235" s="462" t="str">
        <f t="shared" si="90"/>
        <v/>
      </c>
      <c r="AO235" s="416" t="str">
        <f t="shared" si="91"/>
        <v/>
      </c>
      <c r="AP235" s="416" t="str">
        <f t="shared" si="92"/>
        <v/>
      </c>
      <c r="AQ235" s="416" t="str">
        <f t="shared" si="93"/>
        <v/>
      </c>
      <c r="AR235" s="416" t="str">
        <f t="shared" si="99"/>
        <v/>
      </c>
    </row>
    <row r="236" spans="1:44" ht="14.25">
      <c r="A236" s="830"/>
      <c r="B236" s="99" t="s">
        <v>269</v>
      </c>
      <c r="C236" s="466" t="s">
        <v>186</v>
      </c>
      <c r="D236" s="125" t="s">
        <v>249</v>
      </c>
      <c r="E236" s="126">
        <v>0.375</v>
      </c>
      <c r="F236" s="126">
        <v>0.75</v>
      </c>
      <c r="G236" s="217">
        <f t="shared" si="83"/>
        <v>0.375</v>
      </c>
      <c r="H236" s="218">
        <f t="shared" si="84"/>
        <v>0</v>
      </c>
      <c r="I236" s="96">
        <f t="shared" si="85"/>
        <v>0</v>
      </c>
      <c r="J236" s="219">
        <f t="shared" si="86"/>
        <v>0</v>
      </c>
      <c r="K236" s="220">
        <f t="shared" si="87"/>
        <v>4.1666666666666685E-2</v>
      </c>
      <c r="L236" s="100">
        <f t="shared" si="88"/>
        <v>1</v>
      </c>
      <c r="M236" s="221" t="str">
        <f t="shared" si="94"/>
        <v/>
      </c>
      <c r="N236" s="222">
        <f t="shared" si="89"/>
        <v>1</v>
      </c>
      <c r="O236" s="223">
        <f>IF(N236=0,0,IF(SUM($N$5:N236)&gt;251,1,0))</f>
        <v>0</v>
      </c>
      <c r="P236" s="408">
        <v>5</v>
      </c>
      <c r="Q236" s="409">
        <v>1</v>
      </c>
      <c r="R236" s="224"/>
      <c r="S236" s="411" t="s">
        <v>672</v>
      </c>
      <c r="T236" s="225" t="s">
        <v>697</v>
      </c>
      <c r="U236" s="226" t="s">
        <v>698</v>
      </c>
      <c r="V236" s="413" t="s">
        <v>695</v>
      </c>
      <c r="W236" s="225" t="s">
        <v>697</v>
      </c>
      <c r="X236" s="226" t="s">
        <v>698</v>
      </c>
      <c r="Y236" s="413" t="s">
        <v>696</v>
      </c>
      <c r="Z236" s="225" t="s">
        <v>699</v>
      </c>
      <c r="AA236" s="226" t="s">
        <v>698</v>
      </c>
      <c r="AB236" s="413"/>
      <c r="AC236" s="225">
        <f t="shared" si="100"/>
        <v>0</v>
      </c>
      <c r="AD236" s="226">
        <f t="shared" si="95"/>
        <v>0</v>
      </c>
      <c r="AE236" s="413"/>
      <c r="AF236" s="225">
        <f t="shared" si="101"/>
        <v>0</v>
      </c>
      <c r="AG236" s="226">
        <f t="shared" si="96"/>
        <v>0</v>
      </c>
      <c r="AH236" s="413"/>
      <c r="AI236" s="225">
        <f t="shared" si="102"/>
        <v>0</v>
      </c>
      <c r="AJ236" s="226">
        <f t="shared" si="97"/>
        <v>0</v>
      </c>
      <c r="AK236" s="413"/>
      <c r="AL236" s="225">
        <f t="shared" si="103"/>
        <v>0</v>
      </c>
      <c r="AM236" s="226">
        <f t="shared" si="98"/>
        <v>0</v>
      </c>
      <c r="AN236" s="462" t="str">
        <f t="shared" si="90"/>
        <v/>
      </c>
      <c r="AO236" s="416" t="str">
        <f t="shared" si="91"/>
        <v/>
      </c>
      <c r="AP236" s="416" t="str">
        <f t="shared" si="92"/>
        <v/>
      </c>
      <c r="AQ236" s="416" t="str">
        <f t="shared" si="93"/>
        <v/>
      </c>
      <c r="AR236" s="416" t="str">
        <f t="shared" si="99"/>
        <v/>
      </c>
    </row>
    <row r="237" spans="1:44" ht="14.25">
      <c r="A237" s="830"/>
      <c r="B237" s="99" t="s">
        <v>270</v>
      </c>
      <c r="C237" s="466" t="s">
        <v>262</v>
      </c>
      <c r="D237" s="125" t="s">
        <v>251</v>
      </c>
      <c r="E237" s="126"/>
      <c r="F237" s="126"/>
      <c r="G237" s="217">
        <f t="shared" si="83"/>
        <v>0</v>
      </c>
      <c r="H237" s="218">
        <f t="shared" si="84"/>
        <v>0</v>
      </c>
      <c r="I237" s="96">
        <f t="shared" si="85"/>
        <v>0</v>
      </c>
      <c r="J237" s="219">
        <f t="shared" si="86"/>
        <v>0</v>
      </c>
      <c r="K237" s="220">
        <f t="shared" si="87"/>
        <v>0</v>
      </c>
      <c r="L237" s="100">
        <f t="shared" si="88"/>
        <v>0</v>
      </c>
      <c r="M237" s="221" t="str">
        <f t="shared" si="94"/>
        <v/>
      </c>
      <c r="N237" s="222">
        <f t="shared" si="89"/>
        <v>0</v>
      </c>
      <c r="O237" s="223">
        <f>IF(N237=0,0,IF(SUM($N$5:N237)&gt;251,1,0))</f>
        <v>0</v>
      </c>
      <c r="P237" s="408"/>
      <c r="Q237" s="409"/>
      <c r="R237" s="224"/>
      <c r="S237" s="411"/>
      <c r="T237" s="225">
        <f t="shared" si="104"/>
        <v>0</v>
      </c>
      <c r="U237" s="226">
        <f t="shared" si="105"/>
        <v>0</v>
      </c>
      <c r="V237" s="413"/>
      <c r="W237" s="225">
        <f t="shared" si="106"/>
        <v>0</v>
      </c>
      <c r="X237" s="226">
        <f t="shared" si="107"/>
        <v>0</v>
      </c>
      <c r="Y237" s="413"/>
      <c r="Z237" s="225">
        <f t="shared" si="108"/>
        <v>0</v>
      </c>
      <c r="AA237" s="226">
        <f t="shared" si="109"/>
        <v>0</v>
      </c>
      <c r="AB237" s="413"/>
      <c r="AC237" s="225">
        <f t="shared" si="100"/>
        <v>0</v>
      </c>
      <c r="AD237" s="226">
        <f t="shared" si="95"/>
        <v>0</v>
      </c>
      <c r="AE237" s="413"/>
      <c r="AF237" s="225">
        <f t="shared" si="101"/>
        <v>0</v>
      </c>
      <c r="AG237" s="226">
        <f t="shared" si="96"/>
        <v>0</v>
      </c>
      <c r="AH237" s="413"/>
      <c r="AI237" s="225">
        <f t="shared" si="102"/>
        <v>0</v>
      </c>
      <c r="AJ237" s="226">
        <f t="shared" si="97"/>
        <v>0</v>
      </c>
      <c r="AK237" s="413"/>
      <c r="AL237" s="225">
        <f t="shared" si="103"/>
        <v>0</v>
      </c>
      <c r="AM237" s="226">
        <f t="shared" si="98"/>
        <v>0</v>
      </c>
      <c r="AN237" s="462" t="str">
        <f t="shared" si="90"/>
        <v/>
      </c>
      <c r="AO237" s="416" t="str">
        <f t="shared" si="91"/>
        <v/>
      </c>
      <c r="AP237" s="416" t="str">
        <f t="shared" si="92"/>
        <v/>
      </c>
      <c r="AQ237" s="416" t="str">
        <f t="shared" si="93"/>
        <v/>
      </c>
      <c r="AR237" s="416" t="str">
        <f t="shared" si="99"/>
        <v/>
      </c>
    </row>
    <row r="238" spans="1:44" ht="14.25">
      <c r="A238" s="830"/>
      <c r="B238" s="99" t="s">
        <v>271</v>
      </c>
      <c r="C238" s="466" t="s">
        <v>182</v>
      </c>
      <c r="D238" s="125" t="s">
        <v>24</v>
      </c>
      <c r="E238" s="126">
        <v>0.58333333333333337</v>
      </c>
      <c r="F238" s="126">
        <v>0.79166666666666663</v>
      </c>
      <c r="G238" s="217">
        <f t="shared" si="83"/>
        <v>0.20833333333333326</v>
      </c>
      <c r="H238" s="218">
        <f t="shared" si="84"/>
        <v>0</v>
      </c>
      <c r="I238" s="96">
        <f t="shared" si="85"/>
        <v>0</v>
      </c>
      <c r="J238" s="219">
        <f t="shared" si="86"/>
        <v>0</v>
      </c>
      <c r="K238" s="220">
        <f t="shared" si="87"/>
        <v>0</v>
      </c>
      <c r="L238" s="100">
        <f t="shared" si="88"/>
        <v>0</v>
      </c>
      <c r="M238" s="221" t="str">
        <f t="shared" si="94"/>
        <v/>
      </c>
      <c r="N238" s="222">
        <f t="shared" si="89"/>
        <v>0</v>
      </c>
      <c r="O238" s="223">
        <f>IF(N238=0,0,IF(SUM($N$5:N238)&gt;251,1,0))</f>
        <v>0</v>
      </c>
      <c r="P238" s="408">
        <v>25</v>
      </c>
      <c r="Q238" s="409">
        <v>1</v>
      </c>
      <c r="R238" s="224"/>
      <c r="S238" s="411" t="s">
        <v>672</v>
      </c>
      <c r="T238" s="225" t="s">
        <v>697</v>
      </c>
      <c r="U238" s="226" t="s">
        <v>698</v>
      </c>
      <c r="V238" s="413" t="s">
        <v>695</v>
      </c>
      <c r="W238" s="225" t="s">
        <v>697</v>
      </c>
      <c r="X238" s="226" t="s">
        <v>698</v>
      </c>
      <c r="Y238" s="413" t="s">
        <v>696</v>
      </c>
      <c r="Z238" s="225" t="s">
        <v>699</v>
      </c>
      <c r="AA238" s="226" t="s">
        <v>698</v>
      </c>
      <c r="AB238" s="413"/>
      <c r="AC238" s="225">
        <f t="shared" si="100"/>
        <v>0</v>
      </c>
      <c r="AD238" s="226">
        <f t="shared" si="95"/>
        <v>0</v>
      </c>
      <c r="AE238" s="413"/>
      <c r="AF238" s="225">
        <f t="shared" si="101"/>
        <v>0</v>
      </c>
      <c r="AG238" s="226">
        <f t="shared" si="96"/>
        <v>0</v>
      </c>
      <c r="AH238" s="413"/>
      <c r="AI238" s="225">
        <f t="shared" si="102"/>
        <v>0</v>
      </c>
      <c r="AJ238" s="226">
        <f t="shared" si="97"/>
        <v>0</v>
      </c>
      <c r="AK238" s="413"/>
      <c r="AL238" s="225">
        <f t="shared" si="103"/>
        <v>0</v>
      </c>
      <c r="AM238" s="226">
        <f t="shared" si="98"/>
        <v>0</v>
      </c>
      <c r="AN238" s="462" t="str">
        <f t="shared" si="90"/>
        <v/>
      </c>
      <c r="AO238" s="416" t="str">
        <f t="shared" si="91"/>
        <v/>
      </c>
      <c r="AP238" s="416" t="str">
        <f t="shared" si="92"/>
        <v/>
      </c>
      <c r="AQ238" s="416" t="str">
        <f t="shared" si="93"/>
        <v/>
      </c>
      <c r="AR238" s="416" t="str">
        <f t="shared" si="99"/>
        <v/>
      </c>
    </row>
    <row r="239" spans="1:44" ht="14.25">
      <c r="A239" s="830"/>
      <c r="B239" s="99" t="s">
        <v>272</v>
      </c>
      <c r="C239" s="466" t="s">
        <v>187</v>
      </c>
      <c r="D239" s="125" t="s">
        <v>24</v>
      </c>
      <c r="E239" s="126">
        <v>0.58333333333333337</v>
      </c>
      <c r="F239" s="126">
        <v>0.79166666666666663</v>
      </c>
      <c r="G239" s="217">
        <f t="shared" si="83"/>
        <v>0.20833333333333326</v>
      </c>
      <c r="H239" s="218">
        <f t="shared" si="84"/>
        <v>0</v>
      </c>
      <c r="I239" s="96">
        <f t="shared" si="85"/>
        <v>0</v>
      </c>
      <c r="J239" s="219">
        <f t="shared" si="86"/>
        <v>0</v>
      </c>
      <c r="K239" s="220">
        <f t="shared" si="87"/>
        <v>0</v>
      </c>
      <c r="L239" s="100">
        <f t="shared" si="88"/>
        <v>0</v>
      </c>
      <c r="M239" s="221" t="str">
        <f t="shared" si="94"/>
        <v/>
      </c>
      <c r="N239" s="222">
        <f t="shared" si="89"/>
        <v>0</v>
      </c>
      <c r="O239" s="223">
        <f>IF(N239=0,0,IF(SUM($N$5:N239)&gt;251,1,0))</f>
        <v>0</v>
      </c>
      <c r="P239" s="408">
        <v>20</v>
      </c>
      <c r="Q239" s="409">
        <v>1</v>
      </c>
      <c r="R239" s="224"/>
      <c r="S239" s="411" t="s">
        <v>672</v>
      </c>
      <c r="T239" s="225" t="s">
        <v>697</v>
      </c>
      <c r="U239" s="226" t="s">
        <v>698</v>
      </c>
      <c r="V239" s="413" t="s">
        <v>695</v>
      </c>
      <c r="W239" s="225" t="s">
        <v>697</v>
      </c>
      <c r="X239" s="226" t="s">
        <v>698</v>
      </c>
      <c r="Y239" s="413" t="s">
        <v>696</v>
      </c>
      <c r="Z239" s="225" t="s">
        <v>699</v>
      </c>
      <c r="AA239" s="226" t="s">
        <v>698</v>
      </c>
      <c r="AB239" s="413"/>
      <c r="AC239" s="225">
        <f t="shared" si="100"/>
        <v>0</v>
      </c>
      <c r="AD239" s="226">
        <f t="shared" si="95"/>
        <v>0</v>
      </c>
      <c r="AE239" s="413"/>
      <c r="AF239" s="225">
        <f t="shared" si="101"/>
        <v>0</v>
      </c>
      <c r="AG239" s="226">
        <f t="shared" si="96"/>
        <v>0</v>
      </c>
      <c r="AH239" s="413"/>
      <c r="AI239" s="225">
        <f t="shared" si="102"/>
        <v>0</v>
      </c>
      <c r="AJ239" s="226">
        <f t="shared" si="97"/>
        <v>0</v>
      </c>
      <c r="AK239" s="413"/>
      <c r="AL239" s="225">
        <f t="shared" si="103"/>
        <v>0</v>
      </c>
      <c r="AM239" s="226">
        <f t="shared" si="98"/>
        <v>0</v>
      </c>
      <c r="AN239" s="462" t="str">
        <f t="shared" si="90"/>
        <v/>
      </c>
      <c r="AO239" s="416" t="str">
        <f t="shared" si="91"/>
        <v/>
      </c>
      <c r="AP239" s="416" t="str">
        <f t="shared" si="92"/>
        <v/>
      </c>
      <c r="AQ239" s="416" t="str">
        <f t="shared" si="93"/>
        <v/>
      </c>
      <c r="AR239" s="416" t="str">
        <f t="shared" si="99"/>
        <v/>
      </c>
    </row>
    <row r="240" spans="1:44" ht="14.25">
      <c r="A240" s="830"/>
      <c r="B240" s="99" t="s">
        <v>273</v>
      </c>
      <c r="C240" s="466" t="s">
        <v>183</v>
      </c>
      <c r="D240" s="125" t="s">
        <v>24</v>
      </c>
      <c r="E240" s="126">
        <v>0.58333333333333337</v>
      </c>
      <c r="F240" s="126">
        <v>0.79166666666666663</v>
      </c>
      <c r="G240" s="217">
        <f t="shared" si="83"/>
        <v>0.20833333333333326</v>
      </c>
      <c r="H240" s="218">
        <f t="shared" si="84"/>
        <v>0</v>
      </c>
      <c r="I240" s="96">
        <f t="shared" si="85"/>
        <v>0</v>
      </c>
      <c r="J240" s="219">
        <f t="shared" si="86"/>
        <v>0</v>
      </c>
      <c r="K240" s="220">
        <f t="shared" si="87"/>
        <v>0</v>
      </c>
      <c r="L240" s="100">
        <f t="shared" si="88"/>
        <v>0</v>
      </c>
      <c r="M240" s="221" t="str">
        <f t="shared" si="94"/>
        <v/>
      </c>
      <c r="N240" s="222">
        <f t="shared" si="89"/>
        <v>0</v>
      </c>
      <c r="O240" s="223">
        <f>IF(N240=0,0,IF(SUM($N$5:N240)&gt;251,1,0))</f>
        <v>0</v>
      </c>
      <c r="P240" s="408">
        <v>26</v>
      </c>
      <c r="Q240" s="409">
        <v>1</v>
      </c>
      <c r="R240" s="224"/>
      <c r="S240" s="411" t="s">
        <v>672</v>
      </c>
      <c r="T240" s="225" t="s">
        <v>697</v>
      </c>
      <c r="U240" s="226" t="s">
        <v>698</v>
      </c>
      <c r="V240" s="413" t="s">
        <v>695</v>
      </c>
      <c r="W240" s="225" t="s">
        <v>697</v>
      </c>
      <c r="X240" s="226" t="s">
        <v>698</v>
      </c>
      <c r="Y240" s="413" t="s">
        <v>696</v>
      </c>
      <c r="Z240" s="225" t="s">
        <v>699</v>
      </c>
      <c r="AA240" s="226" t="s">
        <v>698</v>
      </c>
      <c r="AB240" s="413"/>
      <c r="AC240" s="225">
        <f t="shared" si="100"/>
        <v>0</v>
      </c>
      <c r="AD240" s="226">
        <f t="shared" si="95"/>
        <v>0</v>
      </c>
      <c r="AE240" s="413"/>
      <c r="AF240" s="225">
        <f t="shared" si="101"/>
        <v>0</v>
      </c>
      <c r="AG240" s="226">
        <f t="shared" si="96"/>
        <v>0</v>
      </c>
      <c r="AH240" s="413"/>
      <c r="AI240" s="225">
        <f t="shared" si="102"/>
        <v>0</v>
      </c>
      <c r="AJ240" s="226">
        <f t="shared" si="97"/>
        <v>0</v>
      </c>
      <c r="AK240" s="413"/>
      <c r="AL240" s="225">
        <f t="shared" si="103"/>
        <v>0</v>
      </c>
      <c r="AM240" s="226">
        <f t="shared" si="98"/>
        <v>0</v>
      </c>
      <c r="AN240" s="462" t="str">
        <f t="shared" si="90"/>
        <v/>
      </c>
      <c r="AO240" s="416" t="str">
        <f t="shared" si="91"/>
        <v/>
      </c>
      <c r="AP240" s="416" t="str">
        <f t="shared" si="92"/>
        <v/>
      </c>
      <c r="AQ240" s="416" t="str">
        <f t="shared" si="93"/>
        <v/>
      </c>
      <c r="AR240" s="416" t="str">
        <f t="shared" si="99"/>
        <v/>
      </c>
    </row>
    <row r="241" spans="1:44" ht="14.25">
      <c r="A241" s="830"/>
      <c r="B241" s="99" t="s">
        <v>274</v>
      </c>
      <c r="C241" s="466" t="s">
        <v>598</v>
      </c>
      <c r="D241" s="125" t="s">
        <v>249</v>
      </c>
      <c r="E241" s="126">
        <v>0.375</v>
      </c>
      <c r="F241" s="126">
        <v>0.75</v>
      </c>
      <c r="G241" s="217">
        <f t="shared" si="83"/>
        <v>0.375</v>
      </c>
      <c r="H241" s="218">
        <f t="shared" si="84"/>
        <v>0</v>
      </c>
      <c r="I241" s="96">
        <f t="shared" si="85"/>
        <v>0</v>
      </c>
      <c r="J241" s="219">
        <f t="shared" si="86"/>
        <v>0</v>
      </c>
      <c r="K241" s="220">
        <f t="shared" si="87"/>
        <v>4.1666666666666685E-2</v>
      </c>
      <c r="L241" s="100">
        <f t="shared" si="88"/>
        <v>1</v>
      </c>
      <c r="M241" s="221" t="str">
        <f t="shared" si="94"/>
        <v/>
      </c>
      <c r="N241" s="222">
        <f t="shared" si="89"/>
        <v>1</v>
      </c>
      <c r="O241" s="223">
        <f>IF(N241=0,0,IF(SUM($N$5:N241)&gt;251,1,0))</f>
        <v>0</v>
      </c>
      <c r="P241" s="408">
        <v>6</v>
      </c>
      <c r="Q241" s="409">
        <v>0</v>
      </c>
      <c r="R241" s="224"/>
      <c r="S241" s="411" t="s">
        <v>672</v>
      </c>
      <c r="T241" s="225" t="s">
        <v>697</v>
      </c>
      <c r="U241" s="226" t="s">
        <v>698</v>
      </c>
      <c r="V241" s="413" t="s">
        <v>695</v>
      </c>
      <c r="W241" s="225" t="s">
        <v>697</v>
      </c>
      <c r="X241" s="226" t="s">
        <v>698</v>
      </c>
      <c r="Y241" s="413" t="s">
        <v>696</v>
      </c>
      <c r="Z241" s="225" t="s">
        <v>699</v>
      </c>
      <c r="AA241" s="226" t="s">
        <v>698</v>
      </c>
      <c r="AB241" s="413"/>
      <c r="AC241" s="225">
        <f t="shared" si="100"/>
        <v>0</v>
      </c>
      <c r="AD241" s="226">
        <f t="shared" si="95"/>
        <v>0</v>
      </c>
      <c r="AE241" s="413"/>
      <c r="AF241" s="225">
        <f t="shared" si="101"/>
        <v>0</v>
      </c>
      <c r="AG241" s="226">
        <f t="shared" si="96"/>
        <v>0</v>
      </c>
      <c r="AH241" s="413"/>
      <c r="AI241" s="225">
        <f t="shared" si="102"/>
        <v>0</v>
      </c>
      <c r="AJ241" s="226">
        <f t="shared" si="97"/>
        <v>0</v>
      </c>
      <c r="AK241" s="413"/>
      <c r="AL241" s="225">
        <f t="shared" si="103"/>
        <v>0</v>
      </c>
      <c r="AM241" s="226">
        <f t="shared" si="98"/>
        <v>0</v>
      </c>
      <c r="AN241" s="462" t="str">
        <f t="shared" si="90"/>
        <v/>
      </c>
      <c r="AO241" s="416" t="str">
        <f t="shared" si="91"/>
        <v/>
      </c>
      <c r="AP241" s="416" t="str">
        <f t="shared" si="92"/>
        <v/>
      </c>
      <c r="AQ241" s="416" t="str">
        <f t="shared" si="93"/>
        <v/>
      </c>
      <c r="AR241" s="416" t="str">
        <f t="shared" si="99"/>
        <v/>
      </c>
    </row>
    <row r="242" spans="1:44" ht="14.25">
      <c r="A242" s="830"/>
      <c r="B242" s="99" t="s">
        <v>275</v>
      </c>
      <c r="C242" s="466" t="s">
        <v>185</v>
      </c>
      <c r="D242" s="125" t="s">
        <v>24</v>
      </c>
      <c r="E242" s="126">
        <v>0.58333333333333337</v>
      </c>
      <c r="F242" s="126">
        <v>0.79166666666666663</v>
      </c>
      <c r="G242" s="217">
        <f t="shared" si="83"/>
        <v>0.20833333333333326</v>
      </c>
      <c r="H242" s="218">
        <f t="shared" si="84"/>
        <v>0</v>
      </c>
      <c r="I242" s="96">
        <f t="shared" si="85"/>
        <v>0</v>
      </c>
      <c r="J242" s="219">
        <f t="shared" si="86"/>
        <v>0</v>
      </c>
      <c r="K242" s="220">
        <f t="shared" si="87"/>
        <v>0</v>
      </c>
      <c r="L242" s="100">
        <f t="shared" si="88"/>
        <v>0</v>
      </c>
      <c r="M242" s="221" t="str">
        <f t="shared" si="94"/>
        <v/>
      </c>
      <c r="N242" s="222">
        <f t="shared" si="89"/>
        <v>0</v>
      </c>
      <c r="O242" s="223">
        <f>IF(N242=0,0,IF(SUM($N$5:N242)&gt;251,1,0))</f>
        <v>0</v>
      </c>
      <c r="P242" s="408">
        <v>27</v>
      </c>
      <c r="Q242" s="409">
        <v>1</v>
      </c>
      <c r="R242" s="224"/>
      <c r="S242" s="411" t="s">
        <v>672</v>
      </c>
      <c r="T242" s="225" t="s">
        <v>697</v>
      </c>
      <c r="U242" s="226" t="s">
        <v>698</v>
      </c>
      <c r="V242" s="413" t="s">
        <v>695</v>
      </c>
      <c r="W242" s="225" t="s">
        <v>697</v>
      </c>
      <c r="X242" s="226" t="s">
        <v>698</v>
      </c>
      <c r="Y242" s="413" t="s">
        <v>696</v>
      </c>
      <c r="Z242" s="225" t="s">
        <v>699</v>
      </c>
      <c r="AA242" s="226" t="s">
        <v>698</v>
      </c>
      <c r="AB242" s="413"/>
      <c r="AC242" s="225">
        <f t="shared" si="100"/>
        <v>0</v>
      </c>
      <c r="AD242" s="226">
        <f t="shared" si="95"/>
        <v>0</v>
      </c>
      <c r="AE242" s="413"/>
      <c r="AF242" s="225">
        <f t="shared" si="101"/>
        <v>0</v>
      </c>
      <c r="AG242" s="226">
        <f t="shared" si="96"/>
        <v>0</v>
      </c>
      <c r="AH242" s="413"/>
      <c r="AI242" s="225">
        <f t="shared" si="102"/>
        <v>0</v>
      </c>
      <c r="AJ242" s="226">
        <f t="shared" si="97"/>
        <v>0</v>
      </c>
      <c r="AK242" s="413"/>
      <c r="AL242" s="225">
        <f t="shared" si="103"/>
        <v>0</v>
      </c>
      <c r="AM242" s="226">
        <f t="shared" si="98"/>
        <v>0</v>
      </c>
      <c r="AN242" s="462" t="str">
        <f t="shared" si="90"/>
        <v/>
      </c>
      <c r="AO242" s="416" t="str">
        <f t="shared" si="91"/>
        <v/>
      </c>
      <c r="AP242" s="416" t="str">
        <f t="shared" si="92"/>
        <v/>
      </c>
      <c r="AQ242" s="416" t="str">
        <f t="shared" si="93"/>
        <v/>
      </c>
      <c r="AR242" s="416" t="str">
        <f t="shared" si="99"/>
        <v/>
      </c>
    </row>
    <row r="243" spans="1:44" ht="14.25">
      <c r="A243" s="830"/>
      <c r="B243" s="99" t="s">
        <v>276</v>
      </c>
      <c r="C243" s="466" t="s">
        <v>186</v>
      </c>
      <c r="D243" s="125" t="s">
        <v>249</v>
      </c>
      <c r="E243" s="126">
        <v>0.375</v>
      </c>
      <c r="F243" s="126">
        <v>0.75</v>
      </c>
      <c r="G243" s="217">
        <f t="shared" si="83"/>
        <v>0.375</v>
      </c>
      <c r="H243" s="218">
        <f t="shared" si="84"/>
        <v>0</v>
      </c>
      <c r="I243" s="96">
        <f t="shared" si="85"/>
        <v>0</v>
      </c>
      <c r="J243" s="219">
        <f t="shared" si="86"/>
        <v>0</v>
      </c>
      <c r="K243" s="220">
        <f t="shared" si="87"/>
        <v>4.1666666666666685E-2</v>
      </c>
      <c r="L243" s="100">
        <f t="shared" si="88"/>
        <v>1</v>
      </c>
      <c r="M243" s="221" t="str">
        <f t="shared" si="94"/>
        <v/>
      </c>
      <c r="N243" s="222">
        <f t="shared" si="89"/>
        <v>1</v>
      </c>
      <c r="O243" s="223">
        <f>IF(N243=0,0,IF(SUM($N$5:N243)&gt;251,1,0))</f>
        <v>0</v>
      </c>
      <c r="P243" s="408">
        <v>5</v>
      </c>
      <c r="Q243" s="409">
        <v>0</v>
      </c>
      <c r="R243" s="224"/>
      <c r="S243" s="411" t="s">
        <v>672</v>
      </c>
      <c r="T243" s="225" t="s">
        <v>697</v>
      </c>
      <c r="U243" s="226" t="s">
        <v>698</v>
      </c>
      <c r="V243" s="413" t="s">
        <v>695</v>
      </c>
      <c r="W243" s="225" t="s">
        <v>697</v>
      </c>
      <c r="X243" s="226" t="s">
        <v>698</v>
      </c>
      <c r="Y243" s="413" t="s">
        <v>696</v>
      </c>
      <c r="Z243" s="225" t="s">
        <v>699</v>
      </c>
      <c r="AA243" s="226" t="s">
        <v>698</v>
      </c>
      <c r="AB243" s="413"/>
      <c r="AC243" s="225">
        <f t="shared" si="100"/>
        <v>0</v>
      </c>
      <c r="AD243" s="226">
        <f t="shared" si="95"/>
        <v>0</v>
      </c>
      <c r="AE243" s="413"/>
      <c r="AF243" s="225">
        <f t="shared" si="101"/>
        <v>0</v>
      </c>
      <c r="AG243" s="226">
        <f t="shared" si="96"/>
        <v>0</v>
      </c>
      <c r="AH243" s="413"/>
      <c r="AI243" s="225">
        <f t="shared" si="102"/>
        <v>0</v>
      </c>
      <c r="AJ243" s="226">
        <f t="shared" si="97"/>
        <v>0</v>
      </c>
      <c r="AK243" s="413"/>
      <c r="AL243" s="225">
        <f t="shared" si="103"/>
        <v>0</v>
      </c>
      <c r="AM243" s="226">
        <f t="shared" si="98"/>
        <v>0</v>
      </c>
      <c r="AN243" s="462" t="str">
        <f t="shared" si="90"/>
        <v/>
      </c>
      <c r="AO243" s="416" t="str">
        <f t="shared" si="91"/>
        <v/>
      </c>
      <c r="AP243" s="416" t="str">
        <f t="shared" si="92"/>
        <v/>
      </c>
      <c r="AQ243" s="416" t="str">
        <f t="shared" si="93"/>
        <v/>
      </c>
      <c r="AR243" s="416" t="str">
        <f t="shared" si="99"/>
        <v/>
      </c>
    </row>
    <row r="244" spans="1:44" ht="14.25">
      <c r="A244" s="830"/>
      <c r="B244" s="99" t="s">
        <v>277</v>
      </c>
      <c r="C244" s="466" t="s">
        <v>262</v>
      </c>
      <c r="D244" s="125" t="s">
        <v>251</v>
      </c>
      <c r="E244" s="126"/>
      <c r="F244" s="126"/>
      <c r="G244" s="217">
        <f t="shared" si="83"/>
        <v>0</v>
      </c>
      <c r="H244" s="218">
        <f t="shared" si="84"/>
        <v>0</v>
      </c>
      <c r="I244" s="96">
        <f t="shared" si="85"/>
        <v>0</v>
      </c>
      <c r="J244" s="219">
        <f t="shared" si="86"/>
        <v>0</v>
      </c>
      <c r="K244" s="220">
        <f t="shared" si="87"/>
        <v>0</v>
      </c>
      <c r="L244" s="100">
        <f t="shared" si="88"/>
        <v>0</v>
      </c>
      <c r="M244" s="221" t="str">
        <f t="shared" si="94"/>
        <v/>
      </c>
      <c r="N244" s="222">
        <f t="shared" si="89"/>
        <v>0</v>
      </c>
      <c r="O244" s="223">
        <f>IF(N244=0,0,IF(SUM($N$5:N244)&gt;251,1,0))</f>
        <v>0</v>
      </c>
      <c r="P244" s="408"/>
      <c r="Q244" s="409"/>
      <c r="R244" s="224"/>
      <c r="S244" s="411"/>
      <c r="T244" s="225">
        <f t="shared" si="104"/>
        <v>0</v>
      </c>
      <c r="U244" s="226">
        <f t="shared" si="105"/>
        <v>0</v>
      </c>
      <c r="V244" s="413"/>
      <c r="W244" s="225">
        <f t="shared" si="106"/>
        <v>0</v>
      </c>
      <c r="X244" s="226">
        <f t="shared" si="107"/>
        <v>0</v>
      </c>
      <c r="Y244" s="413"/>
      <c r="Z244" s="225">
        <f t="shared" si="108"/>
        <v>0</v>
      </c>
      <c r="AA244" s="226">
        <f t="shared" si="109"/>
        <v>0</v>
      </c>
      <c r="AB244" s="413"/>
      <c r="AC244" s="225">
        <f t="shared" si="100"/>
        <v>0</v>
      </c>
      <c r="AD244" s="226">
        <f t="shared" si="95"/>
        <v>0</v>
      </c>
      <c r="AE244" s="413"/>
      <c r="AF244" s="225">
        <f t="shared" si="101"/>
        <v>0</v>
      </c>
      <c r="AG244" s="226">
        <f t="shared" si="96"/>
        <v>0</v>
      </c>
      <c r="AH244" s="413"/>
      <c r="AI244" s="225">
        <f t="shared" si="102"/>
        <v>0</v>
      </c>
      <c r="AJ244" s="226">
        <f t="shared" si="97"/>
        <v>0</v>
      </c>
      <c r="AK244" s="413"/>
      <c r="AL244" s="225">
        <f t="shared" si="103"/>
        <v>0</v>
      </c>
      <c r="AM244" s="226">
        <f t="shared" si="98"/>
        <v>0</v>
      </c>
      <c r="AN244" s="462" t="str">
        <f t="shared" si="90"/>
        <v/>
      </c>
      <c r="AO244" s="416" t="str">
        <f t="shared" si="91"/>
        <v/>
      </c>
      <c r="AP244" s="416" t="str">
        <f t="shared" si="92"/>
        <v/>
      </c>
      <c r="AQ244" s="416" t="str">
        <f t="shared" si="93"/>
        <v/>
      </c>
      <c r="AR244" s="416" t="str">
        <f t="shared" si="99"/>
        <v/>
      </c>
    </row>
    <row r="245" spans="1:44" ht="14.25">
      <c r="A245" s="830"/>
      <c r="B245" s="99" t="s">
        <v>278</v>
      </c>
      <c r="C245" s="466" t="s">
        <v>182</v>
      </c>
      <c r="D245" s="125" t="s">
        <v>24</v>
      </c>
      <c r="E245" s="126">
        <v>0.58333333333333337</v>
      </c>
      <c r="F245" s="126">
        <v>0.79166666666666663</v>
      </c>
      <c r="G245" s="217">
        <f t="shared" si="83"/>
        <v>0.20833333333333326</v>
      </c>
      <c r="H245" s="218">
        <f t="shared" si="84"/>
        <v>0</v>
      </c>
      <c r="I245" s="96">
        <f t="shared" si="85"/>
        <v>0</v>
      </c>
      <c r="J245" s="219">
        <f t="shared" si="86"/>
        <v>0</v>
      </c>
      <c r="K245" s="220">
        <f t="shared" si="87"/>
        <v>0</v>
      </c>
      <c r="L245" s="100">
        <f t="shared" si="88"/>
        <v>0</v>
      </c>
      <c r="M245" s="221" t="str">
        <f t="shared" si="94"/>
        <v/>
      </c>
      <c r="N245" s="222">
        <f t="shared" si="89"/>
        <v>0</v>
      </c>
      <c r="O245" s="223">
        <f>IF(N245=0,0,IF(SUM($N$5:N245)&gt;251,1,0))</f>
        <v>0</v>
      </c>
      <c r="P245" s="408">
        <v>26</v>
      </c>
      <c r="Q245" s="409">
        <v>0</v>
      </c>
      <c r="R245" s="224"/>
      <c r="S245" s="411" t="s">
        <v>672</v>
      </c>
      <c r="T245" s="225" t="s">
        <v>697</v>
      </c>
      <c r="U245" s="226" t="s">
        <v>698</v>
      </c>
      <c r="V245" s="413" t="s">
        <v>695</v>
      </c>
      <c r="W245" s="225" t="s">
        <v>697</v>
      </c>
      <c r="X245" s="226" t="s">
        <v>698</v>
      </c>
      <c r="Y245" s="413" t="s">
        <v>696</v>
      </c>
      <c r="Z245" s="225" t="s">
        <v>699</v>
      </c>
      <c r="AA245" s="226" t="s">
        <v>698</v>
      </c>
      <c r="AB245" s="413"/>
      <c r="AC245" s="225">
        <f t="shared" si="100"/>
        <v>0</v>
      </c>
      <c r="AD245" s="226">
        <f t="shared" si="95"/>
        <v>0</v>
      </c>
      <c r="AE245" s="413"/>
      <c r="AF245" s="225">
        <f t="shared" si="101"/>
        <v>0</v>
      </c>
      <c r="AG245" s="226">
        <f t="shared" si="96"/>
        <v>0</v>
      </c>
      <c r="AH245" s="413"/>
      <c r="AI245" s="225">
        <f t="shared" si="102"/>
        <v>0</v>
      </c>
      <c r="AJ245" s="226">
        <f t="shared" si="97"/>
        <v>0</v>
      </c>
      <c r="AK245" s="413"/>
      <c r="AL245" s="225">
        <f t="shared" si="103"/>
        <v>0</v>
      </c>
      <c r="AM245" s="226">
        <f t="shared" si="98"/>
        <v>0</v>
      </c>
      <c r="AN245" s="462" t="str">
        <f t="shared" si="90"/>
        <v/>
      </c>
      <c r="AO245" s="416" t="str">
        <f t="shared" si="91"/>
        <v/>
      </c>
      <c r="AP245" s="416" t="str">
        <f t="shared" si="92"/>
        <v/>
      </c>
      <c r="AQ245" s="416" t="str">
        <f t="shared" si="93"/>
        <v/>
      </c>
      <c r="AR245" s="416" t="str">
        <f t="shared" si="99"/>
        <v/>
      </c>
    </row>
    <row r="246" spans="1:44" ht="14.25">
      <c r="A246" s="830"/>
      <c r="B246" s="99" t="s">
        <v>279</v>
      </c>
      <c r="C246" s="466" t="s">
        <v>187</v>
      </c>
      <c r="D246" s="125" t="s">
        <v>24</v>
      </c>
      <c r="E246" s="126">
        <v>0.58333333333333337</v>
      </c>
      <c r="F246" s="126">
        <v>0.79166666666666663</v>
      </c>
      <c r="G246" s="217">
        <f t="shared" si="83"/>
        <v>0.20833333333333326</v>
      </c>
      <c r="H246" s="218">
        <f t="shared" si="84"/>
        <v>0</v>
      </c>
      <c r="I246" s="96">
        <f t="shared" si="85"/>
        <v>0</v>
      </c>
      <c r="J246" s="219">
        <f t="shared" si="86"/>
        <v>0</v>
      </c>
      <c r="K246" s="220">
        <f t="shared" si="87"/>
        <v>0</v>
      </c>
      <c r="L246" s="100">
        <f t="shared" si="88"/>
        <v>0</v>
      </c>
      <c r="M246" s="221" t="str">
        <f t="shared" si="94"/>
        <v/>
      </c>
      <c r="N246" s="222">
        <f t="shared" si="89"/>
        <v>0</v>
      </c>
      <c r="O246" s="223">
        <f>IF(N246=0,0,IF(SUM($N$5:N246)&gt;251,1,0))</f>
        <v>0</v>
      </c>
      <c r="P246" s="408">
        <v>27</v>
      </c>
      <c r="Q246" s="409">
        <v>0</v>
      </c>
      <c r="R246" s="224"/>
      <c r="S246" s="411" t="s">
        <v>672</v>
      </c>
      <c r="T246" s="225" t="s">
        <v>697</v>
      </c>
      <c r="U246" s="226" t="s">
        <v>698</v>
      </c>
      <c r="V246" s="413" t="s">
        <v>695</v>
      </c>
      <c r="W246" s="225" t="s">
        <v>697</v>
      </c>
      <c r="X246" s="226" t="s">
        <v>698</v>
      </c>
      <c r="Y246" s="413" t="s">
        <v>696</v>
      </c>
      <c r="Z246" s="225" t="s">
        <v>699</v>
      </c>
      <c r="AA246" s="226" t="s">
        <v>698</v>
      </c>
      <c r="AB246" s="413"/>
      <c r="AC246" s="225">
        <f t="shared" si="100"/>
        <v>0</v>
      </c>
      <c r="AD246" s="226">
        <f t="shared" si="95"/>
        <v>0</v>
      </c>
      <c r="AE246" s="413"/>
      <c r="AF246" s="225">
        <f t="shared" si="101"/>
        <v>0</v>
      </c>
      <c r="AG246" s="226">
        <f t="shared" si="96"/>
        <v>0</v>
      </c>
      <c r="AH246" s="413"/>
      <c r="AI246" s="225">
        <f t="shared" si="102"/>
        <v>0</v>
      </c>
      <c r="AJ246" s="226">
        <f t="shared" si="97"/>
        <v>0</v>
      </c>
      <c r="AK246" s="413"/>
      <c r="AL246" s="225">
        <f t="shared" si="103"/>
        <v>0</v>
      </c>
      <c r="AM246" s="226">
        <f t="shared" si="98"/>
        <v>0</v>
      </c>
      <c r="AN246" s="462" t="str">
        <f t="shared" si="90"/>
        <v/>
      </c>
      <c r="AO246" s="416" t="str">
        <f t="shared" si="91"/>
        <v/>
      </c>
      <c r="AP246" s="416" t="str">
        <f t="shared" si="92"/>
        <v/>
      </c>
      <c r="AQ246" s="416" t="str">
        <f t="shared" si="93"/>
        <v/>
      </c>
      <c r="AR246" s="416" t="str">
        <f t="shared" si="99"/>
        <v/>
      </c>
    </row>
    <row r="247" spans="1:44" ht="14.25">
      <c r="A247" s="830"/>
      <c r="B247" s="99" t="s">
        <v>280</v>
      </c>
      <c r="C247" s="466" t="s">
        <v>183</v>
      </c>
      <c r="D247" s="125" t="s">
        <v>24</v>
      </c>
      <c r="E247" s="126">
        <v>0.58333333333333337</v>
      </c>
      <c r="F247" s="126">
        <v>0.79166666666666663</v>
      </c>
      <c r="G247" s="217">
        <f t="shared" si="83"/>
        <v>0.20833333333333326</v>
      </c>
      <c r="H247" s="218">
        <f t="shared" si="84"/>
        <v>0</v>
      </c>
      <c r="I247" s="96">
        <f t="shared" si="85"/>
        <v>0</v>
      </c>
      <c r="J247" s="219">
        <f t="shared" si="86"/>
        <v>0</v>
      </c>
      <c r="K247" s="220">
        <f t="shared" si="87"/>
        <v>0</v>
      </c>
      <c r="L247" s="100">
        <f t="shared" si="88"/>
        <v>0</v>
      </c>
      <c r="M247" s="221" t="str">
        <f t="shared" si="94"/>
        <v/>
      </c>
      <c r="N247" s="222">
        <f t="shared" si="89"/>
        <v>0</v>
      </c>
      <c r="O247" s="223">
        <f>IF(N247=0,0,IF(SUM($N$5:N247)&gt;251,1,0))</f>
        <v>0</v>
      </c>
      <c r="P247" s="408">
        <v>25</v>
      </c>
      <c r="Q247" s="409">
        <v>0</v>
      </c>
      <c r="R247" s="224"/>
      <c r="S247" s="411" t="s">
        <v>672</v>
      </c>
      <c r="T247" s="225" t="s">
        <v>697</v>
      </c>
      <c r="U247" s="226" t="s">
        <v>698</v>
      </c>
      <c r="V247" s="413" t="s">
        <v>695</v>
      </c>
      <c r="W247" s="225" t="s">
        <v>697</v>
      </c>
      <c r="X247" s="226" t="s">
        <v>698</v>
      </c>
      <c r="Y247" s="413" t="s">
        <v>696</v>
      </c>
      <c r="Z247" s="225" t="s">
        <v>699</v>
      </c>
      <c r="AA247" s="226" t="s">
        <v>698</v>
      </c>
      <c r="AB247" s="413"/>
      <c r="AC247" s="225">
        <f t="shared" si="100"/>
        <v>0</v>
      </c>
      <c r="AD247" s="226">
        <f t="shared" si="95"/>
        <v>0</v>
      </c>
      <c r="AE247" s="413"/>
      <c r="AF247" s="225">
        <f t="shared" si="101"/>
        <v>0</v>
      </c>
      <c r="AG247" s="226">
        <f t="shared" si="96"/>
        <v>0</v>
      </c>
      <c r="AH247" s="413"/>
      <c r="AI247" s="225">
        <f t="shared" si="102"/>
        <v>0</v>
      </c>
      <c r="AJ247" s="226">
        <f t="shared" si="97"/>
        <v>0</v>
      </c>
      <c r="AK247" s="413"/>
      <c r="AL247" s="225">
        <f t="shared" si="103"/>
        <v>0</v>
      </c>
      <c r="AM247" s="226">
        <f t="shared" si="98"/>
        <v>0</v>
      </c>
      <c r="AN247" s="462" t="str">
        <f t="shared" si="90"/>
        <v/>
      </c>
      <c r="AO247" s="416" t="str">
        <f t="shared" si="91"/>
        <v/>
      </c>
      <c r="AP247" s="416" t="str">
        <f t="shared" si="92"/>
        <v/>
      </c>
      <c r="AQ247" s="416" t="str">
        <f t="shared" si="93"/>
        <v/>
      </c>
      <c r="AR247" s="416" t="str">
        <f t="shared" si="99"/>
        <v/>
      </c>
    </row>
    <row r="248" spans="1:44" ht="15" thickBot="1">
      <c r="A248" s="831"/>
      <c r="B248" s="101" t="s">
        <v>281</v>
      </c>
      <c r="C248" s="102" t="s">
        <v>184</v>
      </c>
      <c r="D248" s="125" t="s">
        <v>24</v>
      </c>
      <c r="E248" s="126">
        <v>0.58333333333333337</v>
      </c>
      <c r="F248" s="126">
        <v>0.79166666666666663</v>
      </c>
      <c r="G248" s="227">
        <f t="shared" si="83"/>
        <v>0.20833333333333326</v>
      </c>
      <c r="H248" s="228">
        <f t="shared" si="84"/>
        <v>0</v>
      </c>
      <c r="I248" s="103">
        <f t="shared" si="85"/>
        <v>0</v>
      </c>
      <c r="J248" s="229">
        <f t="shared" si="86"/>
        <v>0</v>
      </c>
      <c r="K248" s="230">
        <f t="shared" si="87"/>
        <v>0</v>
      </c>
      <c r="L248" s="104">
        <f t="shared" si="88"/>
        <v>0</v>
      </c>
      <c r="M248" s="231" t="str">
        <f t="shared" si="94"/>
        <v/>
      </c>
      <c r="N248" s="232">
        <f t="shared" si="89"/>
        <v>0</v>
      </c>
      <c r="O248" s="233">
        <f>IF(N248=0,0,IF(SUM($N$5:N248)&gt;251,1,0))</f>
        <v>0</v>
      </c>
      <c r="P248" s="408">
        <v>24</v>
      </c>
      <c r="Q248" s="409">
        <v>1</v>
      </c>
      <c r="R248" s="236">
        <f>SUM(P219:P248)</f>
        <v>495</v>
      </c>
      <c r="S248" s="411" t="s">
        <v>672</v>
      </c>
      <c r="T248" s="225" t="s">
        <v>697</v>
      </c>
      <c r="U248" s="235" t="s">
        <v>698</v>
      </c>
      <c r="V248" s="414" t="s">
        <v>695</v>
      </c>
      <c r="W248" s="225" t="s">
        <v>697</v>
      </c>
      <c r="X248" s="235" t="s">
        <v>698</v>
      </c>
      <c r="Y248" s="414" t="s">
        <v>696</v>
      </c>
      <c r="Z248" s="225" t="s">
        <v>699</v>
      </c>
      <c r="AA248" s="235" t="s">
        <v>698</v>
      </c>
      <c r="AB248" s="414"/>
      <c r="AC248" s="225">
        <f t="shared" si="100"/>
        <v>0</v>
      </c>
      <c r="AD248" s="235">
        <f t="shared" si="95"/>
        <v>0</v>
      </c>
      <c r="AE248" s="414"/>
      <c r="AF248" s="225">
        <f t="shared" si="101"/>
        <v>0</v>
      </c>
      <c r="AG248" s="235">
        <f t="shared" si="96"/>
        <v>0</v>
      </c>
      <c r="AH248" s="414"/>
      <c r="AI248" s="225">
        <f t="shared" si="102"/>
        <v>0</v>
      </c>
      <c r="AJ248" s="235">
        <f t="shared" si="97"/>
        <v>0</v>
      </c>
      <c r="AK248" s="414"/>
      <c r="AL248" s="225">
        <f t="shared" si="103"/>
        <v>0</v>
      </c>
      <c r="AM248" s="235">
        <f t="shared" si="98"/>
        <v>0</v>
      </c>
      <c r="AN248" s="463" t="str">
        <f t="shared" si="90"/>
        <v/>
      </c>
      <c r="AO248" s="417" t="str">
        <f t="shared" si="91"/>
        <v/>
      </c>
      <c r="AP248" s="417" t="str">
        <f t="shared" si="92"/>
        <v/>
      </c>
      <c r="AQ248" s="417" t="str">
        <f t="shared" si="93"/>
        <v/>
      </c>
      <c r="AR248" s="416" t="str">
        <f t="shared" si="99"/>
        <v/>
      </c>
    </row>
    <row r="249" spans="1:44" ht="14.25">
      <c r="A249" s="829" t="s">
        <v>288</v>
      </c>
      <c r="B249" s="467" t="s">
        <v>248</v>
      </c>
      <c r="C249" s="468" t="s">
        <v>185</v>
      </c>
      <c r="D249" s="125" t="s">
        <v>24</v>
      </c>
      <c r="E249" s="126">
        <v>0.58333333333333337</v>
      </c>
      <c r="F249" s="126">
        <v>0.79166666666666663</v>
      </c>
      <c r="G249" s="207">
        <f t="shared" si="83"/>
        <v>0.20833333333333326</v>
      </c>
      <c r="H249" s="208">
        <f t="shared" si="84"/>
        <v>0</v>
      </c>
      <c r="I249" s="95">
        <f t="shared" si="85"/>
        <v>0</v>
      </c>
      <c r="J249" s="209">
        <f t="shared" si="86"/>
        <v>0</v>
      </c>
      <c r="K249" s="210">
        <f t="shared" si="87"/>
        <v>0</v>
      </c>
      <c r="L249" s="97">
        <f t="shared" si="88"/>
        <v>0</v>
      </c>
      <c r="M249" s="211" t="str">
        <f t="shared" si="94"/>
        <v/>
      </c>
      <c r="N249" s="212">
        <f t="shared" si="89"/>
        <v>0</v>
      </c>
      <c r="O249" s="213">
        <f>IF(N249=0,0,IF(SUM($N$5:N249)&gt;251,1,0))</f>
        <v>0</v>
      </c>
      <c r="P249" s="408">
        <v>4</v>
      </c>
      <c r="Q249" s="409">
        <v>0</v>
      </c>
      <c r="R249" s="214"/>
      <c r="S249" s="411" t="s">
        <v>672</v>
      </c>
      <c r="T249" s="225" t="s">
        <v>697</v>
      </c>
      <c r="U249" s="216" t="s">
        <v>698</v>
      </c>
      <c r="V249" s="412" t="s">
        <v>695</v>
      </c>
      <c r="W249" s="225" t="s">
        <v>697</v>
      </c>
      <c r="X249" s="216" t="s">
        <v>698</v>
      </c>
      <c r="Y249" s="412" t="s">
        <v>696</v>
      </c>
      <c r="Z249" s="225" t="s">
        <v>699</v>
      </c>
      <c r="AA249" s="216" t="s">
        <v>698</v>
      </c>
      <c r="AB249" s="412"/>
      <c r="AC249" s="225">
        <f t="shared" si="100"/>
        <v>0</v>
      </c>
      <c r="AD249" s="216">
        <f t="shared" si="95"/>
        <v>0</v>
      </c>
      <c r="AE249" s="412"/>
      <c r="AF249" s="225">
        <f t="shared" si="101"/>
        <v>0</v>
      </c>
      <c r="AG249" s="216">
        <f t="shared" si="96"/>
        <v>0</v>
      </c>
      <c r="AH249" s="412"/>
      <c r="AI249" s="225">
        <f t="shared" si="102"/>
        <v>0</v>
      </c>
      <c r="AJ249" s="216">
        <f t="shared" si="97"/>
        <v>0</v>
      </c>
      <c r="AK249" s="412"/>
      <c r="AL249" s="225">
        <f t="shared" si="103"/>
        <v>0</v>
      </c>
      <c r="AM249" s="216">
        <f t="shared" si="98"/>
        <v>0</v>
      </c>
      <c r="AN249" s="461" t="str">
        <f t="shared" si="90"/>
        <v/>
      </c>
      <c r="AO249" s="418" t="str">
        <f t="shared" si="91"/>
        <v/>
      </c>
      <c r="AP249" s="418" t="str">
        <f t="shared" si="92"/>
        <v/>
      </c>
      <c r="AQ249" s="415" t="str">
        <f t="shared" si="93"/>
        <v/>
      </c>
      <c r="AR249" s="416" t="str">
        <f t="shared" si="99"/>
        <v/>
      </c>
    </row>
    <row r="250" spans="1:44" ht="14.25">
      <c r="A250" s="830"/>
      <c r="B250" s="99" t="s">
        <v>250</v>
      </c>
      <c r="C250" s="466" t="s">
        <v>186</v>
      </c>
      <c r="D250" s="125" t="s">
        <v>249</v>
      </c>
      <c r="E250" s="126">
        <v>0.375</v>
      </c>
      <c r="F250" s="126">
        <v>0.75</v>
      </c>
      <c r="G250" s="217">
        <f t="shared" si="83"/>
        <v>0.375</v>
      </c>
      <c r="H250" s="218">
        <f t="shared" si="84"/>
        <v>0</v>
      </c>
      <c r="I250" s="96">
        <f t="shared" si="85"/>
        <v>0</v>
      </c>
      <c r="J250" s="219">
        <f t="shared" si="86"/>
        <v>0</v>
      </c>
      <c r="K250" s="220">
        <f t="shared" si="87"/>
        <v>4.1666666666666685E-2</v>
      </c>
      <c r="L250" s="100">
        <f t="shared" si="88"/>
        <v>1</v>
      </c>
      <c r="M250" s="221" t="str">
        <f t="shared" si="94"/>
        <v/>
      </c>
      <c r="N250" s="222">
        <f t="shared" si="89"/>
        <v>1</v>
      </c>
      <c r="O250" s="223">
        <f>IF(N250=0,0,IF(SUM($N$5:N250)&gt;251,1,0))</f>
        <v>0</v>
      </c>
      <c r="P250" s="408">
        <v>2</v>
      </c>
      <c r="Q250" s="409">
        <v>0</v>
      </c>
      <c r="R250" s="224"/>
      <c r="S250" s="411" t="s">
        <v>672</v>
      </c>
      <c r="T250" s="225" t="s">
        <v>697</v>
      </c>
      <c r="U250" s="226" t="s">
        <v>698</v>
      </c>
      <c r="V250" s="413" t="s">
        <v>695</v>
      </c>
      <c r="W250" s="225" t="s">
        <v>697</v>
      </c>
      <c r="X250" s="226" t="s">
        <v>698</v>
      </c>
      <c r="Y250" s="413" t="s">
        <v>696</v>
      </c>
      <c r="Z250" s="225" t="s">
        <v>699</v>
      </c>
      <c r="AA250" s="226" t="s">
        <v>698</v>
      </c>
      <c r="AB250" s="413"/>
      <c r="AC250" s="225">
        <f t="shared" si="100"/>
        <v>0</v>
      </c>
      <c r="AD250" s="226">
        <f t="shared" si="95"/>
        <v>0</v>
      </c>
      <c r="AE250" s="413"/>
      <c r="AF250" s="225">
        <f t="shared" si="101"/>
        <v>0</v>
      </c>
      <c r="AG250" s="226">
        <f t="shared" si="96"/>
        <v>0</v>
      </c>
      <c r="AH250" s="413"/>
      <c r="AI250" s="225">
        <f t="shared" si="102"/>
        <v>0</v>
      </c>
      <c r="AJ250" s="226">
        <f t="shared" si="97"/>
        <v>0</v>
      </c>
      <c r="AK250" s="413"/>
      <c r="AL250" s="225">
        <f t="shared" si="103"/>
        <v>0</v>
      </c>
      <c r="AM250" s="226">
        <f t="shared" si="98"/>
        <v>0</v>
      </c>
      <c r="AN250" s="462" t="str">
        <f t="shared" si="90"/>
        <v/>
      </c>
      <c r="AO250" s="416" t="str">
        <f t="shared" si="91"/>
        <v/>
      </c>
      <c r="AP250" s="416" t="str">
        <f t="shared" si="92"/>
        <v/>
      </c>
      <c r="AQ250" s="416" t="str">
        <f t="shared" si="93"/>
        <v/>
      </c>
      <c r="AR250" s="416" t="str">
        <f t="shared" si="99"/>
        <v/>
      </c>
    </row>
    <row r="251" spans="1:44" ht="14.25">
      <c r="A251" s="830"/>
      <c r="B251" s="99" t="s">
        <v>252</v>
      </c>
      <c r="C251" s="466" t="s">
        <v>262</v>
      </c>
      <c r="D251" s="125" t="s">
        <v>251</v>
      </c>
      <c r="E251" s="126"/>
      <c r="F251" s="126"/>
      <c r="G251" s="217">
        <f t="shared" si="83"/>
        <v>0</v>
      </c>
      <c r="H251" s="218">
        <f t="shared" si="84"/>
        <v>0</v>
      </c>
      <c r="I251" s="96">
        <f t="shared" si="85"/>
        <v>0</v>
      </c>
      <c r="J251" s="219">
        <f t="shared" si="86"/>
        <v>0</v>
      </c>
      <c r="K251" s="220">
        <f t="shared" si="87"/>
        <v>0</v>
      </c>
      <c r="L251" s="100">
        <f t="shared" si="88"/>
        <v>0</v>
      </c>
      <c r="M251" s="221" t="str">
        <f t="shared" si="94"/>
        <v/>
      </c>
      <c r="N251" s="222">
        <f t="shared" si="89"/>
        <v>0</v>
      </c>
      <c r="O251" s="223">
        <f>IF(N251=0,0,IF(SUM($N$5:N251)&gt;251,1,0))</f>
        <v>0</v>
      </c>
      <c r="P251" s="408"/>
      <c r="Q251" s="409"/>
      <c r="R251" s="224"/>
      <c r="S251" s="411"/>
      <c r="T251" s="225">
        <f t="shared" si="104"/>
        <v>0</v>
      </c>
      <c r="U251" s="226">
        <f t="shared" si="105"/>
        <v>0</v>
      </c>
      <c r="V251" s="413"/>
      <c r="W251" s="225">
        <f t="shared" si="106"/>
        <v>0</v>
      </c>
      <c r="X251" s="226">
        <f t="shared" si="107"/>
        <v>0</v>
      </c>
      <c r="Y251" s="413"/>
      <c r="Z251" s="225">
        <f t="shared" si="108"/>
        <v>0</v>
      </c>
      <c r="AA251" s="226">
        <f t="shared" si="109"/>
        <v>0</v>
      </c>
      <c r="AB251" s="413"/>
      <c r="AC251" s="225">
        <f t="shared" si="100"/>
        <v>0</v>
      </c>
      <c r="AD251" s="226">
        <f t="shared" si="95"/>
        <v>0</v>
      </c>
      <c r="AE251" s="413"/>
      <c r="AF251" s="225">
        <f t="shared" si="101"/>
        <v>0</v>
      </c>
      <c r="AG251" s="226">
        <f t="shared" si="96"/>
        <v>0</v>
      </c>
      <c r="AH251" s="413"/>
      <c r="AI251" s="225">
        <f t="shared" si="102"/>
        <v>0</v>
      </c>
      <c r="AJ251" s="226">
        <f t="shared" si="97"/>
        <v>0</v>
      </c>
      <c r="AK251" s="413"/>
      <c r="AL251" s="225">
        <f t="shared" si="103"/>
        <v>0</v>
      </c>
      <c r="AM251" s="226">
        <f t="shared" si="98"/>
        <v>0</v>
      </c>
      <c r="AN251" s="462" t="str">
        <f t="shared" si="90"/>
        <v/>
      </c>
      <c r="AO251" s="416" t="str">
        <f t="shared" si="91"/>
        <v/>
      </c>
      <c r="AP251" s="416" t="str">
        <f t="shared" si="92"/>
        <v/>
      </c>
      <c r="AQ251" s="416" t="str">
        <f t="shared" si="93"/>
        <v/>
      </c>
      <c r="AR251" s="416" t="str">
        <f t="shared" si="99"/>
        <v/>
      </c>
    </row>
    <row r="252" spans="1:44" ht="14.25">
      <c r="A252" s="830"/>
      <c r="B252" s="99" t="s">
        <v>254</v>
      </c>
      <c r="C252" s="466" t="s">
        <v>182</v>
      </c>
      <c r="D252" s="125" t="s">
        <v>24</v>
      </c>
      <c r="E252" s="126">
        <v>0.58333333333333337</v>
      </c>
      <c r="F252" s="126">
        <v>0.79166666666666663</v>
      </c>
      <c r="G252" s="217">
        <f t="shared" si="83"/>
        <v>0.20833333333333326</v>
      </c>
      <c r="H252" s="218">
        <f t="shared" si="84"/>
        <v>0</v>
      </c>
      <c r="I252" s="96">
        <f t="shared" si="85"/>
        <v>0</v>
      </c>
      <c r="J252" s="219">
        <f t="shared" si="86"/>
        <v>0</v>
      </c>
      <c r="K252" s="220">
        <f t="shared" si="87"/>
        <v>0</v>
      </c>
      <c r="L252" s="100">
        <f t="shared" si="88"/>
        <v>0</v>
      </c>
      <c r="M252" s="221" t="str">
        <f t="shared" si="94"/>
        <v/>
      </c>
      <c r="N252" s="222">
        <f t="shared" si="89"/>
        <v>0</v>
      </c>
      <c r="O252" s="223">
        <f>IF(N252=0,0,IF(SUM($N$5:N252)&gt;251,1,0))</f>
        <v>0</v>
      </c>
      <c r="P252" s="408">
        <v>25</v>
      </c>
      <c r="Q252" s="409">
        <v>0</v>
      </c>
      <c r="R252" s="224"/>
      <c r="S252" s="411" t="s">
        <v>672</v>
      </c>
      <c r="T252" s="225" t="s">
        <v>697</v>
      </c>
      <c r="U252" s="226" t="s">
        <v>698</v>
      </c>
      <c r="V252" s="413" t="s">
        <v>695</v>
      </c>
      <c r="W252" s="225" t="s">
        <v>697</v>
      </c>
      <c r="X252" s="226" t="s">
        <v>698</v>
      </c>
      <c r="Y252" s="413" t="s">
        <v>696</v>
      </c>
      <c r="Z252" s="225" t="s">
        <v>699</v>
      </c>
      <c r="AA252" s="226" t="s">
        <v>698</v>
      </c>
      <c r="AB252" s="413"/>
      <c r="AC252" s="225">
        <f t="shared" si="100"/>
        <v>0</v>
      </c>
      <c r="AD252" s="226">
        <f t="shared" si="95"/>
        <v>0</v>
      </c>
      <c r="AE252" s="413"/>
      <c r="AF252" s="225">
        <f t="shared" si="101"/>
        <v>0</v>
      </c>
      <c r="AG252" s="226">
        <f t="shared" si="96"/>
        <v>0</v>
      </c>
      <c r="AH252" s="413"/>
      <c r="AI252" s="225">
        <f t="shared" si="102"/>
        <v>0</v>
      </c>
      <c r="AJ252" s="226">
        <f t="shared" si="97"/>
        <v>0</v>
      </c>
      <c r="AK252" s="413"/>
      <c r="AL252" s="225">
        <f t="shared" si="103"/>
        <v>0</v>
      </c>
      <c r="AM252" s="226">
        <f t="shared" si="98"/>
        <v>0</v>
      </c>
      <c r="AN252" s="462" t="str">
        <f t="shared" si="90"/>
        <v/>
      </c>
      <c r="AO252" s="416" t="str">
        <f t="shared" si="91"/>
        <v/>
      </c>
      <c r="AP252" s="416" t="str">
        <f t="shared" si="92"/>
        <v/>
      </c>
      <c r="AQ252" s="416" t="str">
        <f t="shared" si="93"/>
        <v/>
      </c>
      <c r="AR252" s="416" t="str">
        <f t="shared" si="99"/>
        <v/>
      </c>
    </row>
    <row r="253" spans="1:44" ht="14.25">
      <c r="A253" s="830"/>
      <c r="B253" s="99" t="s">
        <v>255</v>
      </c>
      <c r="C253" s="466" t="s">
        <v>187</v>
      </c>
      <c r="D253" s="125" t="s">
        <v>24</v>
      </c>
      <c r="E253" s="126">
        <v>0.58333333333333337</v>
      </c>
      <c r="F253" s="126">
        <v>0.79166666666666663</v>
      </c>
      <c r="G253" s="217">
        <f t="shared" si="83"/>
        <v>0.20833333333333326</v>
      </c>
      <c r="H253" s="218">
        <f t="shared" si="84"/>
        <v>0</v>
      </c>
      <c r="I253" s="96">
        <f t="shared" si="85"/>
        <v>0</v>
      </c>
      <c r="J253" s="219">
        <f t="shared" si="86"/>
        <v>0</v>
      </c>
      <c r="K253" s="220">
        <f t="shared" si="87"/>
        <v>0</v>
      </c>
      <c r="L253" s="100">
        <f t="shared" si="88"/>
        <v>0</v>
      </c>
      <c r="M253" s="221" t="str">
        <f t="shared" si="94"/>
        <v/>
      </c>
      <c r="N253" s="222">
        <f t="shared" si="89"/>
        <v>0</v>
      </c>
      <c r="O253" s="223">
        <f>IF(N253=0,0,IF(SUM($N$5:N253)&gt;251,1,0))</f>
        <v>0</v>
      </c>
      <c r="P253" s="408">
        <v>25</v>
      </c>
      <c r="Q253" s="409">
        <v>1</v>
      </c>
      <c r="R253" s="224"/>
      <c r="S253" s="411" t="s">
        <v>672</v>
      </c>
      <c r="T253" s="225" t="s">
        <v>697</v>
      </c>
      <c r="U253" s="226" t="s">
        <v>698</v>
      </c>
      <c r="V253" s="413" t="s">
        <v>695</v>
      </c>
      <c r="W253" s="225" t="s">
        <v>697</v>
      </c>
      <c r="X253" s="226" t="s">
        <v>698</v>
      </c>
      <c r="Y253" s="413" t="s">
        <v>696</v>
      </c>
      <c r="Z253" s="225" t="s">
        <v>699</v>
      </c>
      <c r="AA253" s="226" t="s">
        <v>698</v>
      </c>
      <c r="AB253" s="413"/>
      <c r="AC253" s="225">
        <f t="shared" si="100"/>
        <v>0</v>
      </c>
      <c r="AD253" s="226">
        <f t="shared" si="95"/>
        <v>0</v>
      </c>
      <c r="AE253" s="413"/>
      <c r="AF253" s="225">
        <f t="shared" si="101"/>
        <v>0</v>
      </c>
      <c r="AG253" s="226">
        <f t="shared" si="96"/>
        <v>0</v>
      </c>
      <c r="AH253" s="413"/>
      <c r="AI253" s="225">
        <f t="shared" si="102"/>
        <v>0</v>
      </c>
      <c r="AJ253" s="226">
        <f t="shared" si="97"/>
        <v>0</v>
      </c>
      <c r="AK253" s="413"/>
      <c r="AL253" s="225">
        <f t="shared" si="103"/>
        <v>0</v>
      </c>
      <c r="AM253" s="226">
        <f t="shared" si="98"/>
        <v>0</v>
      </c>
      <c r="AN253" s="462" t="str">
        <f t="shared" si="90"/>
        <v/>
      </c>
      <c r="AO253" s="416" t="str">
        <f t="shared" si="91"/>
        <v/>
      </c>
      <c r="AP253" s="416" t="str">
        <f t="shared" si="92"/>
        <v/>
      </c>
      <c r="AQ253" s="416" t="str">
        <f t="shared" si="93"/>
        <v/>
      </c>
      <c r="AR253" s="416" t="str">
        <f t="shared" si="99"/>
        <v/>
      </c>
    </row>
    <row r="254" spans="1:44" ht="14.25">
      <c r="A254" s="830"/>
      <c r="B254" s="99" t="s">
        <v>256</v>
      </c>
      <c r="C254" s="466" t="s">
        <v>183</v>
      </c>
      <c r="D254" s="125" t="s">
        <v>24</v>
      </c>
      <c r="E254" s="126">
        <v>0.58333333333333337</v>
      </c>
      <c r="F254" s="126">
        <v>0.79166666666666663</v>
      </c>
      <c r="G254" s="217">
        <f t="shared" si="83"/>
        <v>0.20833333333333326</v>
      </c>
      <c r="H254" s="218">
        <f t="shared" si="84"/>
        <v>0</v>
      </c>
      <c r="I254" s="96">
        <f t="shared" si="85"/>
        <v>0</v>
      </c>
      <c r="J254" s="219">
        <f t="shared" si="86"/>
        <v>0</v>
      </c>
      <c r="K254" s="220">
        <f t="shared" si="87"/>
        <v>0</v>
      </c>
      <c r="L254" s="100">
        <f t="shared" si="88"/>
        <v>0</v>
      </c>
      <c r="M254" s="221" t="str">
        <f t="shared" si="94"/>
        <v/>
      </c>
      <c r="N254" s="222">
        <f t="shared" si="89"/>
        <v>0</v>
      </c>
      <c r="O254" s="223">
        <f>IF(N254=0,0,IF(SUM($N$5:N254)&gt;251,1,0))</f>
        <v>0</v>
      </c>
      <c r="P254" s="408">
        <v>25</v>
      </c>
      <c r="Q254" s="409">
        <v>0</v>
      </c>
      <c r="R254" s="224"/>
      <c r="S254" s="411" t="s">
        <v>672</v>
      </c>
      <c r="T254" s="225" t="s">
        <v>697</v>
      </c>
      <c r="U254" s="226" t="s">
        <v>698</v>
      </c>
      <c r="V254" s="413" t="s">
        <v>695</v>
      </c>
      <c r="W254" s="225" t="s">
        <v>697</v>
      </c>
      <c r="X254" s="226" t="s">
        <v>698</v>
      </c>
      <c r="Y254" s="413" t="s">
        <v>696</v>
      </c>
      <c r="Z254" s="225" t="s">
        <v>699</v>
      </c>
      <c r="AA254" s="226" t="s">
        <v>698</v>
      </c>
      <c r="AB254" s="413"/>
      <c r="AC254" s="225">
        <f t="shared" si="100"/>
        <v>0</v>
      </c>
      <c r="AD254" s="226">
        <f t="shared" si="95"/>
        <v>0</v>
      </c>
      <c r="AE254" s="413"/>
      <c r="AF254" s="225">
        <f t="shared" si="101"/>
        <v>0</v>
      </c>
      <c r="AG254" s="226">
        <f t="shared" si="96"/>
        <v>0</v>
      </c>
      <c r="AH254" s="413"/>
      <c r="AI254" s="225">
        <f t="shared" si="102"/>
        <v>0</v>
      </c>
      <c r="AJ254" s="226">
        <f t="shared" si="97"/>
        <v>0</v>
      </c>
      <c r="AK254" s="413"/>
      <c r="AL254" s="225">
        <f t="shared" si="103"/>
        <v>0</v>
      </c>
      <c r="AM254" s="226">
        <f t="shared" si="98"/>
        <v>0</v>
      </c>
      <c r="AN254" s="462" t="str">
        <f t="shared" si="90"/>
        <v/>
      </c>
      <c r="AO254" s="416" t="str">
        <f t="shared" si="91"/>
        <v/>
      </c>
      <c r="AP254" s="416" t="str">
        <f t="shared" si="92"/>
        <v/>
      </c>
      <c r="AQ254" s="416" t="str">
        <f t="shared" si="93"/>
        <v/>
      </c>
      <c r="AR254" s="416" t="str">
        <f t="shared" si="99"/>
        <v/>
      </c>
    </row>
    <row r="255" spans="1:44" ht="14.25">
      <c r="A255" s="830"/>
      <c r="B255" s="99" t="s">
        <v>257</v>
      </c>
      <c r="C255" s="466" t="s">
        <v>184</v>
      </c>
      <c r="D255" s="125" t="s">
        <v>24</v>
      </c>
      <c r="E255" s="126">
        <v>0.58333333333333337</v>
      </c>
      <c r="F255" s="126">
        <v>0.79166666666666663</v>
      </c>
      <c r="G255" s="217">
        <f t="shared" si="83"/>
        <v>0.20833333333333326</v>
      </c>
      <c r="H255" s="218">
        <f t="shared" si="84"/>
        <v>0</v>
      </c>
      <c r="I255" s="96">
        <f t="shared" si="85"/>
        <v>0</v>
      </c>
      <c r="J255" s="219">
        <f t="shared" si="86"/>
        <v>0</v>
      </c>
      <c r="K255" s="220">
        <f t="shared" si="87"/>
        <v>0</v>
      </c>
      <c r="L255" s="100">
        <f t="shared" si="88"/>
        <v>0</v>
      </c>
      <c r="M255" s="221" t="str">
        <f t="shared" si="94"/>
        <v/>
      </c>
      <c r="N255" s="222">
        <f t="shared" si="89"/>
        <v>0</v>
      </c>
      <c r="O255" s="223">
        <f>IF(N255=0,0,IF(SUM($N$5:N255)&gt;251,1,0))</f>
        <v>0</v>
      </c>
      <c r="P255" s="408">
        <v>24</v>
      </c>
      <c r="Q255" s="409">
        <v>1</v>
      </c>
      <c r="R255" s="224"/>
      <c r="S255" s="411" t="s">
        <v>672</v>
      </c>
      <c r="T255" s="225" t="s">
        <v>697</v>
      </c>
      <c r="U255" s="226" t="s">
        <v>698</v>
      </c>
      <c r="V255" s="413" t="s">
        <v>695</v>
      </c>
      <c r="W255" s="225" t="s">
        <v>697</v>
      </c>
      <c r="X255" s="226" t="s">
        <v>698</v>
      </c>
      <c r="Y255" s="413" t="s">
        <v>696</v>
      </c>
      <c r="Z255" s="225" t="s">
        <v>699</v>
      </c>
      <c r="AA255" s="226" t="s">
        <v>698</v>
      </c>
      <c r="AB255" s="413"/>
      <c r="AC255" s="225">
        <f t="shared" si="100"/>
        <v>0</v>
      </c>
      <c r="AD255" s="226">
        <f t="shared" si="95"/>
        <v>0</v>
      </c>
      <c r="AE255" s="413"/>
      <c r="AF255" s="225">
        <f t="shared" si="101"/>
        <v>0</v>
      </c>
      <c r="AG255" s="226">
        <f t="shared" si="96"/>
        <v>0</v>
      </c>
      <c r="AH255" s="413"/>
      <c r="AI255" s="225">
        <f t="shared" si="102"/>
        <v>0</v>
      </c>
      <c r="AJ255" s="226">
        <f t="shared" si="97"/>
        <v>0</v>
      </c>
      <c r="AK255" s="413"/>
      <c r="AL255" s="225">
        <f t="shared" si="103"/>
        <v>0</v>
      </c>
      <c r="AM255" s="226">
        <f t="shared" si="98"/>
        <v>0</v>
      </c>
      <c r="AN255" s="462" t="str">
        <f t="shared" si="90"/>
        <v/>
      </c>
      <c r="AO255" s="416" t="str">
        <f t="shared" si="91"/>
        <v/>
      </c>
      <c r="AP255" s="416" t="str">
        <f t="shared" si="92"/>
        <v/>
      </c>
      <c r="AQ255" s="416" t="str">
        <f t="shared" si="93"/>
        <v/>
      </c>
      <c r="AR255" s="416" t="str">
        <f t="shared" si="99"/>
        <v/>
      </c>
    </row>
    <row r="256" spans="1:44" ht="14.25">
      <c r="A256" s="830"/>
      <c r="B256" s="99" t="s">
        <v>258</v>
      </c>
      <c r="C256" s="466" t="s">
        <v>185</v>
      </c>
      <c r="D256" s="125" t="s">
        <v>24</v>
      </c>
      <c r="E256" s="126">
        <v>0.58333333333333337</v>
      </c>
      <c r="F256" s="126">
        <v>0.79166666666666663</v>
      </c>
      <c r="G256" s="217">
        <f t="shared" si="83"/>
        <v>0.20833333333333326</v>
      </c>
      <c r="H256" s="218">
        <f t="shared" si="84"/>
        <v>0</v>
      </c>
      <c r="I256" s="96">
        <f t="shared" si="85"/>
        <v>0</v>
      </c>
      <c r="J256" s="219">
        <f t="shared" si="86"/>
        <v>0</v>
      </c>
      <c r="K256" s="220">
        <f t="shared" si="87"/>
        <v>0</v>
      </c>
      <c r="L256" s="100">
        <f t="shared" si="88"/>
        <v>0</v>
      </c>
      <c r="M256" s="221" t="str">
        <f t="shared" si="94"/>
        <v/>
      </c>
      <c r="N256" s="222">
        <f t="shared" si="89"/>
        <v>0</v>
      </c>
      <c r="O256" s="223">
        <f>IF(N256=0,0,IF(SUM($N$5:N256)&gt;251,1,0))</f>
        <v>0</v>
      </c>
      <c r="P256" s="408">
        <v>19</v>
      </c>
      <c r="Q256" s="409">
        <v>1</v>
      </c>
      <c r="R256" s="224"/>
      <c r="S256" s="411" t="s">
        <v>672</v>
      </c>
      <c r="T256" s="225" t="s">
        <v>697</v>
      </c>
      <c r="U256" s="226" t="s">
        <v>698</v>
      </c>
      <c r="V256" s="413" t="s">
        <v>695</v>
      </c>
      <c r="W256" s="225" t="s">
        <v>697</v>
      </c>
      <c r="X256" s="226" t="s">
        <v>698</v>
      </c>
      <c r="Y256" s="413" t="s">
        <v>696</v>
      </c>
      <c r="Z256" s="225" t="s">
        <v>699</v>
      </c>
      <c r="AA256" s="226" t="s">
        <v>698</v>
      </c>
      <c r="AB256" s="413"/>
      <c r="AC256" s="225">
        <f t="shared" si="100"/>
        <v>0</v>
      </c>
      <c r="AD256" s="226">
        <f t="shared" si="95"/>
        <v>0</v>
      </c>
      <c r="AE256" s="413"/>
      <c r="AF256" s="225">
        <f t="shared" si="101"/>
        <v>0</v>
      </c>
      <c r="AG256" s="226">
        <f t="shared" si="96"/>
        <v>0</v>
      </c>
      <c r="AH256" s="413"/>
      <c r="AI256" s="225">
        <f t="shared" si="102"/>
        <v>0</v>
      </c>
      <c r="AJ256" s="226">
        <f t="shared" si="97"/>
        <v>0</v>
      </c>
      <c r="AK256" s="413"/>
      <c r="AL256" s="225">
        <f t="shared" si="103"/>
        <v>0</v>
      </c>
      <c r="AM256" s="226">
        <f t="shared" si="98"/>
        <v>0</v>
      </c>
      <c r="AN256" s="462" t="str">
        <f t="shared" si="90"/>
        <v/>
      </c>
      <c r="AO256" s="416" t="str">
        <f t="shared" si="91"/>
        <v/>
      </c>
      <c r="AP256" s="416" t="str">
        <f t="shared" si="92"/>
        <v/>
      </c>
      <c r="AQ256" s="416" t="str">
        <f t="shared" si="93"/>
        <v/>
      </c>
      <c r="AR256" s="416" t="str">
        <f t="shared" si="99"/>
        <v/>
      </c>
    </row>
    <row r="257" spans="1:44" ht="14.25">
      <c r="A257" s="830"/>
      <c r="B257" s="99" t="s">
        <v>259</v>
      </c>
      <c r="C257" s="466" t="s">
        <v>186</v>
      </c>
      <c r="D257" s="125" t="s">
        <v>249</v>
      </c>
      <c r="E257" s="126">
        <v>0.375</v>
      </c>
      <c r="F257" s="126">
        <v>0.75</v>
      </c>
      <c r="G257" s="217">
        <f t="shared" si="83"/>
        <v>0.375</v>
      </c>
      <c r="H257" s="218">
        <f t="shared" si="84"/>
        <v>0</v>
      </c>
      <c r="I257" s="96">
        <f t="shared" si="85"/>
        <v>0</v>
      </c>
      <c r="J257" s="219">
        <f t="shared" si="86"/>
        <v>0</v>
      </c>
      <c r="K257" s="220">
        <f t="shared" si="87"/>
        <v>4.1666666666666685E-2</v>
      </c>
      <c r="L257" s="100">
        <f t="shared" si="88"/>
        <v>1</v>
      </c>
      <c r="M257" s="221" t="str">
        <f t="shared" si="94"/>
        <v/>
      </c>
      <c r="N257" s="222">
        <f t="shared" si="89"/>
        <v>1</v>
      </c>
      <c r="O257" s="223">
        <f>IF(N257=0,0,IF(SUM($N$5:N257)&gt;251,1,0))</f>
        <v>0</v>
      </c>
      <c r="P257" s="408">
        <v>1</v>
      </c>
      <c r="Q257" s="409">
        <v>0</v>
      </c>
      <c r="R257" s="224"/>
      <c r="S257" s="411" t="s">
        <v>672</v>
      </c>
      <c r="T257" s="225" t="s">
        <v>697</v>
      </c>
      <c r="U257" s="226" t="s">
        <v>698</v>
      </c>
      <c r="V257" s="413" t="s">
        <v>695</v>
      </c>
      <c r="W257" s="225" t="s">
        <v>697</v>
      </c>
      <c r="X257" s="226" t="s">
        <v>698</v>
      </c>
      <c r="Y257" s="413" t="s">
        <v>696</v>
      </c>
      <c r="Z257" s="225" t="s">
        <v>699</v>
      </c>
      <c r="AA257" s="226" t="s">
        <v>698</v>
      </c>
      <c r="AB257" s="413"/>
      <c r="AC257" s="225">
        <f t="shared" si="100"/>
        <v>0</v>
      </c>
      <c r="AD257" s="226">
        <f t="shared" si="95"/>
        <v>0</v>
      </c>
      <c r="AE257" s="413"/>
      <c r="AF257" s="225">
        <f t="shared" si="101"/>
        <v>0</v>
      </c>
      <c r="AG257" s="226">
        <f t="shared" si="96"/>
        <v>0</v>
      </c>
      <c r="AH257" s="413"/>
      <c r="AI257" s="225">
        <f t="shared" si="102"/>
        <v>0</v>
      </c>
      <c r="AJ257" s="226">
        <f t="shared" si="97"/>
        <v>0</v>
      </c>
      <c r="AK257" s="413"/>
      <c r="AL257" s="225">
        <f t="shared" si="103"/>
        <v>0</v>
      </c>
      <c r="AM257" s="226">
        <f t="shared" si="98"/>
        <v>0</v>
      </c>
      <c r="AN257" s="462" t="str">
        <f t="shared" si="90"/>
        <v/>
      </c>
      <c r="AO257" s="416" t="str">
        <f t="shared" si="91"/>
        <v/>
      </c>
      <c r="AP257" s="416" t="str">
        <f t="shared" si="92"/>
        <v/>
      </c>
      <c r="AQ257" s="416" t="str">
        <f t="shared" si="93"/>
        <v/>
      </c>
      <c r="AR257" s="416" t="str">
        <f t="shared" si="99"/>
        <v/>
      </c>
    </row>
    <row r="258" spans="1:44" ht="14.25">
      <c r="A258" s="830"/>
      <c r="B258" s="99" t="s">
        <v>260</v>
      </c>
      <c r="C258" s="466" t="s">
        <v>262</v>
      </c>
      <c r="D258" s="125" t="s">
        <v>251</v>
      </c>
      <c r="E258" s="126"/>
      <c r="F258" s="126"/>
      <c r="G258" s="217">
        <f t="shared" si="83"/>
        <v>0</v>
      </c>
      <c r="H258" s="218">
        <f t="shared" si="84"/>
        <v>0</v>
      </c>
      <c r="I258" s="96">
        <f t="shared" si="85"/>
        <v>0</v>
      </c>
      <c r="J258" s="219">
        <f t="shared" si="86"/>
        <v>0</v>
      </c>
      <c r="K258" s="220">
        <f t="shared" si="87"/>
        <v>0</v>
      </c>
      <c r="L258" s="100">
        <f t="shared" si="88"/>
        <v>0</v>
      </c>
      <c r="M258" s="221" t="str">
        <f t="shared" si="94"/>
        <v/>
      </c>
      <c r="N258" s="222">
        <f t="shared" si="89"/>
        <v>0</v>
      </c>
      <c r="O258" s="223">
        <f>IF(N258=0,0,IF(SUM($N$5:N258)&gt;251,1,0))</f>
        <v>0</v>
      </c>
      <c r="P258" s="408"/>
      <c r="Q258" s="409"/>
      <c r="R258" s="224"/>
      <c r="S258" s="411"/>
      <c r="T258" s="225">
        <f t="shared" si="104"/>
        <v>0</v>
      </c>
      <c r="U258" s="226">
        <f t="shared" si="105"/>
        <v>0</v>
      </c>
      <c r="V258" s="413"/>
      <c r="W258" s="225">
        <f t="shared" si="106"/>
        <v>0</v>
      </c>
      <c r="X258" s="226">
        <f t="shared" si="107"/>
        <v>0</v>
      </c>
      <c r="Y258" s="413"/>
      <c r="Z258" s="225">
        <f t="shared" si="108"/>
        <v>0</v>
      </c>
      <c r="AA258" s="226">
        <f t="shared" si="109"/>
        <v>0</v>
      </c>
      <c r="AB258" s="413"/>
      <c r="AC258" s="225">
        <f t="shared" si="100"/>
        <v>0</v>
      </c>
      <c r="AD258" s="226">
        <f t="shared" si="95"/>
        <v>0</v>
      </c>
      <c r="AE258" s="413"/>
      <c r="AF258" s="225">
        <f t="shared" si="101"/>
        <v>0</v>
      </c>
      <c r="AG258" s="226">
        <f t="shared" si="96"/>
        <v>0</v>
      </c>
      <c r="AH258" s="413"/>
      <c r="AI258" s="225">
        <f t="shared" si="102"/>
        <v>0</v>
      </c>
      <c r="AJ258" s="226">
        <f t="shared" si="97"/>
        <v>0</v>
      </c>
      <c r="AK258" s="413"/>
      <c r="AL258" s="225">
        <f t="shared" si="103"/>
        <v>0</v>
      </c>
      <c r="AM258" s="226">
        <f t="shared" si="98"/>
        <v>0</v>
      </c>
      <c r="AN258" s="462" t="str">
        <f t="shared" si="90"/>
        <v/>
      </c>
      <c r="AO258" s="416" t="str">
        <f t="shared" si="91"/>
        <v/>
      </c>
      <c r="AP258" s="416" t="str">
        <f t="shared" si="92"/>
        <v/>
      </c>
      <c r="AQ258" s="416" t="str">
        <f t="shared" si="93"/>
        <v/>
      </c>
      <c r="AR258" s="416" t="str">
        <f t="shared" si="99"/>
        <v/>
      </c>
    </row>
    <row r="259" spans="1:44" ht="14.25">
      <c r="A259" s="830"/>
      <c r="B259" s="99" t="s">
        <v>261</v>
      </c>
      <c r="C259" s="466" t="s">
        <v>182</v>
      </c>
      <c r="D259" s="125" t="s">
        <v>24</v>
      </c>
      <c r="E259" s="126">
        <v>0.58333333333333337</v>
      </c>
      <c r="F259" s="126">
        <v>0.79166666666666663</v>
      </c>
      <c r="G259" s="217">
        <f t="shared" si="83"/>
        <v>0.20833333333333326</v>
      </c>
      <c r="H259" s="218">
        <f t="shared" si="84"/>
        <v>0</v>
      </c>
      <c r="I259" s="96">
        <f t="shared" si="85"/>
        <v>0</v>
      </c>
      <c r="J259" s="219">
        <f t="shared" si="86"/>
        <v>0</v>
      </c>
      <c r="K259" s="220">
        <f t="shared" si="87"/>
        <v>0</v>
      </c>
      <c r="L259" s="100">
        <f t="shared" si="88"/>
        <v>0</v>
      </c>
      <c r="M259" s="221" t="str">
        <f t="shared" si="94"/>
        <v/>
      </c>
      <c r="N259" s="222">
        <f t="shared" si="89"/>
        <v>0</v>
      </c>
      <c r="O259" s="223">
        <f>IF(N259=0,0,IF(SUM($N$5:N259)&gt;251,1,0))</f>
        <v>0</v>
      </c>
      <c r="P259" s="408">
        <v>20</v>
      </c>
      <c r="Q259" s="409">
        <v>0</v>
      </c>
      <c r="R259" s="224"/>
      <c r="S259" s="411" t="s">
        <v>672</v>
      </c>
      <c r="T259" s="225" t="s">
        <v>697</v>
      </c>
      <c r="U259" s="226" t="s">
        <v>698</v>
      </c>
      <c r="V259" s="413" t="s">
        <v>695</v>
      </c>
      <c r="W259" s="225" t="s">
        <v>697</v>
      </c>
      <c r="X259" s="226" t="s">
        <v>698</v>
      </c>
      <c r="Y259" s="413" t="s">
        <v>696</v>
      </c>
      <c r="Z259" s="225" t="s">
        <v>699</v>
      </c>
      <c r="AA259" s="226" t="s">
        <v>698</v>
      </c>
      <c r="AB259" s="413"/>
      <c r="AC259" s="225">
        <f t="shared" si="100"/>
        <v>0</v>
      </c>
      <c r="AD259" s="226">
        <f t="shared" si="95"/>
        <v>0</v>
      </c>
      <c r="AE259" s="413"/>
      <c r="AF259" s="225">
        <f t="shared" si="101"/>
        <v>0</v>
      </c>
      <c r="AG259" s="226">
        <f t="shared" si="96"/>
        <v>0</v>
      </c>
      <c r="AH259" s="413"/>
      <c r="AI259" s="225">
        <f t="shared" si="102"/>
        <v>0</v>
      </c>
      <c r="AJ259" s="226">
        <f t="shared" si="97"/>
        <v>0</v>
      </c>
      <c r="AK259" s="413"/>
      <c r="AL259" s="225">
        <f t="shared" si="103"/>
        <v>0</v>
      </c>
      <c r="AM259" s="226">
        <f t="shared" si="98"/>
        <v>0</v>
      </c>
      <c r="AN259" s="462" t="str">
        <f t="shared" si="90"/>
        <v/>
      </c>
      <c r="AO259" s="416" t="str">
        <f t="shared" si="91"/>
        <v/>
      </c>
      <c r="AP259" s="416" t="str">
        <f t="shared" si="92"/>
        <v/>
      </c>
      <c r="AQ259" s="416" t="str">
        <f t="shared" si="93"/>
        <v/>
      </c>
      <c r="AR259" s="416" t="str">
        <f t="shared" si="99"/>
        <v/>
      </c>
    </row>
    <row r="260" spans="1:44" ht="14.25">
      <c r="A260" s="830"/>
      <c r="B260" s="99" t="s">
        <v>263</v>
      </c>
      <c r="C260" s="466" t="s">
        <v>187</v>
      </c>
      <c r="D260" s="125" t="s">
        <v>24</v>
      </c>
      <c r="E260" s="126">
        <v>0.58333333333333337</v>
      </c>
      <c r="F260" s="126">
        <v>0.79166666666666663</v>
      </c>
      <c r="G260" s="217">
        <f t="shared" si="83"/>
        <v>0.20833333333333326</v>
      </c>
      <c r="H260" s="218">
        <f t="shared" si="84"/>
        <v>0</v>
      </c>
      <c r="I260" s="96">
        <f t="shared" si="85"/>
        <v>0</v>
      </c>
      <c r="J260" s="219">
        <f t="shared" si="86"/>
        <v>0</v>
      </c>
      <c r="K260" s="220">
        <f t="shared" si="87"/>
        <v>0</v>
      </c>
      <c r="L260" s="100">
        <f t="shared" si="88"/>
        <v>0</v>
      </c>
      <c r="M260" s="221" t="str">
        <f t="shared" si="94"/>
        <v/>
      </c>
      <c r="N260" s="222">
        <f t="shared" si="89"/>
        <v>0</v>
      </c>
      <c r="O260" s="223">
        <f>IF(N260=0,0,IF(SUM($N$5:N260)&gt;251,1,0))</f>
        <v>0</v>
      </c>
      <c r="P260" s="408">
        <v>23</v>
      </c>
      <c r="Q260" s="409">
        <v>0</v>
      </c>
      <c r="R260" s="224"/>
      <c r="S260" s="411" t="s">
        <v>672</v>
      </c>
      <c r="T260" s="225" t="s">
        <v>697</v>
      </c>
      <c r="U260" s="226" t="s">
        <v>698</v>
      </c>
      <c r="V260" s="413" t="s">
        <v>695</v>
      </c>
      <c r="W260" s="225" t="s">
        <v>697</v>
      </c>
      <c r="X260" s="226" t="s">
        <v>698</v>
      </c>
      <c r="Y260" s="413" t="s">
        <v>696</v>
      </c>
      <c r="Z260" s="225" t="s">
        <v>699</v>
      </c>
      <c r="AA260" s="226" t="s">
        <v>698</v>
      </c>
      <c r="AB260" s="413"/>
      <c r="AC260" s="225">
        <f t="shared" si="100"/>
        <v>0</v>
      </c>
      <c r="AD260" s="226">
        <f t="shared" si="95"/>
        <v>0</v>
      </c>
      <c r="AE260" s="413"/>
      <c r="AF260" s="225">
        <f t="shared" si="101"/>
        <v>0</v>
      </c>
      <c r="AG260" s="226">
        <f t="shared" si="96"/>
        <v>0</v>
      </c>
      <c r="AH260" s="413"/>
      <c r="AI260" s="225">
        <f t="shared" si="102"/>
        <v>0</v>
      </c>
      <c r="AJ260" s="226">
        <f t="shared" si="97"/>
        <v>0</v>
      </c>
      <c r="AK260" s="413"/>
      <c r="AL260" s="225">
        <f t="shared" si="103"/>
        <v>0</v>
      </c>
      <c r="AM260" s="226">
        <f t="shared" si="98"/>
        <v>0</v>
      </c>
      <c r="AN260" s="462" t="str">
        <f t="shared" si="90"/>
        <v/>
      </c>
      <c r="AO260" s="416" t="str">
        <f t="shared" si="91"/>
        <v/>
      </c>
      <c r="AP260" s="416" t="str">
        <f t="shared" si="92"/>
        <v/>
      </c>
      <c r="AQ260" s="416" t="str">
        <f t="shared" si="93"/>
        <v/>
      </c>
      <c r="AR260" s="416" t="str">
        <f t="shared" si="99"/>
        <v/>
      </c>
    </row>
    <row r="261" spans="1:44" ht="14.25">
      <c r="A261" s="830"/>
      <c r="B261" s="99" t="s">
        <v>264</v>
      </c>
      <c r="C261" s="466" t="s">
        <v>183</v>
      </c>
      <c r="D261" s="125" t="s">
        <v>24</v>
      </c>
      <c r="E261" s="126">
        <v>0.58333333333333337</v>
      </c>
      <c r="F261" s="126">
        <v>0.79166666666666663</v>
      </c>
      <c r="G261" s="217">
        <f t="shared" ref="G261:G324" si="110">F261-E261</f>
        <v>0.20833333333333326</v>
      </c>
      <c r="H261" s="218">
        <f t="shared" ref="H261:H324" si="111">IF(D261="平日",IF(E261+TIME(6,0,0)&lt;TIME(17,59,59),F261-TIME(18,0,0),0),0)</f>
        <v>0</v>
      </c>
      <c r="I261" s="96">
        <f t="shared" ref="I261:I324" si="112">IF(D261="平日",IF(E261+TIME(6,0,0)&gt;TIME(17,59,59),MAX(F261-(E261+TIME(6,0,0)),0),0),0)</f>
        <v>0</v>
      </c>
      <c r="J261" s="219">
        <f t="shared" ref="J261:J324" si="113">IF(AND(H261=0,I261=0),0,1)</f>
        <v>0</v>
      </c>
      <c r="K261" s="220">
        <f t="shared" ref="K261:K324" si="114">IF(D261="土・日・祝・長期休暇",MAX(G261-TIME(8,0,0),0),0)</f>
        <v>0</v>
      </c>
      <c r="L261" s="100">
        <f t="shared" ref="L261:L324" si="115">IF(K261&gt;=TIME(0,0,1),1,0)</f>
        <v>0</v>
      </c>
      <c r="M261" s="221" t="str">
        <f t="shared" si="94"/>
        <v/>
      </c>
      <c r="N261" s="222">
        <f t="shared" ref="N261:N324" si="116">IF(OR(D261="休所",D261="",D261="平日：開所とみなす閉所"),0,IF(OR(G261-TIME(7,59,59)&gt;0,D261="土日祝長期：開所とみなす閉所"),1,0))</f>
        <v>0</v>
      </c>
      <c r="O261" s="223">
        <f>IF(N261=0,0,IF(SUM($N$5:N261)&gt;251,1,0))</f>
        <v>0</v>
      </c>
      <c r="P261" s="408">
        <v>29</v>
      </c>
      <c r="Q261" s="409">
        <v>1</v>
      </c>
      <c r="R261" s="224"/>
      <c r="S261" s="411" t="s">
        <v>672</v>
      </c>
      <c r="T261" s="225" t="s">
        <v>697</v>
      </c>
      <c r="U261" s="226" t="s">
        <v>698</v>
      </c>
      <c r="V261" s="413" t="s">
        <v>695</v>
      </c>
      <c r="W261" s="225" t="s">
        <v>697</v>
      </c>
      <c r="X261" s="226" t="s">
        <v>698</v>
      </c>
      <c r="Y261" s="413" t="s">
        <v>696</v>
      </c>
      <c r="Z261" s="225" t="s">
        <v>699</v>
      </c>
      <c r="AA261" s="226" t="s">
        <v>698</v>
      </c>
      <c r="AB261" s="413"/>
      <c r="AC261" s="225">
        <f t="shared" si="100"/>
        <v>0</v>
      </c>
      <c r="AD261" s="226">
        <f t="shared" si="95"/>
        <v>0</v>
      </c>
      <c r="AE261" s="413"/>
      <c r="AF261" s="225">
        <f t="shared" si="101"/>
        <v>0</v>
      </c>
      <c r="AG261" s="226">
        <f t="shared" si="96"/>
        <v>0</v>
      </c>
      <c r="AH261" s="413"/>
      <c r="AI261" s="225">
        <f t="shared" si="102"/>
        <v>0</v>
      </c>
      <c r="AJ261" s="226">
        <f t="shared" si="97"/>
        <v>0</v>
      </c>
      <c r="AK261" s="413"/>
      <c r="AL261" s="225">
        <f t="shared" si="103"/>
        <v>0</v>
      </c>
      <c r="AM261" s="226">
        <f t="shared" si="98"/>
        <v>0</v>
      </c>
      <c r="AN261" s="462" t="str">
        <f t="shared" ref="AN261:AN324" si="117">IF(OR(D261=$AS$6,D261=$AS$7,D261=$AS$8,D261=""),"",IF(COUNTIF(S261:AL261,"支援員")&gt;0,"","支援員がいません！"))</f>
        <v/>
      </c>
      <c r="AO261" s="416" t="str">
        <f t="shared" ref="AO261:AO324" si="118">IF(OR(D261=$AS$6,D261=$AS$7,D261=$AS$8),"",IF(Q261&gt;0,IF(COUNTIF(S261:AM261,"対象")&gt;0,"","障害児加配対象職員がいません"),""))</f>
        <v/>
      </c>
      <c r="AP261" s="416" t="str">
        <f t="shared" ref="AP261:AP324" si="119">IF(OR(D261=$AS$6,D261=$AS$7,D261=$AS$8),"",IF(Q261&gt;0,IF(COUNTA(S261:AM261)&gt;16,"","障害児加配の場合は３名以上の配置"),""))</f>
        <v/>
      </c>
      <c r="AQ261" s="416" t="str">
        <f t="shared" ref="AQ261:AQ324" si="120">IF(OR(D261=$AS$6,D261=$AQS263,D261=$AS$8),"",IF(Q261&gt;2,IF(COUNTIF(S261:AM261,"対象")&gt;1,IF(AB261&lt;&gt;"","","障害児3人以上の場合は４名以上の配置")),""))</f>
        <v/>
      </c>
      <c r="AR261" s="416" t="str">
        <f t="shared" si="99"/>
        <v/>
      </c>
    </row>
    <row r="262" spans="1:44" ht="14.25">
      <c r="A262" s="830"/>
      <c r="B262" s="99" t="s">
        <v>265</v>
      </c>
      <c r="C262" s="466" t="s">
        <v>184</v>
      </c>
      <c r="D262" s="125" t="s">
        <v>24</v>
      </c>
      <c r="E262" s="126">
        <v>0.58333333333333337</v>
      </c>
      <c r="F262" s="126">
        <v>0.79166666666666663</v>
      </c>
      <c r="G262" s="217">
        <f t="shared" si="110"/>
        <v>0.20833333333333326</v>
      </c>
      <c r="H262" s="218">
        <f t="shared" si="111"/>
        <v>0</v>
      </c>
      <c r="I262" s="96">
        <f t="shared" si="112"/>
        <v>0</v>
      </c>
      <c r="J262" s="219">
        <f t="shared" si="113"/>
        <v>0</v>
      </c>
      <c r="K262" s="220">
        <f t="shared" si="114"/>
        <v>0</v>
      </c>
      <c r="L262" s="100">
        <f t="shared" si="115"/>
        <v>0</v>
      </c>
      <c r="M262" s="221" t="str">
        <f t="shared" ref="M262:M325" si="121">IF(D262="休所",IF(E262&lt;&gt;"","入力にエラーがあります",""),"")</f>
        <v/>
      </c>
      <c r="N262" s="222">
        <f t="shared" si="116"/>
        <v>0</v>
      </c>
      <c r="O262" s="223">
        <f>IF(N262=0,0,IF(SUM($N$5:N262)&gt;251,1,0))</f>
        <v>0</v>
      </c>
      <c r="P262" s="408">
        <v>27</v>
      </c>
      <c r="Q262" s="409">
        <v>0</v>
      </c>
      <c r="R262" s="224"/>
      <c r="S262" s="411" t="s">
        <v>672</v>
      </c>
      <c r="T262" s="225" t="s">
        <v>697</v>
      </c>
      <c r="U262" s="226" t="s">
        <v>698</v>
      </c>
      <c r="V262" s="413" t="s">
        <v>695</v>
      </c>
      <c r="W262" s="225" t="s">
        <v>697</v>
      </c>
      <c r="X262" s="226" t="s">
        <v>698</v>
      </c>
      <c r="Y262" s="413" t="s">
        <v>696</v>
      </c>
      <c r="Z262" s="225" t="s">
        <v>699</v>
      </c>
      <c r="AA262" s="226" t="s">
        <v>698</v>
      </c>
      <c r="AB262" s="413"/>
      <c r="AC262" s="225">
        <f t="shared" si="100"/>
        <v>0</v>
      </c>
      <c r="AD262" s="226">
        <f t="shared" ref="AD262:AD325" si="122">VLOOKUP(AB262,$AT$12:$AV$31,3,FALSE)</f>
        <v>0</v>
      </c>
      <c r="AE262" s="413"/>
      <c r="AF262" s="225">
        <f t="shared" si="101"/>
        <v>0</v>
      </c>
      <c r="AG262" s="226">
        <f t="shared" ref="AG262:AG325" si="123">VLOOKUP(AE262,$AT$12:$AV$31,3,FALSE)</f>
        <v>0</v>
      </c>
      <c r="AH262" s="413"/>
      <c r="AI262" s="225">
        <f t="shared" si="102"/>
        <v>0</v>
      </c>
      <c r="AJ262" s="226">
        <f t="shared" ref="AJ262:AJ325" si="124">VLOOKUP(AH262,$AT$12:$AV$31,3,FALSE)</f>
        <v>0</v>
      </c>
      <c r="AK262" s="413"/>
      <c r="AL262" s="225">
        <f t="shared" si="103"/>
        <v>0</v>
      </c>
      <c r="AM262" s="226">
        <f t="shared" ref="AM262:AM325" si="125">VLOOKUP(AK262,$AT$12:$AV$31,3,FALSE)</f>
        <v>0</v>
      </c>
      <c r="AN262" s="462" t="str">
        <f t="shared" si="117"/>
        <v/>
      </c>
      <c r="AO262" s="416" t="str">
        <f t="shared" si="118"/>
        <v/>
      </c>
      <c r="AP262" s="416" t="str">
        <f t="shared" si="119"/>
        <v/>
      </c>
      <c r="AQ262" s="416" t="str">
        <f t="shared" si="120"/>
        <v/>
      </c>
      <c r="AR262" s="416" t="str">
        <f t="shared" si="99"/>
        <v/>
      </c>
    </row>
    <row r="263" spans="1:44" ht="14.25">
      <c r="A263" s="830"/>
      <c r="B263" s="99" t="s">
        <v>266</v>
      </c>
      <c r="C263" s="466" t="s">
        <v>185</v>
      </c>
      <c r="D263" s="125" t="s">
        <v>24</v>
      </c>
      <c r="E263" s="126">
        <v>0.58333333333333337</v>
      </c>
      <c r="F263" s="126">
        <v>0.79166666666666663</v>
      </c>
      <c r="G263" s="217">
        <f t="shared" si="110"/>
        <v>0.20833333333333326</v>
      </c>
      <c r="H263" s="218">
        <f t="shared" si="111"/>
        <v>0</v>
      </c>
      <c r="I263" s="96">
        <f t="shared" si="112"/>
        <v>0</v>
      </c>
      <c r="J263" s="219">
        <f t="shared" si="113"/>
        <v>0</v>
      </c>
      <c r="K263" s="220">
        <f t="shared" si="114"/>
        <v>0</v>
      </c>
      <c r="L263" s="100">
        <f t="shared" si="115"/>
        <v>0</v>
      </c>
      <c r="M263" s="221" t="str">
        <f t="shared" si="121"/>
        <v/>
      </c>
      <c r="N263" s="222">
        <f t="shared" si="116"/>
        <v>0</v>
      </c>
      <c r="O263" s="223">
        <f>IF(N263=0,0,IF(SUM($N$5:N263)&gt;251,1,0))</f>
        <v>0</v>
      </c>
      <c r="P263" s="408">
        <v>21</v>
      </c>
      <c r="Q263" s="409">
        <v>1</v>
      </c>
      <c r="R263" s="224"/>
      <c r="S263" s="411" t="s">
        <v>672</v>
      </c>
      <c r="T263" s="225" t="s">
        <v>697</v>
      </c>
      <c r="U263" s="226" t="s">
        <v>698</v>
      </c>
      <c r="V263" s="413" t="s">
        <v>695</v>
      </c>
      <c r="W263" s="225" t="s">
        <v>697</v>
      </c>
      <c r="X263" s="226" t="s">
        <v>698</v>
      </c>
      <c r="Y263" s="413" t="s">
        <v>696</v>
      </c>
      <c r="Z263" s="225" t="s">
        <v>699</v>
      </c>
      <c r="AA263" s="226" t="s">
        <v>698</v>
      </c>
      <c r="AB263" s="413"/>
      <c r="AC263" s="225">
        <f t="shared" si="100"/>
        <v>0</v>
      </c>
      <c r="AD263" s="226">
        <f t="shared" si="122"/>
        <v>0</v>
      </c>
      <c r="AE263" s="413"/>
      <c r="AF263" s="225">
        <f t="shared" si="101"/>
        <v>0</v>
      </c>
      <c r="AG263" s="226">
        <f t="shared" si="123"/>
        <v>0</v>
      </c>
      <c r="AH263" s="413"/>
      <c r="AI263" s="225">
        <f t="shared" si="102"/>
        <v>0</v>
      </c>
      <c r="AJ263" s="226">
        <f t="shared" si="124"/>
        <v>0</v>
      </c>
      <c r="AK263" s="413"/>
      <c r="AL263" s="225">
        <f t="shared" si="103"/>
        <v>0</v>
      </c>
      <c r="AM263" s="226">
        <f t="shared" si="125"/>
        <v>0</v>
      </c>
      <c r="AN263" s="462" t="str">
        <f t="shared" si="117"/>
        <v/>
      </c>
      <c r="AO263" s="416" t="str">
        <f t="shared" si="118"/>
        <v/>
      </c>
      <c r="AP263" s="416" t="str">
        <f t="shared" si="119"/>
        <v/>
      </c>
      <c r="AQ263" s="416" t="str">
        <f t="shared" si="120"/>
        <v/>
      </c>
      <c r="AR263" s="416" t="str">
        <f t="shared" ref="AR263:AR326" si="126">IF(AND(OR(D263="平日", D263="土・日・祝・長期休暇"), OR(P263=0, P263="")), "児童数が入力されていません！", "")</f>
        <v/>
      </c>
    </row>
    <row r="264" spans="1:44" ht="14.25">
      <c r="A264" s="830"/>
      <c r="B264" s="99" t="s">
        <v>267</v>
      </c>
      <c r="C264" s="466" t="s">
        <v>186</v>
      </c>
      <c r="D264" s="125" t="s">
        <v>249</v>
      </c>
      <c r="E264" s="126">
        <v>0.375</v>
      </c>
      <c r="F264" s="126">
        <v>0.75</v>
      </c>
      <c r="G264" s="217">
        <f t="shared" si="110"/>
        <v>0.375</v>
      </c>
      <c r="H264" s="218">
        <f t="shared" si="111"/>
        <v>0</v>
      </c>
      <c r="I264" s="96">
        <f t="shared" si="112"/>
        <v>0</v>
      </c>
      <c r="J264" s="219">
        <f t="shared" si="113"/>
        <v>0</v>
      </c>
      <c r="K264" s="220">
        <f t="shared" si="114"/>
        <v>4.1666666666666685E-2</v>
      </c>
      <c r="L264" s="100">
        <f t="shared" si="115"/>
        <v>1</v>
      </c>
      <c r="M264" s="221" t="str">
        <f t="shared" si="121"/>
        <v/>
      </c>
      <c r="N264" s="222">
        <f t="shared" si="116"/>
        <v>1</v>
      </c>
      <c r="O264" s="223">
        <f>IF(N264=0,0,IF(SUM($N$5:N264)&gt;251,1,0))</f>
        <v>0</v>
      </c>
      <c r="P264" s="408">
        <v>5</v>
      </c>
      <c r="Q264" s="409">
        <v>1</v>
      </c>
      <c r="R264" s="224"/>
      <c r="S264" s="411" t="s">
        <v>672</v>
      </c>
      <c r="T264" s="225" t="s">
        <v>697</v>
      </c>
      <c r="U264" s="226" t="s">
        <v>698</v>
      </c>
      <c r="V264" s="413" t="s">
        <v>695</v>
      </c>
      <c r="W264" s="225" t="s">
        <v>697</v>
      </c>
      <c r="X264" s="226" t="s">
        <v>698</v>
      </c>
      <c r="Y264" s="413" t="s">
        <v>696</v>
      </c>
      <c r="Z264" s="225" t="s">
        <v>699</v>
      </c>
      <c r="AA264" s="226" t="s">
        <v>698</v>
      </c>
      <c r="AB264" s="413"/>
      <c r="AC264" s="225">
        <f t="shared" ref="AC264:AC327" si="127">VLOOKUP(AB264,$AT$12:$AU$31,2,FALSE)</f>
        <v>0</v>
      </c>
      <c r="AD264" s="226">
        <f t="shared" si="122"/>
        <v>0</v>
      </c>
      <c r="AE264" s="413"/>
      <c r="AF264" s="225">
        <f t="shared" ref="AF264:AF327" si="128">VLOOKUP(AE264,$AT$12:$AU$31,2,FALSE)</f>
        <v>0</v>
      </c>
      <c r="AG264" s="226">
        <f t="shared" si="123"/>
        <v>0</v>
      </c>
      <c r="AH264" s="413"/>
      <c r="AI264" s="225">
        <f t="shared" ref="AI264:AI327" si="129">VLOOKUP(AH264,$AT$12:$AU$31,2,FALSE)</f>
        <v>0</v>
      </c>
      <c r="AJ264" s="226">
        <f t="shared" si="124"/>
        <v>0</v>
      </c>
      <c r="AK264" s="413"/>
      <c r="AL264" s="225">
        <f t="shared" ref="AL264:AL327" si="130">VLOOKUP(AK264,$AT$12:$AU$31,2,FALSE)</f>
        <v>0</v>
      </c>
      <c r="AM264" s="226">
        <f t="shared" si="125"/>
        <v>0</v>
      </c>
      <c r="AN264" s="462" t="str">
        <f t="shared" si="117"/>
        <v/>
      </c>
      <c r="AO264" s="416" t="str">
        <f t="shared" si="118"/>
        <v/>
      </c>
      <c r="AP264" s="416" t="str">
        <f t="shared" si="119"/>
        <v/>
      </c>
      <c r="AQ264" s="416" t="str">
        <f t="shared" si="120"/>
        <v/>
      </c>
      <c r="AR264" s="416" t="str">
        <f t="shared" si="126"/>
        <v/>
      </c>
    </row>
    <row r="265" spans="1:44" ht="14.25">
      <c r="A265" s="830"/>
      <c r="B265" s="99" t="s">
        <v>268</v>
      </c>
      <c r="C265" s="466" t="s">
        <v>262</v>
      </c>
      <c r="D265" s="125" t="s">
        <v>251</v>
      </c>
      <c r="E265" s="126"/>
      <c r="F265" s="126"/>
      <c r="G265" s="217">
        <f t="shared" si="110"/>
        <v>0</v>
      </c>
      <c r="H265" s="218">
        <f t="shared" si="111"/>
        <v>0</v>
      </c>
      <c r="I265" s="96">
        <f t="shared" si="112"/>
        <v>0</v>
      </c>
      <c r="J265" s="219">
        <f t="shared" si="113"/>
        <v>0</v>
      </c>
      <c r="K265" s="220">
        <f t="shared" si="114"/>
        <v>0</v>
      </c>
      <c r="L265" s="100">
        <f t="shared" si="115"/>
        <v>0</v>
      </c>
      <c r="M265" s="221" t="str">
        <f t="shared" si="121"/>
        <v/>
      </c>
      <c r="N265" s="222">
        <f t="shared" si="116"/>
        <v>0</v>
      </c>
      <c r="O265" s="223">
        <f>IF(N265=0,0,IF(SUM($N$5:N265)&gt;251,1,0))</f>
        <v>0</v>
      </c>
      <c r="P265" s="408"/>
      <c r="Q265" s="409"/>
      <c r="R265" s="224"/>
      <c r="S265" s="411"/>
      <c r="T265" s="225">
        <f t="shared" ref="T265:T321" si="131">VLOOKUP(S265,$AT$12:$AU$31,2,FALSE)</f>
        <v>0</v>
      </c>
      <c r="U265" s="226">
        <f t="shared" ref="U265:U321" si="132">VLOOKUP(S265,$AT$12:$AV$31,3,FALSE)</f>
        <v>0</v>
      </c>
      <c r="V265" s="413"/>
      <c r="W265" s="225">
        <f t="shared" ref="W265:W321" si="133">VLOOKUP(V265,$AT$12:$AU$31,2,FALSE)</f>
        <v>0</v>
      </c>
      <c r="X265" s="226">
        <f t="shared" ref="X265:X321" si="134">VLOOKUP(V265,$AT$12:$AV$31,3,FALSE)</f>
        <v>0</v>
      </c>
      <c r="Y265" s="413"/>
      <c r="Z265" s="225">
        <f t="shared" ref="Z265:Z321" si="135">VLOOKUP(Y265,$AT$12:$AU$31,2,FALSE)</f>
        <v>0</v>
      </c>
      <c r="AA265" s="226">
        <f t="shared" ref="AA265:AA321" si="136">VLOOKUP(Y265,$AT$12:$AV$31,3,FALSE)</f>
        <v>0</v>
      </c>
      <c r="AB265" s="413"/>
      <c r="AC265" s="225">
        <f t="shared" si="127"/>
        <v>0</v>
      </c>
      <c r="AD265" s="226">
        <f t="shared" si="122"/>
        <v>0</v>
      </c>
      <c r="AE265" s="413"/>
      <c r="AF265" s="225">
        <f t="shared" si="128"/>
        <v>0</v>
      </c>
      <c r="AG265" s="226">
        <f t="shared" si="123"/>
        <v>0</v>
      </c>
      <c r="AH265" s="413"/>
      <c r="AI265" s="225">
        <f t="shared" si="129"/>
        <v>0</v>
      </c>
      <c r="AJ265" s="226">
        <f t="shared" si="124"/>
        <v>0</v>
      </c>
      <c r="AK265" s="413"/>
      <c r="AL265" s="225">
        <f t="shared" si="130"/>
        <v>0</v>
      </c>
      <c r="AM265" s="226">
        <f t="shared" si="125"/>
        <v>0</v>
      </c>
      <c r="AN265" s="462" t="str">
        <f t="shared" si="117"/>
        <v/>
      </c>
      <c r="AO265" s="416" t="str">
        <f t="shared" si="118"/>
        <v/>
      </c>
      <c r="AP265" s="416" t="str">
        <f t="shared" si="119"/>
        <v/>
      </c>
      <c r="AQ265" s="416" t="str">
        <f t="shared" si="120"/>
        <v/>
      </c>
      <c r="AR265" s="416" t="str">
        <f t="shared" si="126"/>
        <v/>
      </c>
    </row>
    <row r="266" spans="1:44" ht="14.25">
      <c r="A266" s="830"/>
      <c r="B266" s="99" t="s">
        <v>269</v>
      </c>
      <c r="C266" s="466" t="s">
        <v>182</v>
      </c>
      <c r="D266" s="125" t="s">
        <v>24</v>
      </c>
      <c r="E266" s="126">
        <v>0.58333333333333337</v>
      </c>
      <c r="F266" s="126">
        <v>0.79166666666666663</v>
      </c>
      <c r="G266" s="217">
        <f t="shared" si="110"/>
        <v>0.20833333333333326</v>
      </c>
      <c r="H266" s="218">
        <f t="shared" si="111"/>
        <v>0</v>
      </c>
      <c r="I266" s="96">
        <f t="shared" si="112"/>
        <v>0</v>
      </c>
      <c r="J266" s="219">
        <f t="shared" si="113"/>
        <v>0</v>
      </c>
      <c r="K266" s="220">
        <f t="shared" si="114"/>
        <v>0</v>
      </c>
      <c r="L266" s="100">
        <f t="shared" si="115"/>
        <v>0</v>
      </c>
      <c r="M266" s="221" t="str">
        <f t="shared" si="121"/>
        <v/>
      </c>
      <c r="N266" s="222">
        <f t="shared" si="116"/>
        <v>0</v>
      </c>
      <c r="O266" s="223">
        <f>IF(N266=0,0,IF(SUM($N$5:N266)&gt;251,1,0))</f>
        <v>0</v>
      </c>
      <c r="P266" s="408">
        <v>26</v>
      </c>
      <c r="Q266" s="409">
        <v>0</v>
      </c>
      <c r="R266" s="224"/>
      <c r="S266" s="411" t="s">
        <v>672</v>
      </c>
      <c r="T266" s="225" t="s">
        <v>697</v>
      </c>
      <c r="U266" s="226" t="s">
        <v>698</v>
      </c>
      <c r="V266" s="413" t="s">
        <v>695</v>
      </c>
      <c r="W266" s="225" t="s">
        <v>697</v>
      </c>
      <c r="X266" s="226" t="s">
        <v>698</v>
      </c>
      <c r="Y266" s="413" t="s">
        <v>696</v>
      </c>
      <c r="Z266" s="225" t="s">
        <v>699</v>
      </c>
      <c r="AA266" s="226" t="s">
        <v>698</v>
      </c>
      <c r="AB266" s="413"/>
      <c r="AC266" s="225">
        <f t="shared" si="127"/>
        <v>0</v>
      </c>
      <c r="AD266" s="226">
        <f t="shared" si="122"/>
        <v>0</v>
      </c>
      <c r="AE266" s="413"/>
      <c r="AF266" s="225">
        <f t="shared" si="128"/>
        <v>0</v>
      </c>
      <c r="AG266" s="226">
        <f t="shared" si="123"/>
        <v>0</v>
      </c>
      <c r="AH266" s="413"/>
      <c r="AI266" s="225">
        <f t="shared" si="129"/>
        <v>0</v>
      </c>
      <c r="AJ266" s="226">
        <f t="shared" si="124"/>
        <v>0</v>
      </c>
      <c r="AK266" s="413"/>
      <c r="AL266" s="225">
        <f t="shared" si="130"/>
        <v>0</v>
      </c>
      <c r="AM266" s="226">
        <f t="shared" si="125"/>
        <v>0</v>
      </c>
      <c r="AN266" s="462" t="str">
        <f t="shared" si="117"/>
        <v/>
      </c>
      <c r="AO266" s="416" t="str">
        <f t="shared" si="118"/>
        <v/>
      </c>
      <c r="AP266" s="416" t="str">
        <f t="shared" si="119"/>
        <v/>
      </c>
      <c r="AQ266" s="416" t="str">
        <f t="shared" si="120"/>
        <v/>
      </c>
      <c r="AR266" s="416" t="str">
        <f t="shared" si="126"/>
        <v/>
      </c>
    </row>
    <row r="267" spans="1:44" ht="14.25">
      <c r="A267" s="830"/>
      <c r="B267" s="99" t="s">
        <v>270</v>
      </c>
      <c r="C267" s="466" t="s">
        <v>187</v>
      </c>
      <c r="D267" s="125" t="s">
        <v>24</v>
      </c>
      <c r="E267" s="126">
        <v>0.58333333333333337</v>
      </c>
      <c r="F267" s="126">
        <v>0.79166666666666663</v>
      </c>
      <c r="G267" s="217">
        <f t="shared" si="110"/>
        <v>0.20833333333333326</v>
      </c>
      <c r="H267" s="218">
        <f t="shared" si="111"/>
        <v>0</v>
      </c>
      <c r="I267" s="96">
        <f t="shared" si="112"/>
        <v>0</v>
      </c>
      <c r="J267" s="219">
        <f t="shared" si="113"/>
        <v>0</v>
      </c>
      <c r="K267" s="220">
        <f t="shared" si="114"/>
        <v>0</v>
      </c>
      <c r="L267" s="100">
        <f t="shared" si="115"/>
        <v>0</v>
      </c>
      <c r="M267" s="221" t="str">
        <f t="shared" si="121"/>
        <v/>
      </c>
      <c r="N267" s="222">
        <f t="shared" si="116"/>
        <v>0</v>
      </c>
      <c r="O267" s="223">
        <f>IF(N267=0,0,IF(SUM($N$5:N267)&gt;251,1,0))</f>
        <v>0</v>
      </c>
      <c r="P267" s="408">
        <v>27</v>
      </c>
      <c r="Q267" s="409">
        <v>0</v>
      </c>
      <c r="R267" s="224"/>
      <c r="S267" s="411" t="s">
        <v>672</v>
      </c>
      <c r="T267" s="225" t="s">
        <v>697</v>
      </c>
      <c r="U267" s="226" t="s">
        <v>698</v>
      </c>
      <c r="V267" s="413" t="s">
        <v>695</v>
      </c>
      <c r="W267" s="225" t="s">
        <v>697</v>
      </c>
      <c r="X267" s="226" t="s">
        <v>698</v>
      </c>
      <c r="Y267" s="413" t="s">
        <v>696</v>
      </c>
      <c r="Z267" s="225" t="s">
        <v>699</v>
      </c>
      <c r="AA267" s="226" t="s">
        <v>698</v>
      </c>
      <c r="AB267" s="413"/>
      <c r="AC267" s="225">
        <f t="shared" si="127"/>
        <v>0</v>
      </c>
      <c r="AD267" s="226">
        <f t="shared" si="122"/>
        <v>0</v>
      </c>
      <c r="AE267" s="413"/>
      <c r="AF267" s="225">
        <f t="shared" si="128"/>
        <v>0</v>
      </c>
      <c r="AG267" s="226">
        <f t="shared" si="123"/>
        <v>0</v>
      </c>
      <c r="AH267" s="413"/>
      <c r="AI267" s="225">
        <f t="shared" si="129"/>
        <v>0</v>
      </c>
      <c r="AJ267" s="226">
        <f t="shared" si="124"/>
        <v>0</v>
      </c>
      <c r="AK267" s="413"/>
      <c r="AL267" s="225">
        <f t="shared" si="130"/>
        <v>0</v>
      </c>
      <c r="AM267" s="226">
        <f t="shared" si="125"/>
        <v>0</v>
      </c>
      <c r="AN267" s="462" t="str">
        <f t="shared" si="117"/>
        <v/>
      </c>
      <c r="AO267" s="416" t="str">
        <f t="shared" si="118"/>
        <v/>
      </c>
      <c r="AP267" s="416" t="str">
        <f t="shared" si="119"/>
        <v/>
      </c>
      <c r="AQ267" s="416" t="str">
        <f t="shared" si="120"/>
        <v/>
      </c>
      <c r="AR267" s="416" t="str">
        <f t="shared" si="126"/>
        <v/>
      </c>
    </row>
    <row r="268" spans="1:44" ht="14.25">
      <c r="A268" s="830"/>
      <c r="B268" s="99" t="s">
        <v>271</v>
      </c>
      <c r="C268" s="466" t="s">
        <v>183</v>
      </c>
      <c r="D268" s="125" t="s">
        <v>24</v>
      </c>
      <c r="E268" s="126">
        <v>0.58333333333333337</v>
      </c>
      <c r="F268" s="126">
        <v>0.79166666666666663</v>
      </c>
      <c r="G268" s="217">
        <f t="shared" si="110"/>
        <v>0.20833333333333326</v>
      </c>
      <c r="H268" s="218">
        <f t="shared" si="111"/>
        <v>0</v>
      </c>
      <c r="I268" s="96">
        <f t="shared" si="112"/>
        <v>0</v>
      </c>
      <c r="J268" s="219">
        <f t="shared" si="113"/>
        <v>0</v>
      </c>
      <c r="K268" s="220">
        <f t="shared" si="114"/>
        <v>0</v>
      </c>
      <c r="L268" s="100">
        <f t="shared" si="115"/>
        <v>0</v>
      </c>
      <c r="M268" s="221" t="str">
        <f t="shared" si="121"/>
        <v/>
      </c>
      <c r="N268" s="222">
        <f t="shared" si="116"/>
        <v>0</v>
      </c>
      <c r="O268" s="223">
        <f>IF(N268=0,0,IF(SUM($N$5:N268)&gt;251,1,0))</f>
        <v>0</v>
      </c>
      <c r="P268" s="408">
        <v>25</v>
      </c>
      <c r="Q268" s="409">
        <v>0</v>
      </c>
      <c r="R268" s="224"/>
      <c r="S268" s="411" t="s">
        <v>672</v>
      </c>
      <c r="T268" s="225" t="s">
        <v>697</v>
      </c>
      <c r="U268" s="226" t="s">
        <v>698</v>
      </c>
      <c r="V268" s="413" t="s">
        <v>695</v>
      </c>
      <c r="W268" s="225" t="s">
        <v>697</v>
      </c>
      <c r="X268" s="226" t="s">
        <v>698</v>
      </c>
      <c r="Y268" s="413" t="s">
        <v>696</v>
      </c>
      <c r="Z268" s="225" t="s">
        <v>699</v>
      </c>
      <c r="AA268" s="226" t="s">
        <v>698</v>
      </c>
      <c r="AB268" s="413"/>
      <c r="AC268" s="225">
        <f t="shared" si="127"/>
        <v>0</v>
      </c>
      <c r="AD268" s="226">
        <f t="shared" si="122"/>
        <v>0</v>
      </c>
      <c r="AE268" s="413"/>
      <c r="AF268" s="225">
        <f t="shared" si="128"/>
        <v>0</v>
      </c>
      <c r="AG268" s="226">
        <f t="shared" si="123"/>
        <v>0</v>
      </c>
      <c r="AH268" s="413"/>
      <c r="AI268" s="225">
        <f t="shared" si="129"/>
        <v>0</v>
      </c>
      <c r="AJ268" s="226">
        <f t="shared" si="124"/>
        <v>0</v>
      </c>
      <c r="AK268" s="413"/>
      <c r="AL268" s="225">
        <f t="shared" si="130"/>
        <v>0</v>
      </c>
      <c r="AM268" s="226">
        <f t="shared" si="125"/>
        <v>0</v>
      </c>
      <c r="AN268" s="462" t="str">
        <f t="shared" si="117"/>
        <v/>
      </c>
      <c r="AO268" s="416" t="str">
        <f t="shared" si="118"/>
        <v/>
      </c>
      <c r="AP268" s="416" t="str">
        <f t="shared" si="119"/>
        <v/>
      </c>
      <c r="AQ268" s="416" t="str">
        <f t="shared" si="120"/>
        <v/>
      </c>
      <c r="AR268" s="416" t="str">
        <f t="shared" si="126"/>
        <v/>
      </c>
    </row>
    <row r="269" spans="1:44" ht="14.25">
      <c r="A269" s="830"/>
      <c r="B269" s="99" t="s">
        <v>272</v>
      </c>
      <c r="C269" s="466" t="s">
        <v>184</v>
      </c>
      <c r="D269" s="125" t="s">
        <v>24</v>
      </c>
      <c r="E269" s="126">
        <v>0.58333333333333337</v>
      </c>
      <c r="F269" s="126">
        <v>0.79166666666666663</v>
      </c>
      <c r="G269" s="217">
        <f t="shared" si="110"/>
        <v>0.20833333333333326</v>
      </c>
      <c r="H269" s="218">
        <f t="shared" si="111"/>
        <v>0</v>
      </c>
      <c r="I269" s="96">
        <f t="shared" si="112"/>
        <v>0</v>
      </c>
      <c r="J269" s="219">
        <f t="shared" si="113"/>
        <v>0</v>
      </c>
      <c r="K269" s="220">
        <f t="shared" si="114"/>
        <v>0</v>
      </c>
      <c r="L269" s="100">
        <f t="shared" si="115"/>
        <v>0</v>
      </c>
      <c r="M269" s="221" t="str">
        <f t="shared" si="121"/>
        <v/>
      </c>
      <c r="N269" s="222">
        <f t="shared" si="116"/>
        <v>0</v>
      </c>
      <c r="O269" s="223">
        <f>IF(N269=0,0,IF(SUM($N$5:N269)&gt;251,1,0))</f>
        <v>0</v>
      </c>
      <c r="P269" s="408">
        <v>24</v>
      </c>
      <c r="Q269" s="409">
        <v>1</v>
      </c>
      <c r="R269" s="224"/>
      <c r="S269" s="411" t="s">
        <v>672</v>
      </c>
      <c r="T269" s="225" t="s">
        <v>697</v>
      </c>
      <c r="U269" s="226" t="s">
        <v>698</v>
      </c>
      <c r="V269" s="413" t="s">
        <v>695</v>
      </c>
      <c r="W269" s="225" t="s">
        <v>697</v>
      </c>
      <c r="X269" s="226" t="s">
        <v>698</v>
      </c>
      <c r="Y269" s="413" t="s">
        <v>696</v>
      </c>
      <c r="Z269" s="225" t="s">
        <v>699</v>
      </c>
      <c r="AA269" s="226" t="s">
        <v>698</v>
      </c>
      <c r="AB269" s="413"/>
      <c r="AC269" s="225">
        <f t="shared" si="127"/>
        <v>0</v>
      </c>
      <c r="AD269" s="226">
        <f t="shared" si="122"/>
        <v>0</v>
      </c>
      <c r="AE269" s="413"/>
      <c r="AF269" s="225">
        <f t="shared" si="128"/>
        <v>0</v>
      </c>
      <c r="AG269" s="226">
        <f t="shared" si="123"/>
        <v>0</v>
      </c>
      <c r="AH269" s="413"/>
      <c r="AI269" s="225">
        <f t="shared" si="129"/>
        <v>0</v>
      </c>
      <c r="AJ269" s="226">
        <f t="shared" si="124"/>
        <v>0</v>
      </c>
      <c r="AK269" s="413"/>
      <c r="AL269" s="225">
        <f t="shared" si="130"/>
        <v>0</v>
      </c>
      <c r="AM269" s="226">
        <f t="shared" si="125"/>
        <v>0</v>
      </c>
      <c r="AN269" s="462" t="str">
        <f t="shared" si="117"/>
        <v/>
      </c>
      <c r="AO269" s="416" t="str">
        <f t="shared" si="118"/>
        <v/>
      </c>
      <c r="AP269" s="416" t="str">
        <f t="shared" si="119"/>
        <v/>
      </c>
      <c r="AQ269" s="416" t="str">
        <f t="shared" si="120"/>
        <v/>
      </c>
      <c r="AR269" s="416" t="str">
        <f t="shared" si="126"/>
        <v/>
      </c>
    </row>
    <row r="270" spans="1:44" ht="14.25">
      <c r="A270" s="830"/>
      <c r="B270" s="99" t="s">
        <v>273</v>
      </c>
      <c r="C270" s="466" t="s">
        <v>185</v>
      </c>
      <c r="D270" s="125" t="s">
        <v>24</v>
      </c>
      <c r="E270" s="126">
        <v>0.58333333333333337</v>
      </c>
      <c r="F270" s="126">
        <v>0.79166666666666663</v>
      </c>
      <c r="G270" s="217">
        <f t="shared" si="110"/>
        <v>0.20833333333333326</v>
      </c>
      <c r="H270" s="218">
        <f t="shared" si="111"/>
        <v>0</v>
      </c>
      <c r="I270" s="96">
        <f t="shared" si="112"/>
        <v>0</v>
      </c>
      <c r="J270" s="219">
        <f t="shared" si="113"/>
        <v>0</v>
      </c>
      <c r="K270" s="220">
        <f t="shared" si="114"/>
        <v>0</v>
      </c>
      <c r="L270" s="100">
        <f t="shared" si="115"/>
        <v>0</v>
      </c>
      <c r="M270" s="221" t="str">
        <f t="shared" si="121"/>
        <v/>
      </c>
      <c r="N270" s="222">
        <f t="shared" si="116"/>
        <v>0</v>
      </c>
      <c r="O270" s="223">
        <f>IF(N270=0,0,IF(SUM($N$5:N270)&gt;251,1,0))</f>
        <v>0</v>
      </c>
      <c r="P270" s="408">
        <v>25</v>
      </c>
      <c r="Q270" s="409">
        <v>0</v>
      </c>
      <c r="R270" s="224"/>
      <c r="S270" s="411" t="s">
        <v>672</v>
      </c>
      <c r="T270" s="225" t="s">
        <v>697</v>
      </c>
      <c r="U270" s="226" t="s">
        <v>698</v>
      </c>
      <c r="V270" s="413" t="s">
        <v>695</v>
      </c>
      <c r="W270" s="225" t="s">
        <v>697</v>
      </c>
      <c r="X270" s="226" t="s">
        <v>698</v>
      </c>
      <c r="Y270" s="413" t="s">
        <v>696</v>
      </c>
      <c r="Z270" s="225" t="s">
        <v>699</v>
      </c>
      <c r="AA270" s="226" t="s">
        <v>698</v>
      </c>
      <c r="AB270" s="413"/>
      <c r="AC270" s="225">
        <f t="shared" si="127"/>
        <v>0</v>
      </c>
      <c r="AD270" s="226">
        <f t="shared" si="122"/>
        <v>0</v>
      </c>
      <c r="AE270" s="413"/>
      <c r="AF270" s="225">
        <f t="shared" si="128"/>
        <v>0</v>
      </c>
      <c r="AG270" s="226">
        <f t="shared" si="123"/>
        <v>0</v>
      </c>
      <c r="AH270" s="413"/>
      <c r="AI270" s="225">
        <f t="shared" si="129"/>
        <v>0</v>
      </c>
      <c r="AJ270" s="226">
        <f t="shared" si="124"/>
        <v>0</v>
      </c>
      <c r="AK270" s="413"/>
      <c r="AL270" s="225">
        <f t="shared" si="130"/>
        <v>0</v>
      </c>
      <c r="AM270" s="226">
        <f t="shared" si="125"/>
        <v>0</v>
      </c>
      <c r="AN270" s="462" t="str">
        <f t="shared" si="117"/>
        <v/>
      </c>
      <c r="AO270" s="416" t="str">
        <f t="shared" si="118"/>
        <v/>
      </c>
      <c r="AP270" s="416" t="str">
        <f t="shared" si="119"/>
        <v/>
      </c>
      <c r="AQ270" s="416" t="str">
        <f t="shared" si="120"/>
        <v/>
      </c>
      <c r="AR270" s="416" t="str">
        <f t="shared" si="126"/>
        <v/>
      </c>
    </row>
    <row r="271" spans="1:44" ht="14.25">
      <c r="A271" s="830"/>
      <c r="B271" s="99" t="s">
        <v>274</v>
      </c>
      <c r="C271" s="466" t="s">
        <v>186</v>
      </c>
      <c r="D271" s="125" t="s">
        <v>249</v>
      </c>
      <c r="E271" s="126">
        <v>0.375</v>
      </c>
      <c r="F271" s="126">
        <v>0.75</v>
      </c>
      <c r="G271" s="217">
        <f t="shared" si="110"/>
        <v>0.375</v>
      </c>
      <c r="H271" s="218">
        <f t="shared" si="111"/>
        <v>0</v>
      </c>
      <c r="I271" s="96">
        <f t="shared" si="112"/>
        <v>0</v>
      </c>
      <c r="J271" s="219">
        <f t="shared" si="113"/>
        <v>0</v>
      </c>
      <c r="K271" s="220">
        <f t="shared" si="114"/>
        <v>4.1666666666666685E-2</v>
      </c>
      <c r="L271" s="100">
        <f t="shared" si="115"/>
        <v>1</v>
      </c>
      <c r="M271" s="221" t="str">
        <f t="shared" si="121"/>
        <v/>
      </c>
      <c r="N271" s="222">
        <f t="shared" si="116"/>
        <v>1</v>
      </c>
      <c r="O271" s="223">
        <f>IF(N271=0,0,IF(SUM($N$5:N271)&gt;251,1,0))</f>
        <v>0</v>
      </c>
      <c r="P271" s="408">
        <v>2</v>
      </c>
      <c r="Q271" s="409">
        <v>0</v>
      </c>
      <c r="R271" s="224"/>
      <c r="S271" s="411" t="s">
        <v>672</v>
      </c>
      <c r="T271" s="225" t="s">
        <v>697</v>
      </c>
      <c r="U271" s="226" t="s">
        <v>698</v>
      </c>
      <c r="V271" s="413" t="s">
        <v>695</v>
      </c>
      <c r="W271" s="225" t="s">
        <v>697</v>
      </c>
      <c r="X271" s="226" t="s">
        <v>698</v>
      </c>
      <c r="Y271" s="413" t="s">
        <v>696</v>
      </c>
      <c r="Z271" s="225" t="s">
        <v>699</v>
      </c>
      <c r="AA271" s="226" t="s">
        <v>698</v>
      </c>
      <c r="AB271" s="413"/>
      <c r="AC271" s="225">
        <f t="shared" si="127"/>
        <v>0</v>
      </c>
      <c r="AD271" s="226">
        <f t="shared" si="122"/>
        <v>0</v>
      </c>
      <c r="AE271" s="413"/>
      <c r="AF271" s="225">
        <f t="shared" si="128"/>
        <v>0</v>
      </c>
      <c r="AG271" s="226">
        <f t="shared" si="123"/>
        <v>0</v>
      </c>
      <c r="AH271" s="413"/>
      <c r="AI271" s="225">
        <f t="shared" si="129"/>
        <v>0</v>
      </c>
      <c r="AJ271" s="226">
        <f t="shared" si="124"/>
        <v>0</v>
      </c>
      <c r="AK271" s="413"/>
      <c r="AL271" s="225">
        <f t="shared" si="130"/>
        <v>0</v>
      </c>
      <c r="AM271" s="226">
        <f t="shared" si="125"/>
        <v>0</v>
      </c>
      <c r="AN271" s="462" t="str">
        <f t="shared" si="117"/>
        <v/>
      </c>
      <c r="AO271" s="416" t="str">
        <f t="shared" si="118"/>
        <v/>
      </c>
      <c r="AP271" s="416" t="str">
        <f t="shared" si="119"/>
        <v/>
      </c>
      <c r="AQ271" s="416" t="str">
        <f t="shared" si="120"/>
        <v/>
      </c>
      <c r="AR271" s="416" t="str">
        <f t="shared" si="126"/>
        <v/>
      </c>
    </row>
    <row r="272" spans="1:44" ht="14.25">
      <c r="A272" s="830"/>
      <c r="B272" s="99" t="s">
        <v>275</v>
      </c>
      <c r="C272" s="466" t="s">
        <v>262</v>
      </c>
      <c r="D272" s="125" t="s">
        <v>251</v>
      </c>
      <c r="E272" s="126"/>
      <c r="F272" s="126"/>
      <c r="G272" s="217">
        <f t="shared" si="110"/>
        <v>0</v>
      </c>
      <c r="H272" s="218">
        <f t="shared" si="111"/>
        <v>0</v>
      </c>
      <c r="I272" s="96">
        <f t="shared" si="112"/>
        <v>0</v>
      </c>
      <c r="J272" s="219">
        <f t="shared" si="113"/>
        <v>0</v>
      </c>
      <c r="K272" s="220">
        <f t="shared" si="114"/>
        <v>0</v>
      </c>
      <c r="L272" s="100">
        <f t="shared" si="115"/>
        <v>0</v>
      </c>
      <c r="M272" s="221" t="str">
        <f t="shared" si="121"/>
        <v/>
      </c>
      <c r="N272" s="222">
        <f t="shared" si="116"/>
        <v>0</v>
      </c>
      <c r="O272" s="223">
        <f>IF(N272=0,0,IF(SUM($N$5:N272)&gt;251,1,0))</f>
        <v>0</v>
      </c>
      <c r="P272" s="408"/>
      <c r="Q272" s="409"/>
      <c r="R272" s="224"/>
      <c r="S272" s="411"/>
      <c r="T272" s="225">
        <f t="shared" si="131"/>
        <v>0</v>
      </c>
      <c r="U272" s="226">
        <f t="shared" si="132"/>
        <v>0</v>
      </c>
      <c r="V272" s="413"/>
      <c r="W272" s="225">
        <f t="shared" si="133"/>
        <v>0</v>
      </c>
      <c r="X272" s="226">
        <f t="shared" si="134"/>
        <v>0</v>
      </c>
      <c r="Y272" s="413"/>
      <c r="Z272" s="225">
        <f t="shared" si="135"/>
        <v>0</v>
      </c>
      <c r="AA272" s="226">
        <f t="shared" si="136"/>
        <v>0</v>
      </c>
      <c r="AB272" s="413"/>
      <c r="AC272" s="225">
        <f t="shared" si="127"/>
        <v>0</v>
      </c>
      <c r="AD272" s="226">
        <f t="shared" si="122"/>
        <v>0</v>
      </c>
      <c r="AE272" s="413"/>
      <c r="AF272" s="225">
        <f t="shared" si="128"/>
        <v>0</v>
      </c>
      <c r="AG272" s="226">
        <f t="shared" si="123"/>
        <v>0</v>
      </c>
      <c r="AH272" s="413"/>
      <c r="AI272" s="225">
        <f t="shared" si="129"/>
        <v>0</v>
      </c>
      <c r="AJ272" s="226">
        <f t="shared" si="124"/>
        <v>0</v>
      </c>
      <c r="AK272" s="413"/>
      <c r="AL272" s="225">
        <f t="shared" si="130"/>
        <v>0</v>
      </c>
      <c r="AM272" s="226">
        <f t="shared" si="125"/>
        <v>0</v>
      </c>
      <c r="AN272" s="462" t="str">
        <f t="shared" si="117"/>
        <v/>
      </c>
      <c r="AO272" s="416" t="str">
        <f t="shared" si="118"/>
        <v/>
      </c>
      <c r="AP272" s="416" t="str">
        <f t="shared" si="119"/>
        <v/>
      </c>
      <c r="AQ272" s="416" t="str">
        <f t="shared" si="120"/>
        <v/>
      </c>
      <c r="AR272" s="416" t="str">
        <f t="shared" si="126"/>
        <v/>
      </c>
    </row>
    <row r="273" spans="1:44" ht="14.25">
      <c r="A273" s="830"/>
      <c r="B273" s="99" t="s">
        <v>276</v>
      </c>
      <c r="C273" s="466" t="s">
        <v>182</v>
      </c>
      <c r="D273" s="125" t="s">
        <v>249</v>
      </c>
      <c r="E273" s="126">
        <v>0.58333333333333337</v>
      </c>
      <c r="F273" s="126">
        <v>0.79166666666666663</v>
      </c>
      <c r="G273" s="217">
        <f t="shared" si="110"/>
        <v>0.20833333333333326</v>
      </c>
      <c r="H273" s="218">
        <f t="shared" si="111"/>
        <v>0</v>
      </c>
      <c r="I273" s="96">
        <f t="shared" si="112"/>
        <v>0</v>
      </c>
      <c r="J273" s="219">
        <f t="shared" si="113"/>
        <v>0</v>
      </c>
      <c r="K273" s="220">
        <f t="shared" si="114"/>
        <v>0</v>
      </c>
      <c r="L273" s="100">
        <f t="shared" si="115"/>
        <v>0</v>
      </c>
      <c r="M273" s="221" t="str">
        <f t="shared" si="121"/>
        <v/>
      </c>
      <c r="N273" s="222">
        <f t="shared" si="116"/>
        <v>0</v>
      </c>
      <c r="O273" s="223">
        <f>IF(N273=0,0,IF(SUM($N$5:N273)&gt;251,1,0))</f>
        <v>0</v>
      </c>
      <c r="P273" s="408">
        <v>4</v>
      </c>
      <c r="Q273" s="409">
        <v>0</v>
      </c>
      <c r="R273" s="224"/>
      <c r="S273" s="411" t="s">
        <v>672</v>
      </c>
      <c r="T273" s="225" t="s">
        <v>697</v>
      </c>
      <c r="U273" s="226" t="s">
        <v>698</v>
      </c>
      <c r="V273" s="413" t="s">
        <v>695</v>
      </c>
      <c r="W273" s="225" t="s">
        <v>697</v>
      </c>
      <c r="X273" s="226" t="s">
        <v>698</v>
      </c>
      <c r="Y273" s="413" t="s">
        <v>696</v>
      </c>
      <c r="Z273" s="225" t="s">
        <v>699</v>
      </c>
      <c r="AA273" s="226" t="s">
        <v>698</v>
      </c>
      <c r="AB273" s="413"/>
      <c r="AC273" s="225">
        <f t="shared" si="127"/>
        <v>0</v>
      </c>
      <c r="AD273" s="226">
        <f t="shared" si="122"/>
        <v>0</v>
      </c>
      <c r="AE273" s="413"/>
      <c r="AF273" s="225">
        <f t="shared" si="128"/>
        <v>0</v>
      </c>
      <c r="AG273" s="226">
        <f t="shared" si="123"/>
        <v>0</v>
      </c>
      <c r="AH273" s="413"/>
      <c r="AI273" s="225">
        <f t="shared" si="129"/>
        <v>0</v>
      </c>
      <c r="AJ273" s="226">
        <f t="shared" si="124"/>
        <v>0</v>
      </c>
      <c r="AK273" s="413"/>
      <c r="AL273" s="225">
        <f t="shared" si="130"/>
        <v>0</v>
      </c>
      <c r="AM273" s="226">
        <f t="shared" si="125"/>
        <v>0</v>
      </c>
      <c r="AN273" s="462" t="str">
        <f t="shared" si="117"/>
        <v/>
      </c>
      <c r="AO273" s="416" t="str">
        <f t="shared" si="118"/>
        <v/>
      </c>
      <c r="AP273" s="416" t="str">
        <f t="shared" si="119"/>
        <v/>
      </c>
      <c r="AQ273" s="416" t="str">
        <f t="shared" si="120"/>
        <v/>
      </c>
      <c r="AR273" s="416" t="str">
        <f t="shared" si="126"/>
        <v/>
      </c>
    </row>
    <row r="274" spans="1:44" ht="14.25">
      <c r="A274" s="830"/>
      <c r="B274" s="99" t="s">
        <v>277</v>
      </c>
      <c r="C274" s="466" t="s">
        <v>187</v>
      </c>
      <c r="D274" s="125" t="s">
        <v>249</v>
      </c>
      <c r="E274" s="126">
        <v>0.58333333333333337</v>
      </c>
      <c r="F274" s="126">
        <v>0.79166666666666663</v>
      </c>
      <c r="G274" s="217">
        <f t="shared" si="110"/>
        <v>0.20833333333333326</v>
      </c>
      <c r="H274" s="218">
        <f t="shared" si="111"/>
        <v>0</v>
      </c>
      <c r="I274" s="96">
        <f t="shared" si="112"/>
        <v>0</v>
      </c>
      <c r="J274" s="219">
        <f t="shared" si="113"/>
        <v>0</v>
      </c>
      <c r="K274" s="220">
        <f t="shared" si="114"/>
        <v>0</v>
      </c>
      <c r="L274" s="100">
        <f t="shared" si="115"/>
        <v>0</v>
      </c>
      <c r="M274" s="221" t="str">
        <f t="shared" si="121"/>
        <v/>
      </c>
      <c r="N274" s="222">
        <f t="shared" si="116"/>
        <v>0</v>
      </c>
      <c r="O274" s="223">
        <f>IF(N274=0,0,IF(SUM($N$5:N274)&gt;251,1,0))</f>
        <v>0</v>
      </c>
      <c r="P274" s="408">
        <v>10</v>
      </c>
      <c r="Q274" s="409">
        <v>1</v>
      </c>
      <c r="R274" s="224"/>
      <c r="S274" s="411" t="s">
        <v>672</v>
      </c>
      <c r="T274" s="225" t="s">
        <v>697</v>
      </c>
      <c r="U274" s="226" t="s">
        <v>698</v>
      </c>
      <c r="V274" s="413" t="s">
        <v>695</v>
      </c>
      <c r="W274" s="225" t="s">
        <v>697</v>
      </c>
      <c r="X274" s="226" t="s">
        <v>698</v>
      </c>
      <c r="Y274" s="413" t="s">
        <v>696</v>
      </c>
      <c r="Z274" s="225" t="s">
        <v>699</v>
      </c>
      <c r="AA274" s="226" t="s">
        <v>698</v>
      </c>
      <c r="AB274" s="413"/>
      <c r="AC274" s="225">
        <f t="shared" si="127"/>
        <v>0</v>
      </c>
      <c r="AD274" s="226">
        <f t="shared" si="122"/>
        <v>0</v>
      </c>
      <c r="AE274" s="413"/>
      <c r="AF274" s="225">
        <f t="shared" si="128"/>
        <v>0</v>
      </c>
      <c r="AG274" s="226">
        <f t="shared" si="123"/>
        <v>0</v>
      </c>
      <c r="AH274" s="413"/>
      <c r="AI274" s="225">
        <f t="shared" si="129"/>
        <v>0</v>
      </c>
      <c r="AJ274" s="226">
        <f t="shared" si="124"/>
        <v>0</v>
      </c>
      <c r="AK274" s="413"/>
      <c r="AL274" s="225">
        <f t="shared" si="130"/>
        <v>0</v>
      </c>
      <c r="AM274" s="226">
        <f t="shared" si="125"/>
        <v>0</v>
      </c>
      <c r="AN274" s="462" t="str">
        <f t="shared" si="117"/>
        <v/>
      </c>
      <c r="AO274" s="416" t="str">
        <f t="shared" si="118"/>
        <v/>
      </c>
      <c r="AP274" s="416" t="str">
        <f t="shared" si="119"/>
        <v/>
      </c>
      <c r="AQ274" s="416" t="str">
        <f t="shared" si="120"/>
        <v/>
      </c>
      <c r="AR274" s="416" t="str">
        <f t="shared" si="126"/>
        <v/>
      </c>
    </row>
    <row r="275" spans="1:44" ht="14.25">
      <c r="A275" s="830"/>
      <c r="B275" s="99" t="s">
        <v>278</v>
      </c>
      <c r="C275" s="466" t="s">
        <v>183</v>
      </c>
      <c r="D275" s="125" t="s">
        <v>249</v>
      </c>
      <c r="E275" s="126">
        <v>0.58333333333333337</v>
      </c>
      <c r="F275" s="126">
        <v>0.79166666666666663</v>
      </c>
      <c r="G275" s="217">
        <f t="shared" si="110"/>
        <v>0.20833333333333326</v>
      </c>
      <c r="H275" s="218">
        <f t="shared" si="111"/>
        <v>0</v>
      </c>
      <c r="I275" s="96">
        <f t="shared" si="112"/>
        <v>0</v>
      </c>
      <c r="J275" s="219">
        <f t="shared" si="113"/>
        <v>0</v>
      </c>
      <c r="K275" s="220">
        <f t="shared" si="114"/>
        <v>0</v>
      </c>
      <c r="L275" s="100">
        <f t="shared" si="115"/>
        <v>0</v>
      </c>
      <c r="M275" s="221" t="str">
        <f t="shared" si="121"/>
        <v/>
      </c>
      <c r="N275" s="222">
        <f t="shared" si="116"/>
        <v>0</v>
      </c>
      <c r="O275" s="223">
        <f>IF(N275=0,0,IF(SUM($N$5:N275)&gt;251,1,0))</f>
        <v>0</v>
      </c>
      <c r="P275" s="408">
        <v>7</v>
      </c>
      <c r="Q275" s="409">
        <v>0</v>
      </c>
      <c r="R275" s="224"/>
      <c r="S275" s="411" t="s">
        <v>672</v>
      </c>
      <c r="T275" s="225" t="s">
        <v>697</v>
      </c>
      <c r="U275" s="226" t="s">
        <v>698</v>
      </c>
      <c r="V275" s="413" t="s">
        <v>695</v>
      </c>
      <c r="W275" s="225" t="s">
        <v>697</v>
      </c>
      <c r="X275" s="226" t="s">
        <v>698</v>
      </c>
      <c r="Y275" s="413" t="s">
        <v>696</v>
      </c>
      <c r="Z275" s="225" t="s">
        <v>699</v>
      </c>
      <c r="AA275" s="226" t="s">
        <v>698</v>
      </c>
      <c r="AB275" s="413"/>
      <c r="AC275" s="225">
        <f t="shared" si="127"/>
        <v>0</v>
      </c>
      <c r="AD275" s="226">
        <f t="shared" si="122"/>
        <v>0</v>
      </c>
      <c r="AE275" s="413"/>
      <c r="AF275" s="225">
        <f t="shared" si="128"/>
        <v>0</v>
      </c>
      <c r="AG275" s="226">
        <f t="shared" si="123"/>
        <v>0</v>
      </c>
      <c r="AH275" s="413"/>
      <c r="AI275" s="225">
        <f t="shared" si="129"/>
        <v>0</v>
      </c>
      <c r="AJ275" s="226">
        <f t="shared" si="124"/>
        <v>0</v>
      </c>
      <c r="AK275" s="413"/>
      <c r="AL275" s="225">
        <f t="shared" si="130"/>
        <v>0</v>
      </c>
      <c r="AM275" s="226">
        <f t="shared" si="125"/>
        <v>0</v>
      </c>
      <c r="AN275" s="462" t="str">
        <f t="shared" si="117"/>
        <v/>
      </c>
      <c r="AO275" s="416" t="str">
        <f t="shared" si="118"/>
        <v/>
      </c>
      <c r="AP275" s="416" t="str">
        <f t="shared" si="119"/>
        <v/>
      </c>
      <c r="AQ275" s="416" t="str">
        <f t="shared" si="120"/>
        <v/>
      </c>
      <c r="AR275" s="416" t="str">
        <f t="shared" si="126"/>
        <v/>
      </c>
    </row>
    <row r="276" spans="1:44" ht="14.25">
      <c r="A276" s="830"/>
      <c r="B276" s="99" t="s">
        <v>279</v>
      </c>
      <c r="C276" s="466" t="s">
        <v>184</v>
      </c>
      <c r="D276" s="125" t="s">
        <v>249</v>
      </c>
      <c r="E276" s="126">
        <v>0.58333333333333337</v>
      </c>
      <c r="F276" s="126">
        <v>0.79166666666666663</v>
      </c>
      <c r="G276" s="217">
        <f t="shared" si="110"/>
        <v>0.20833333333333326</v>
      </c>
      <c r="H276" s="218">
        <f t="shared" si="111"/>
        <v>0</v>
      </c>
      <c r="I276" s="96">
        <f t="shared" si="112"/>
        <v>0</v>
      </c>
      <c r="J276" s="219">
        <f t="shared" si="113"/>
        <v>0</v>
      </c>
      <c r="K276" s="220">
        <f t="shared" si="114"/>
        <v>0</v>
      </c>
      <c r="L276" s="100">
        <f t="shared" si="115"/>
        <v>0</v>
      </c>
      <c r="M276" s="221" t="str">
        <f t="shared" si="121"/>
        <v/>
      </c>
      <c r="N276" s="222">
        <f t="shared" si="116"/>
        <v>0</v>
      </c>
      <c r="O276" s="223">
        <f>IF(N276=0,0,IF(SUM($N$5:N276)&gt;251,1,0))</f>
        <v>0</v>
      </c>
      <c r="P276" s="408">
        <v>10</v>
      </c>
      <c r="Q276" s="409">
        <v>1</v>
      </c>
      <c r="R276" s="224"/>
      <c r="S276" s="411" t="s">
        <v>672</v>
      </c>
      <c r="T276" s="225" t="s">
        <v>697</v>
      </c>
      <c r="U276" s="226" t="s">
        <v>698</v>
      </c>
      <c r="V276" s="413" t="s">
        <v>695</v>
      </c>
      <c r="W276" s="225" t="s">
        <v>697</v>
      </c>
      <c r="X276" s="226" t="s">
        <v>698</v>
      </c>
      <c r="Y276" s="413" t="s">
        <v>696</v>
      </c>
      <c r="Z276" s="225" t="s">
        <v>699</v>
      </c>
      <c r="AA276" s="226" t="s">
        <v>698</v>
      </c>
      <c r="AB276" s="413"/>
      <c r="AC276" s="225">
        <f t="shared" si="127"/>
        <v>0</v>
      </c>
      <c r="AD276" s="226">
        <f t="shared" si="122"/>
        <v>0</v>
      </c>
      <c r="AE276" s="413"/>
      <c r="AF276" s="225">
        <f t="shared" si="128"/>
        <v>0</v>
      </c>
      <c r="AG276" s="226">
        <f t="shared" si="123"/>
        <v>0</v>
      </c>
      <c r="AH276" s="413"/>
      <c r="AI276" s="225">
        <f t="shared" si="129"/>
        <v>0</v>
      </c>
      <c r="AJ276" s="226">
        <f t="shared" si="124"/>
        <v>0</v>
      </c>
      <c r="AK276" s="413"/>
      <c r="AL276" s="225">
        <f t="shared" si="130"/>
        <v>0</v>
      </c>
      <c r="AM276" s="226">
        <f t="shared" si="125"/>
        <v>0</v>
      </c>
      <c r="AN276" s="462" t="str">
        <f t="shared" si="117"/>
        <v/>
      </c>
      <c r="AO276" s="416" t="str">
        <f t="shared" si="118"/>
        <v/>
      </c>
      <c r="AP276" s="416" t="str">
        <f t="shared" si="119"/>
        <v/>
      </c>
      <c r="AQ276" s="416" t="str">
        <f t="shared" si="120"/>
        <v/>
      </c>
      <c r="AR276" s="416" t="str">
        <f t="shared" si="126"/>
        <v/>
      </c>
    </row>
    <row r="277" spans="1:44" ht="14.25">
      <c r="A277" s="830"/>
      <c r="B277" s="99" t="s">
        <v>280</v>
      </c>
      <c r="C277" s="466" t="s">
        <v>185</v>
      </c>
      <c r="D277" s="125" t="s">
        <v>249</v>
      </c>
      <c r="E277" s="126">
        <v>0.58333333333333337</v>
      </c>
      <c r="F277" s="126">
        <v>0.79166666666666663</v>
      </c>
      <c r="G277" s="217">
        <f t="shared" si="110"/>
        <v>0.20833333333333326</v>
      </c>
      <c r="H277" s="218">
        <f t="shared" si="111"/>
        <v>0</v>
      </c>
      <c r="I277" s="96">
        <f t="shared" si="112"/>
        <v>0</v>
      </c>
      <c r="J277" s="219">
        <f t="shared" si="113"/>
        <v>0</v>
      </c>
      <c r="K277" s="220">
        <f t="shared" si="114"/>
        <v>0</v>
      </c>
      <c r="L277" s="100">
        <f t="shared" si="115"/>
        <v>0</v>
      </c>
      <c r="M277" s="221" t="str">
        <f t="shared" si="121"/>
        <v/>
      </c>
      <c r="N277" s="222">
        <f t="shared" si="116"/>
        <v>0</v>
      </c>
      <c r="O277" s="223">
        <f>IF(N277=0,0,IF(SUM($N$5:N277)&gt;251,1,0))</f>
        <v>0</v>
      </c>
      <c r="P277" s="408">
        <v>8</v>
      </c>
      <c r="Q277" s="409">
        <v>1</v>
      </c>
      <c r="R277" s="224"/>
      <c r="S277" s="411" t="s">
        <v>672</v>
      </c>
      <c r="T277" s="225" t="s">
        <v>697</v>
      </c>
      <c r="U277" s="226" t="s">
        <v>698</v>
      </c>
      <c r="V277" s="413" t="s">
        <v>695</v>
      </c>
      <c r="W277" s="225" t="s">
        <v>697</v>
      </c>
      <c r="X277" s="226" t="s">
        <v>698</v>
      </c>
      <c r="Y277" s="413" t="s">
        <v>696</v>
      </c>
      <c r="Z277" s="225" t="s">
        <v>699</v>
      </c>
      <c r="AA277" s="226" t="s">
        <v>698</v>
      </c>
      <c r="AB277" s="413"/>
      <c r="AC277" s="225">
        <f t="shared" si="127"/>
        <v>0</v>
      </c>
      <c r="AD277" s="226">
        <f t="shared" si="122"/>
        <v>0</v>
      </c>
      <c r="AE277" s="413"/>
      <c r="AF277" s="225">
        <f t="shared" si="128"/>
        <v>0</v>
      </c>
      <c r="AG277" s="226">
        <f t="shared" si="123"/>
        <v>0</v>
      </c>
      <c r="AH277" s="413"/>
      <c r="AI277" s="225">
        <f t="shared" si="129"/>
        <v>0</v>
      </c>
      <c r="AJ277" s="226">
        <f t="shared" si="124"/>
        <v>0</v>
      </c>
      <c r="AK277" s="413"/>
      <c r="AL277" s="225">
        <f t="shared" si="130"/>
        <v>0</v>
      </c>
      <c r="AM277" s="226">
        <f t="shared" si="125"/>
        <v>0</v>
      </c>
      <c r="AN277" s="462" t="str">
        <f t="shared" si="117"/>
        <v/>
      </c>
      <c r="AO277" s="416" t="str">
        <f t="shared" si="118"/>
        <v/>
      </c>
      <c r="AP277" s="416" t="str">
        <f t="shared" si="119"/>
        <v/>
      </c>
      <c r="AQ277" s="416" t="str">
        <f t="shared" si="120"/>
        <v/>
      </c>
      <c r="AR277" s="416" t="str">
        <f t="shared" si="126"/>
        <v/>
      </c>
    </row>
    <row r="278" spans="1:44" ht="14.25">
      <c r="A278" s="830"/>
      <c r="B278" s="99" t="s">
        <v>281</v>
      </c>
      <c r="C278" s="466" t="s">
        <v>186</v>
      </c>
      <c r="D278" s="125" t="s">
        <v>249</v>
      </c>
      <c r="E278" s="126">
        <v>0.375</v>
      </c>
      <c r="F278" s="126">
        <v>0.75</v>
      </c>
      <c r="G278" s="217">
        <f t="shared" si="110"/>
        <v>0.375</v>
      </c>
      <c r="H278" s="218">
        <f t="shared" si="111"/>
        <v>0</v>
      </c>
      <c r="I278" s="96">
        <f t="shared" si="112"/>
        <v>0</v>
      </c>
      <c r="J278" s="219">
        <f t="shared" si="113"/>
        <v>0</v>
      </c>
      <c r="K278" s="220">
        <f t="shared" si="114"/>
        <v>4.1666666666666685E-2</v>
      </c>
      <c r="L278" s="100">
        <f t="shared" si="115"/>
        <v>1</v>
      </c>
      <c r="M278" s="221" t="str">
        <f t="shared" si="121"/>
        <v/>
      </c>
      <c r="N278" s="222">
        <f t="shared" si="116"/>
        <v>1</v>
      </c>
      <c r="O278" s="223">
        <f>IF(N278=0,0,IF(SUM($N$5:N278)&gt;251,1,0))</f>
        <v>0</v>
      </c>
      <c r="P278" s="408">
        <v>1</v>
      </c>
      <c r="Q278" s="409">
        <v>0</v>
      </c>
      <c r="R278" s="224"/>
      <c r="S278" s="411" t="s">
        <v>672</v>
      </c>
      <c r="T278" s="225" t="s">
        <v>697</v>
      </c>
      <c r="U278" s="226" t="s">
        <v>698</v>
      </c>
      <c r="V278" s="413" t="s">
        <v>695</v>
      </c>
      <c r="W278" s="225" t="s">
        <v>697</v>
      </c>
      <c r="X278" s="226" t="s">
        <v>698</v>
      </c>
      <c r="Y278" s="413" t="s">
        <v>696</v>
      </c>
      <c r="Z278" s="225" t="s">
        <v>699</v>
      </c>
      <c r="AA278" s="226" t="s">
        <v>698</v>
      </c>
      <c r="AB278" s="413"/>
      <c r="AC278" s="225">
        <f t="shared" si="127"/>
        <v>0</v>
      </c>
      <c r="AD278" s="226">
        <f t="shared" si="122"/>
        <v>0</v>
      </c>
      <c r="AE278" s="413"/>
      <c r="AF278" s="225">
        <f t="shared" si="128"/>
        <v>0</v>
      </c>
      <c r="AG278" s="226">
        <f t="shared" si="123"/>
        <v>0</v>
      </c>
      <c r="AH278" s="413"/>
      <c r="AI278" s="225">
        <f t="shared" si="129"/>
        <v>0</v>
      </c>
      <c r="AJ278" s="226">
        <f t="shared" si="124"/>
        <v>0</v>
      </c>
      <c r="AK278" s="413"/>
      <c r="AL278" s="225">
        <f t="shared" si="130"/>
        <v>0</v>
      </c>
      <c r="AM278" s="226">
        <f t="shared" si="125"/>
        <v>0</v>
      </c>
      <c r="AN278" s="462" t="str">
        <f t="shared" si="117"/>
        <v/>
      </c>
      <c r="AO278" s="416" t="str">
        <f t="shared" si="118"/>
        <v/>
      </c>
      <c r="AP278" s="416" t="str">
        <f t="shared" si="119"/>
        <v/>
      </c>
      <c r="AQ278" s="416" t="str">
        <f t="shared" si="120"/>
        <v/>
      </c>
      <c r="AR278" s="416" t="str">
        <f t="shared" si="126"/>
        <v/>
      </c>
    </row>
    <row r="279" spans="1:44" ht="15" thickBot="1">
      <c r="A279" s="831"/>
      <c r="B279" s="101" t="s">
        <v>292</v>
      </c>
      <c r="C279" s="102" t="s">
        <v>262</v>
      </c>
      <c r="D279" s="128" t="s">
        <v>251</v>
      </c>
      <c r="E279" s="127"/>
      <c r="F279" s="127"/>
      <c r="G279" s="227">
        <f t="shared" si="110"/>
        <v>0</v>
      </c>
      <c r="H279" s="228">
        <f t="shared" si="111"/>
        <v>0</v>
      </c>
      <c r="I279" s="103">
        <f t="shared" si="112"/>
        <v>0</v>
      </c>
      <c r="J279" s="229">
        <f t="shared" si="113"/>
        <v>0</v>
      </c>
      <c r="K279" s="230">
        <f t="shared" si="114"/>
        <v>0</v>
      </c>
      <c r="L279" s="104">
        <f t="shared" si="115"/>
        <v>0</v>
      </c>
      <c r="M279" s="231" t="str">
        <f t="shared" si="121"/>
        <v/>
      </c>
      <c r="N279" s="232">
        <f t="shared" si="116"/>
        <v>0</v>
      </c>
      <c r="O279" s="233">
        <f>IF(N279=0,0,IF(SUM($N$5:N279)&gt;251,1,0))</f>
        <v>0</v>
      </c>
      <c r="P279" s="408"/>
      <c r="Q279" s="409"/>
      <c r="R279" s="236">
        <f>SUM(P249:P279)</f>
        <v>419</v>
      </c>
      <c r="S279" s="411"/>
      <c r="T279" s="225">
        <f t="shared" si="131"/>
        <v>0</v>
      </c>
      <c r="U279" s="235">
        <f t="shared" si="132"/>
        <v>0</v>
      </c>
      <c r="V279" s="414"/>
      <c r="W279" s="225">
        <f t="shared" si="133"/>
        <v>0</v>
      </c>
      <c r="X279" s="235">
        <f t="shared" si="134"/>
        <v>0</v>
      </c>
      <c r="Y279" s="414"/>
      <c r="Z279" s="225">
        <f t="shared" si="135"/>
        <v>0</v>
      </c>
      <c r="AA279" s="235">
        <f t="shared" si="136"/>
        <v>0</v>
      </c>
      <c r="AB279" s="414"/>
      <c r="AC279" s="225">
        <f t="shared" si="127"/>
        <v>0</v>
      </c>
      <c r="AD279" s="235">
        <f t="shared" si="122"/>
        <v>0</v>
      </c>
      <c r="AE279" s="414"/>
      <c r="AF279" s="225">
        <f t="shared" si="128"/>
        <v>0</v>
      </c>
      <c r="AG279" s="235">
        <f t="shared" si="123"/>
        <v>0</v>
      </c>
      <c r="AH279" s="414"/>
      <c r="AI279" s="225">
        <f t="shared" si="129"/>
        <v>0</v>
      </c>
      <c r="AJ279" s="235">
        <f t="shared" si="124"/>
        <v>0</v>
      </c>
      <c r="AK279" s="414"/>
      <c r="AL279" s="225">
        <f t="shared" si="130"/>
        <v>0</v>
      </c>
      <c r="AM279" s="235">
        <f t="shared" si="125"/>
        <v>0</v>
      </c>
      <c r="AN279" s="463" t="str">
        <f t="shared" si="117"/>
        <v/>
      </c>
      <c r="AO279" s="417" t="str">
        <f t="shared" si="118"/>
        <v/>
      </c>
      <c r="AP279" s="417" t="str">
        <f t="shared" si="119"/>
        <v/>
      </c>
      <c r="AQ279" s="417" t="str">
        <f t="shared" si="120"/>
        <v/>
      </c>
      <c r="AR279" s="416" t="str">
        <f t="shared" si="126"/>
        <v/>
      </c>
    </row>
    <row r="280" spans="1:44" ht="14.25">
      <c r="A280" s="829" t="s">
        <v>289</v>
      </c>
      <c r="B280" s="467" t="s">
        <v>248</v>
      </c>
      <c r="C280" s="468" t="s">
        <v>600</v>
      </c>
      <c r="D280" s="469" t="s">
        <v>251</v>
      </c>
      <c r="E280" s="470"/>
      <c r="F280" s="124"/>
      <c r="G280" s="207">
        <f t="shared" si="110"/>
        <v>0</v>
      </c>
      <c r="H280" s="208">
        <f t="shared" si="111"/>
        <v>0</v>
      </c>
      <c r="I280" s="95">
        <f t="shared" si="112"/>
        <v>0</v>
      </c>
      <c r="J280" s="209">
        <f t="shared" si="113"/>
        <v>0</v>
      </c>
      <c r="K280" s="210">
        <f t="shared" si="114"/>
        <v>0</v>
      </c>
      <c r="L280" s="97">
        <f t="shared" si="115"/>
        <v>0</v>
      </c>
      <c r="M280" s="211" t="str">
        <f t="shared" si="121"/>
        <v/>
      </c>
      <c r="N280" s="212">
        <f t="shared" si="116"/>
        <v>0</v>
      </c>
      <c r="O280" s="213">
        <f>IF(N280=0,0,IF(SUM($N$5:N280)&gt;251,1,0))</f>
        <v>0</v>
      </c>
      <c r="P280" s="408"/>
      <c r="Q280" s="409"/>
      <c r="R280" s="214"/>
      <c r="S280" s="411" t="s">
        <v>672</v>
      </c>
      <c r="T280" s="225" t="s">
        <v>697</v>
      </c>
      <c r="U280" s="216" t="s">
        <v>698</v>
      </c>
      <c r="V280" s="412" t="s">
        <v>695</v>
      </c>
      <c r="W280" s="225" t="s">
        <v>697</v>
      </c>
      <c r="X280" s="216" t="s">
        <v>698</v>
      </c>
      <c r="Y280" s="412" t="s">
        <v>696</v>
      </c>
      <c r="Z280" s="225" t="s">
        <v>699</v>
      </c>
      <c r="AA280" s="216" t="s">
        <v>698</v>
      </c>
      <c r="AB280" s="412"/>
      <c r="AC280" s="225">
        <f t="shared" si="127"/>
        <v>0</v>
      </c>
      <c r="AD280" s="216">
        <f t="shared" si="122"/>
        <v>0</v>
      </c>
      <c r="AE280" s="412"/>
      <c r="AF280" s="225">
        <f t="shared" si="128"/>
        <v>0</v>
      </c>
      <c r="AG280" s="216">
        <f t="shared" si="123"/>
        <v>0</v>
      </c>
      <c r="AH280" s="412"/>
      <c r="AI280" s="225">
        <f t="shared" si="129"/>
        <v>0</v>
      </c>
      <c r="AJ280" s="216">
        <f t="shared" si="124"/>
        <v>0</v>
      </c>
      <c r="AK280" s="412"/>
      <c r="AL280" s="225">
        <f t="shared" si="130"/>
        <v>0</v>
      </c>
      <c r="AM280" s="216">
        <f t="shared" si="125"/>
        <v>0</v>
      </c>
      <c r="AN280" s="461" t="str">
        <f t="shared" si="117"/>
        <v/>
      </c>
      <c r="AO280" s="418" t="str">
        <f t="shared" si="118"/>
        <v/>
      </c>
      <c r="AP280" s="418" t="str">
        <f t="shared" si="119"/>
        <v/>
      </c>
      <c r="AQ280" s="415" t="str">
        <f t="shared" si="120"/>
        <v/>
      </c>
      <c r="AR280" s="416" t="str">
        <f t="shared" si="126"/>
        <v/>
      </c>
    </row>
    <row r="281" spans="1:44" ht="14.25">
      <c r="A281" s="830"/>
      <c r="B281" s="99" t="s">
        <v>250</v>
      </c>
      <c r="C281" s="466" t="s">
        <v>187</v>
      </c>
      <c r="D281" s="469" t="s">
        <v>251</v>
      </c>
      <c r="E281" s="126"/>
      <c r="F281" s="126"/>
      <c r="G281" s="217">
        <f t="shared" si="110"/>
        <v>0</v>
      </c>
      <c r="H281" s="218">
        <f t="shared" si="111"/>
        <v>0</v>
      </c>
      <c r="I281" s="96">
        <f t="shared" si="112"/>
        <v>0</v>
      </c>
      <c r="J281" s="219">
        <f t="shared" si="113"/>
        <v>0</v>
      </c>
      <c r="K281" s="220">
        <f t="shared" si="114"/>
        <v>0</v>
      </c>
      <c r="L281" s="100">
        <f t="shared" si="115"/>
        <v>0</v>
      </c>
      <c r="M281" s="221" t="str">
        <f t="shared" si="121"/>
        <v/>
      </c>
      <c r="N281" s="222">
        <f t="shared" si="116"/>
        <v>0</v>
      </c>
      <c r="O281" s="223">
        <f>IF(N281=0,0,IF(SUM($N$5:N281)&gt;251,1,0))</f>
        <v>0</v>
      </c>
      <c r="P281" s="408"/>
      <c r="Q281" s="409"/>
      <c r="R281" s="224"/>
      <c r="S281" s="411" t="s">
        <v>672</v>
      </c>
      <c r="T281" s="225" t="s">
        <v>697</v>
      </c>
      <c r="U281" s="226" t="s">
        <v>698</v>
      </c>
      <c r="V281" s="413" t="s">
        <v>695</v>
      </c>
      <c r="W281" s="225" t="s">
        <v>697</v>
      </c>
      <c r="X281" s="226" t="s">
        <v>698</v>
      </c>
      <c r="Y281" s="413" t="s">
        <v>696</v>
      </c>
      <c r="Z281" s="225" t="s">
        <v>699</v>
      </c>
      <c r="AA281" s="226" t="s">
        <v>698</v>
      </c>
      <c r="AB281" s="413"/>
      <c r="AC281" s="225">
        <f t="shared" si="127"/>
        <v>0</v>
      </c>
      <c r="AD281" s="226">
        <f t="shared" si="122"/>
        <v>0</v>
      </c>
      <c r="AE281" s="413"/>
      <c r="AF281" s="225">
        <f t="shared" si="128"/>
        <v>0</v>
      </c>
      <c r="AG281" s="226">
        <f t="shared" si="123"/>
        <v>0</v>
      </c>
      <c r="AH281" s="413"/>
      <c r="AI281" s="225">
        <f t="shared" si="129"/>
        <v>0</v>
      </c>
      <c r="AJ281" s="226">
        <f t="shared" si="124"/>
        <v>0</v>
      </c>
      <c r="AK281" s="413"/>
      <c r="AL281" s="225">
        <f t="shared" si="130"/>
        <v>0</v>
      </c>
      <c r="AM281" s="226">
        <f t="shared" si="125"/>
        <v>0</v>
      </c>
      <c r="AN281" s="462" t="str">
        <f t="shared" si="117"/>
        <v/>
      </c>
      <c r="AO281" s="416" t="str">
        <f t="shared" si="118"/>
        <v/>
      </c>
      <c r="AP281" s="416" t="str">
        <f t="shared" si="119"/>
        <v/>
      </c>
      <c r="AQ281" s="416" t="str">
        <f t="shared" si="120"/>
        <v/>
      </c>
      <c r="AR281" s="416" t="str">
        <f t="shared" si="126"/>
        <v/>
      </c>
    </row>
    <row r="282" spans="1:44" ht="14.25">
      <c r="A282" s="830"/>
      <c r="B282" s="99" t="s">
        <v>252</v>
      </c>
      <c r="C282" s="466" t="s">
        <v>183</v>
      </c>
      <c r="D282" s="469" t="s">
        <v>251</v>
      </c>
      <c r="E282" s="126"/>
      <c r="F282" s="126"/>
      <c r="G282" s="217">
        <f t="shared" si="110"/>
        <v>0</v>
      </c>
      <c r="H282" s="218">
        <f t="shared" si="111"/>
        <v>0</v>
      </c>
      <c r="I282" s="96">
        <f t="shared" si="112"/>
        <v>0</v>
      </c>
      <c r="J282" s="219">
        <f t="shared" si="113"/>
        <v>0</v>
      </c>
      <c r="K282" s="220">
        <f t="shared" si="114"/>
        <v>0</v>
      </c>
      <c r="L282" s="100">
        <f t="shared" si="115"/>
        <v>0</v>
      </c>
      <c r="M282" s="221" t="str">
        <f t="shared" si="121"/>
        <v/>
      </c>
      <c r="N282" s="222">
        <f t="shared" si="116"/>
        <v>0</v>
      </c>
      <c r="O282" s="223">
        <f>IF(N282=0,0,IF(SUM($N$5:N282)&gt;251,1,0))</f>
        <v>0</v>
      </c>
      <c r="P282" s="408"/>
      <c r="Q282" s="409"/>
      <c r="R282" s="224"/>
      <c r="S282" s="411" t="s">
        <v>672</v>
      </c>
      <c r="T282" s="225" t="s">
        <v>697</v>
      </c>
      <c r="U282" s="226" t="s">
        <v>698</v>
      </c>
      <c r="V282" s="413" t="s">
        <v>695</v>
      </c>
      <c r="W282" s="225" t="s">
        <v>697</v>
      </c>
      <c r="X282" s="226" t="s">
        <v>698</v>
      </c>
      <c r="Y282" s="413" t="s">
        <v>696</v>
      </c>
      <c r="Z282" s="225" t="s">
        <v>699</v>
      </c>
      <c r="AA282" s="226" t="s">
        <v>698</v>
      </c>
      <c r="AB282" s="413"/>
      <c r="AC282" s="225">
        <f t="shared" si="127"/>
        <v>0</v>
      </c>
      <c r="AD282" s="226">
        <f t="shared" si="122"/>
        <v>0</v>
      </c>
      <c r="AE282" s="413"/>
      <c r="AF282" s="225">
        <f t="shared" si="128"/>
        <v>0</v>
      </c>
      <c r="AG282" s="226">
        <f t="shared" si="123"/>
        <v>0</v>
      </c>
      <c r="AH282" s="413"/>
      <c r="AI282" s="225">
        <f t="shared" si="129"/>
        <v>0</v>
      </c>
      <c r="AJ282" s="226">
        <f t="shared" si="124"/>
        <v>0</v>
      </c>
      <c r="AK282" s="413"/>
      <c r="AL282" s="225">
        <f t="shared" si="130"/>
        <v>0</v>
      </c>
      <c r="AM282" s="226">
        <f t="shared" si="125"/>
        <v>0</v>
      </c>
      <c r="AN282" s="462" t="str">
        <f t="shared" si="117"/>
        <v/>
      </c>
      <c r="AO282" s="416" t="str">
        <f t="shared" si="118"/>
        <v/>
      </c>
      <c r="AP282" s="416" t="str">
        <f t="shared" si="119"/>
        <v/>
      </c>
      <c r="AQ282" s="416" t="str">
        <f t="shared" si="120"/>
        <v/>
      </c>
      <c r="AR282" s="416" t="str">
        <f t="shared" si="126"/>
        <v/>
      </c>
    </row>
    <row r="283" spans="1:44" ht="14.25">
      <c r="A283" s="830"/>
      <c r="B283" s="99" t="s">
        <v>254</v>
      </c>
      <c r="C283" s="466" t="s">
        <v>184</v>
      </c>
      <c r="D283" s="469" t="s">
        <v>249</v>
      </c>
      <c r="E283" s="126">
        <v>0.58333333333333337</v>
      </c>
      <c r="F283" s="126">
        <v>0.79166666666666663</v>
      </c>
      <c r="G283" s="217">
        <f t="shared" si="110"/>
        <v>0.20833333333333326</v>
      </c>
      <c r="H283" s="218">
        <f t="shared" si="111"/>
        <v>0</v>
      </c>
      <c r="I283" s="96">
        <f t="shared" si="112"/>
        <v>0</v>
      </c>
      <c r="J283" s="219">
        <f t="shared" si="113"/>
        <v>0</v>
      </c>
      <c r="K283" s="220">
        <f t="shared" si="114"/>
        <v>0</v>
      </c>
      <c r="L283" s="100">
        <f t="shared" si="115"/>
        <v>0</v>
      </c>
      <c r="M283" s="221" t="str">
        <f t="shared" si="121"/>
        <v/>
      </c>
      <c r="N283" s="222">
        <f t="shared" si="116"/>
        <v>0</v>
      </c>
      <c r="O283" s="223">
        <f>IF(N283=0,0,IF(SUM($N$5:N283)&gt;251,1,0))</f>
        <v>0</v>
      </c>
      <c r="P283" s="408">
        <v>5</v>
      </c>
      <c r="Q283" s="409">
        <v>0</v>
      </c>
      <c r="R283" s="224"/>
      <c r="S283" s="411" t="s">
        <v>672</v>
      </c>
      <c r="T283" s="225" t="s">
        <v>697</v>
      </c>
      <c r="U283" s="226" t="s">
        <v>698</v>
      </c>
      <c r="V283" s="413" t="s">
        <v>695</v>
      </c>
      <c r="W283" s="225" t="s">
        <v>697</v>
      </c>
      <c r="X283" s="226" t="s">
        <v>698</v>
      </c>
      <c r="Y283" s="413" t="s">
        <v>696</v>
      </c>
      <c r="Z283" s="225" t="s">
        <v>699</v>
      </c>
      <c r="AA283" s="226" t="s">
        <v>698</v>
      </c>
      <c r="AB283" s="413"/>
      <c r="AC283" s="225">
        <f t="shared" si="127"/>
        <v>0</v>
      </c>
      <c r="AD283" s="226">
        <f t="shared" si="122"/>
        <v>0</v>
      </c>
      <c r="AE283" s="413"/>
      <c r="AF283" s="225">
        <f t="shared" si="128"/>
        <v>0</v>
      </c>
      <c r="AG283" s="226">
        <f t="shared" si="123"/>
        <v>0</v>
      </c>
      <c r="AH283" s="413"/>
      <c r="AI283" s="225">
        <f t="shared" si="129"/>
        <v>0</v>
      </c>
      <c r="AJ283" s="226">
        <f t="shared" si="124"/>
        <v>0</v>
      </c>
      <c r="AK283" s="413"/>
      <c r="AL283" s="225">
        <f t="shared" si="130"/>
        <v>0</v>
      </c>
      <c r="AM283" s="226">
        <f t="shared" si="125"/>
        <v>0</v>
      </c>
      <c r="AN283" s="462" t="str">
        <f t="shared" si="117"/>
        <v/>
      </c>
      <c r="AO283" s="416" t="str">
        <f t="shared" si="118"/>
        <v/>
      </c>
      <c r="AP283" s="416" t="str">
        <f t="shared" si="119"/>
        <v/>
      </c>
      <c r="AQ283" s="416" t="str">
        <f t="shared" si="120"/>
        <v/>
      </c>
      <c r="AR283" s="416" t="str">
        <f t="shared" si="126"/>
        <v/>
      </c>
    </row>
    <row r="284" spans="1:44" ht="14.25">
      <c r="A284" s="830"/>
      <c r="B284" s="99" t="s">
        <v>255</v>
      </c>
      <c r="C284" s="466" t="s">
        <v>185</v>
      </c>
      <c r="D284" s="469" t="s">
        <v>249</v>
      </c>
      <c r="E284" s="126">
        <v>0.58333333333333337</v>
      </c>
      <c r="F284" s="126">
        <v>0.79166666666666663</v>
      </c>
      <c r="G284" s="217">
        <f t="shared" si="110"/>
        <v>0.20833333333333326</v>
      </c>
      <c r="H284" s="218">
        <f t="shared" si="111"/>
        <v>0</v>
      </c>
      <c r="I284" s="96">
        <f t="shared" si="112"/>
        <v>0</v>
      </c>
      <c r="J284" s="219">
        <f t="shared" si="113"/>
        <v>0</v>
      </c>
      <c r="K284" s="220">
        <f t="shared" si="114"/>
        <v>0</v>
      </c>
      <c r="L284" s="100">
        <f t="shared" si="115"/>
        <v>0</v>
      </c>
      <c r="M284" s="221" t="str">
        <f t="shared" si="121"/>
        <v/>
      </c>
      <c r="N284" s="222">
        <f t="shared" si="116"/>
        <v>0</v>
      </c>
      <c r="O284" s="223">
        <f>IF(N284=0,0,IF(SUM($N$5:N284)&gt;251,1,0))</f>
        <v>0</v>
      </c>
      <c r="P284" s="408">
        <v>4</v>
      </c>
      <c r="Q284" s="409">
        <v>1</v>
      </c>
      <c r="R284" s="224"/>
      <c r="S284" s="411" t="s">
        <v>672</v>
      </c>
      <c r="T284" s="225" t="s">
        <v>697</v>
      </c>
      <c r="U284" s="226" t="s">
        <v>698</v>
      </c>
      <c r="V284" s="413" t="s">
        <v>695</v>
      </c>
      <c r="W284" s="225" t="s">
        <v>697</v>
      </c>
      <c r="X284" s="226" t="s">
        <v>698</v>
      </c>
      <c r="Y284" s="413" t="s">
        <v>696</v>
      </c>
      <c r="Z284" s="225" t="s">
        <v>699</v>
      </c>
      <c r="AA284" s="226" t="s">
        <v>698</v>
      </c>
      <c r="AB284" s="413"/>
      <c r="AC284" s="225">
        <f t="shared" si="127"/>
        <v>0</v>
      </c>
      <c r="AD284" s="226">
        <f t="shared" si="122"/>
        <v>0</v>
      </c>
      <c r="AE284" s="413"/>
      <c r="AF284" s="225">
        <f t="shared" si="128"/>
        <v>0</v>
      </c>
      <c r="AG284" s="226">
        <f t="shared" si="123"/>
        <v>0</v>
      </c>
      <c r="AH284" s="413"/>
      <c r="AI284" s="225">
        <f t="shared" si="129"/>
        <v>0</v>
      </c>
      <c r="AJ284" s="226">
        <f t="shared" si="124"/>
        <v>0</v>
      </c>
      <c r="AK284" s="413"/>
      <c r="AL284" s="225">
        <f t="shared" si="130"/>
        <v>0</v>
      </c>
      <c r="AM284" s="226">
        <f t="shared" si="125"/>
        <v>0</v>
      </c>
      <c r="AN284" s="462" t="str">
        <f t="shared" si="117"/>
        <v/>
      </c>
      <c r="AO284" s="416" t="str">
        <f t="shared" si="118"/>
        <v/>
      </c>
      <c r="AP284" s="416" t="str">
        <f t="shared" si="119"/>
        <v/>
      </c>
      <c r="AQ284" s="416" t="str">
        <f t="shared" si="120"/>
        <v/>
      </c>
      <c r="AR284" s="416" t="str">
        <f t="shared" si="126"/>
        <v/>
      </c>
    </row>
    <row r="285" spans="1:44" ht="14.25">
      <c r="A285" s="830"/>
      <c r="B285" s="99" t="s">
        <v>256</v>
      </c>
      <c r="C285" s="466" t="s">
        <v>186</v>
      </c>
      <c r="D285" s="469" t="s">
        <v>249</v>
      </c>
      <c r="E285" s="126">
        <v>0.375</v>
      </c>
      <c r="F285" s="126">
        <v>0.75</v>
      </c>
      <c r="G285" s="217">
        <f t="shared" si="110"/>
        <v>0.375</v>
      </c>
      <c r="H285" s="218">
        <f t="shared" si="111"/>
        <v>0</v>
      </c>
      <c r="I285" s="96">
        <f t="shared" si="112"/>
        <v>0</v>
      </c>
      <c r="J285" s="219">
        <f t="shared" si="113"/>
        <v>0</v>
      </c>
      <c r="K285" s="220">
        <f t="shared" si="114"/>
        <v>4.1666666666666685E-2</v>
      </c>
      <c r="L285" s="100">
        <f t="shared" si="115"/>
        <v>1</v>
      </c>
      <c r="M285" s="221" t="str">
        <f t="shared" si="121"/>
        <v/>
      </c>
      <c r="N285" s="222">
        <f t="shared" si="116"/>
        <v>1</v>
      </c>
      <c r="O285" s="223">
        <f>IF(N285=0,0,IF(SUM($N$5:N285)&gt;251,1,0))</f>
        <v>0</v>
      </c>
      <c r="P285" s="408">
        <v>5</v>
      </c>
      <c r="Q285" s="409">
        <v>1</v>
      </c>
      <c r="R285" s="224"/>
      <c r="S285" s="411" t="s">
        <v>672</v>
      </c>
      <c r="T285" s="225" t="s">
        <v>697</v>
      </c>
      <c r="U285" s="226" t="s">
        <v>698</v>
      </c>
      <c r="V285" s="413" t="s">
        <v>695</v>
      </c>
      <c r="W285" s="225" t="s">
        <v>697</v>
      </c>
      <c r="X285" s="226" t="s">
        <v>698</v>
      </c>
      <c r="Y285" s="413" t="s">
        <v>696</v>
      </c>
      <c r="Z285" s="225" t="s">
        <v>699</v>
      </c>
      <c r="AA285" s="226" t="s">
        <v>698</v>
      </c>
      <c r="AB285" s="413"/>
      <c r="AC285" s="225">
        <f t="shared" si="127"/>
        <v>0</v>
      </c>
      <c r="AD285" s="226">
        <f t="shared" si="122"/>
        <v>0</v>
      </c>
      <c r="AE285" s="413"/>
      <c r="AF285" s="225">
        <f t="shared" si="128"/>
        <v>0</v>
      </c>
      <c r="AG285" s="226">
        <f t="shared" si="123"/>
        <v>0</v>
      </c>
      <c r="AH285" s="413"/>
      <c r="AI285" s="225">
        <f t="shared" si="129"/>
        <v>0</v>
      </c>
      <c r="AJ285" s="226">
        <f t="shared" si="124"/>
        <v>0</v>
      </c>
      <c r="AK285" s="413"/>
      <c r="AL285" s="225">
        <f t="shared" si="130"/>
        <v>0</v>
      </c>
      <c r="AM285" s="226">
        <f t="shared" si="125"/>
        <v>0</v>
      </c>
      <c r="AN285" s="462" t="str">
        <f t="shared" si="117"/>
        <v/>
      </c>
      <c r="AO285" s="416" t="str">
        <f t="shared" si="118"/>
        <v/>
      </c>
      <c r="AP285" s="416" t="str">
        <f t="shared" si="119"/>
        <v/>
      </c>
      <c r="AQ285" s="416" t="str">
        <f t="shared" si="120"/>
        <v/>
      </c>
      <c r="AR285" s="416" t="str">
        <f t="shared" si="126"/>
        <v/>
      </c>
    </row>
    <row r="286" spans="1:44" ht="14.25">
      <c r="A286" s="830"/>
      <c r="B286" s="99" t="s">
        <v>257</v>
      </c>
      <c r="C286" s="466" t="s">
        <v>262</v>
      </c>
      <c r="D286" s="125" t="s">
        <v>251</v>
      </c>
      <c r="E286" s="126"/>
      <c r="F286" s="126"/>
      <c r="G286" s="217">
        <f t="shared" si="110"/>
        <v>0</v>
      </c>
      <c r="H286" s="218">
        <f t="shared" si="111"/>
        <v>0</v>
      </c>
      <c r="I286" s="96">
        <f t="shared" si="112"/>
        <v>0</v>
      </c>
      <c r="J286" s="219">
        <f t="shared" si="113"/>
        <v>0</v>
      </c>
      <c r="K286" s="220">
        <f t="shared" si="114"/>
        <v>0</v>
      </c>
      <c r="L286" s="100">
        <f t="shared" si="115"/>
        <v>0</v>
      </c>
      <c r="M286" s="221" t="str">
        <f t="shared" si="121"/>
        <v/>
      </c>
      <c r="N286" s="222">
        <f t="shared" si="116"/>
        <v>0</v>
      </c>
      <c r="O286" s="223">
        <f>IF(N286=0,0,IF(SUM($N$5:N286)&gt;251,1,0))</f>
        <v>0</v>
      </c>
      <c r="P286" s="408"/>
      <c r="Q286" s="409"/>
      <c r="R286" s="224"/>
      <c r="S286" s="411"/>
      <c r="T286" s="225">
        <f t="shared" si="131"/>
        <v>0</v>
      </c>
      <c r="U286" s="226">
        <f t="shared" si="132"/>
        <v>0</v>
      </c>
      <c r="V286" s="413"/>
      <c r="W286" s="225">
        <f t="shared" si="133"/>
        <v>0</v>
      </c>
      <c r="X286" s="226">
        <f t="shared" si="134"/>
        <v>0</v>
      </c>
      <c r="Y286" s="413"/>
      <c r="Z286" s="225">
        <f t="shared" si="135"/>
        <v>0</v>
      </c>
      <c r="AA286" s="226">
        <f t="shared" si="136"/>
        <v>0</v>
      </c>
      <c r="AB286" s="413"/>
      <c r="AC286" s="225">
        <f t="shared" si="127"/>
        <v>0</v>
      </c>
      <c r="AD286" s="226">
        <f t="shared" si="122"/>
        <v>0</v>
      </c>
      <c r="AE286" s="413"/>
      <c r="AF286" s="225">
        <f t="shared" si="128"/>
        <v>0</v>
      </c>
      <c r="AG286" s="226">
        <f t="shared" si="123"/>
        <v>0</v>
      </c>
      <c r="AH286" s="413"/>
      <c r="AI286" s="225">
        <f t="shared" si="129"/>
        <v>0</v>
      </c>
      <c r="AJ286" s="226">
        <f t="shared" si="124"/>
        <v>0</v>
      </c>
      <c r="AK286" s="413"/>
      <c r="AL286" s="225">
        <f t="shared" si="130"/>
        <v>0</v>
      </c>
      <c r="AM286" s="226">
        <f t="shared" si="125"/>
        <v>0</v>
      </c>
      <c r="AN286" s="462" t="str">
        <f t="shared" si="117"/>
        <v/>
      </c>
      <c r="AO286" s="416" t="str">
        <f t="shared" si="118"/>
        <v/>
      </c>
      <c r="AP286" s="416" t="str">
        <f t="shared" si="119"/>
        <v/>
      </c>
      <c r="AQ286" s="416" t="str">
        <f t="shared" si="120"/>
        <v/>
      </c>
      <c r="AR286" s="416" t="str">
        <f t="shared" si="126"/>
        <v/>
      </c>
    </row>
    <row r="287" spans="1:44" ht="14.25">
      <c r="A287" s="830"/>
      <c r="B287" s="99" t="s">
        <v>258</v>
      </c>
      <c r="C287" s="466" t="s">
        <v>600</v>
      </c>
      <c r="D287" s="125" t="s">
        <v>249</v>
      </c>
      <c r="E287" s="126">
        <v>0.375</v>
      </c>
      <c r="F287" s="126">
        <v>0.75</v>
      </c>
      <c r="G287" s="217">
        <f t="shared" si="110"/>
        <v>0.375</v>
      </c>
      <c r="H287" s="218">
        <f t="shared" si="111"/>
        <v>0</v>
      </c>
      <c r="I287" s="96">
        <f t="shared" si="112"/>
        <v>0</v>
      </c>
      <c r="J287" s="219">
        <f t="shared" si="113"/>
        <v>0</v>
      </c>
      <c r="K287" s="220">
        <f t="shared" si="114"/>
        <v>4.1666666666666685E-2</v>
      </c>
      <c r="L287" s="100">
        <f t="shared" si="115"/>
        <v>1</v>
      </c>
      <c r="M287" s="221" t="str">
        <f t="shared" si="121"/>
        <v/>
      </c>
      <c r="N287" s="222">
        <f t="shared" si="116"/>
        <v>1</v>
      </c>
      <c r="O287" s="223">
        <f>IF(N287=0,0,IF(SUM($N$5:N287)&gt;251,1,0))</f>
        <v>0</v>
      </c>
      <c r="P287" s="408">
        <v>2</v>
      </c>
      <c r="Q287" s="409">
        <v>1</v>
      </c>
      <c r="R287" s="224"/>
      <c r="S287" s="411" t="s">
        <v>672</v>
      </c>
      <c r="T287" s="225" t="s">
        <v>697</v>
      </c>
      <c r="U287" s="226" t="s">
        <v>698</v>
      </c>
      <c r="V287" s="413" t="s">
        <v>695</v>
      </c>
      <c r="W287" s="225" t="s">
        <v>697</v>
      </c>
      <c r="X287" s="226" t="s">
        <v>698</v>
      </c>
      <c r="Y287" s="413" t="s">
        <v>696</v>
      </c>
      <c r="Z287" s="225" t="s">
        <v>699</v>
      </c>
      <c r="AA287" s="226" t="s">
        <v>698</v>
      </c>
      <c r="AB287" s="413"/>
      <c r="AC287" s="225">
        <f t="shared" si="127"/>
        <v>0</v>
      </c>
      <c r="AD287" s="226">
        <f t="shared" si="122"/>
        <v>0</v>
      </c>
      <c r="AE287" s="413"/>
      <c r="AF287" s="225">
        <f t="shared" si="128"/>
        <v>0</v>
      </c>
      <c r="AG287" s="226">
        <f t="shared" si="123"/>
        <v>0</v>
      </c>
      <c r="AH287" s="413"/>
      <c r="AI287" s="225">
        <f t="shared" si="129"/>
        <v>0</v>
      </c>
      <c r="AJ287" s="226">
        <f t="shared" si="124"/>
        <v>0</v>
      </c>
      <c r="AK287" s="413"/>
      <c r="AL287" s="225">
        <f t="shared" si="130"/>
        <v>0</v>
      </c>
      <c r="AM287" s="226">
        <f t="shared" si="125"/>
        <v>0</v>
      </c>
      <c r="AN287" s="462" t="str">
        <f t="shared" si="117"/>
        <v/>
      </c>
      <c r="AO287" s="416" t="str">
        <f t="shared" si="118"/>
        <v/>
      </c>
      <c r="AP287" s="416" t="str">
        <f t="shared" si="119"/>
        <v/>
      </c>
      <c r="AQ287" s="416" t="str">
        <f t="shared" si="120"/>
        <v/>
      </c>
      <c r="AR287" s="416" t="str">
        <f t="shared" si="126"/>
        <v/>
      </c>
    </row>
    <row r="288" spans="1:44" ht="14.25">
      <c r="A288" s="830"/>
      <c r="B288" s="99" t="s">
        <v>259</v>
      </c>
      <c r="C288" s="466" t="s">
        <v>187</v>
      </c>
      <c r="D288" s="125" t="s">
        <v>24</v>
      </c>
      <c r="E288" s="126">
        <v>0.58333333333333337</v>
      </c>
      <c r="F288" s="126">
        <v>0.79166666666666663</v>
      </c>
      <c r="G288" s="217">
        <f t="shared" si="110"/>
        <v>0.20833333333333326</v>
      </c>
      <c r="H288" s="218">
        <f t="shared" si="111"/>
        <v>0</v>
      </c>
      <c r="I288" s="96">
        <f t="shared" si="112"/>
        <v>0</v>
      </c>
      <c r="J288" s="219">
        <f t="shared" si="113"/>
        <v>0</v>
      </c>
      <c r="K288" s="220">
        <f t="shared" si="114"/>
        <v>0</v>
      </c>
      <c r="L288" s="100">
        <f t="shared" si="115"/>
        <v>0</v>
      </c>
      <c r="M288" s="221" t="str">
        <f t="shared" si="121"/>
        <v/>
      </c>
      <c r="N288" s="222">
        <f t="shared" si="116"/>
        <v>0</v>
      </c>
      <c r="O288" s="223">
        <f>IF(N288=0,0,IF(SUM($N$5:N288)&gt;251,1,0))</f>
        <v>0</v>
      </c>
      <c r="P288" s="408">
        <v>20</v>
      </c>
      <c r="Q288" s="409">
        <v>1</v>
      </c>
      <c r="R288" s="224"/>
      <c r="S288" s="411" t="s">
        <v>672</v>
      </c>
      <c r="T288" s="225" t="s">
        <v>697</v>
      </c>
      <c r="U288" s="226" t="s">
        <v>698</v>
      </c>
      <c r="V288" s="413" t="s">
        <v>695</v>
      </c>
      <c r="W288" s="225" t="s">
        <v>697</v>
      </c>
      <c r="X288" s="226" t="s">
        <v>698</v>
      </c>
      <c r="Y288" s="413" t="s">
        <v>696</v>
      </c>
      <c r="Z288" s="225" t="s">
        <v>699</v>
      </c>
      <c r="AA288" s="226" t="s">
        <v>698</v>
      </c>
      <c r="AB288" s="413"/>
      <c r="AC288" s="225">
        <f t="shared" si="127"/>
        <v>0</v>
      </c>
      <c r="AD288" s="226">
        <f t="shared" si="122"/>
        <v>0</v>
      </c>
      <c r="AE288" s="413"/>
      <c r="AF288" s="225">
        <f t="shared" si="128"/>
        <v>0</v>
      </c>
      <c r="AG288" s="226">
        <f t="shared" si="123"/>
        <v>0</v>
      </c>
      <c r="AH288" s="413"/>
      <c r="AI288" s="225">
        <f t="shared" si="129"/>
        <v>0</v>
      </c>
      <c r="AJ288" s="226">
        <f t="shared" si="124"/>
        <v>0</v>
      </c>
      <c r="AK288" s="413"/>
      <c r="AL288" s="225">
        <f t="shared" si="130"/>
        <v>0</v>
      </c>
      <c r="AM288" s="226">
        <f t="shared" si="125"/>
        <v>0</v>
      </c>
      <c r="AN288" s="462" t="str">
        <f t="shared" si="117"/>
        <v/>
      </c>
      <c r="AO288" s="416" t="str">
        <f t="shared" si="118"/>
        <v/>
      </c>
      <c r="AP288" s="416" t="str">
        <f t="shared" si="119"/>
        <v/>
      </c>
      <c r="AQ288" s="416" t="str">
        <f t="shared" si="120"/>
        <v/>
      </c>
      <c r="AR288" s="416" t="str">
        <f t="shared" si="126"/>
        <v/>
      </c>
    </row>
    <row r="289" spans="1:44" ht="14.25">
      <c r="A289" s="830"/>
      <c r="B289" s="99" t="s">
        <v>260</v>
      </c>
      <c r="C289" s="466" t="s">
        <v>183</v>
      </c>
      <c r="D289" s="125" t="s">
        <v>24</v>
      </c>
      <c r="E289" s="126">
        <v>0.58333333333333337</v>
      </c>
      <c r="F289" s="126">
        <v>0.79166666666666663</v>
      </c>
      <c r="G289" s="217">
        <f t="shared" si="110"/>
        <v>0.20833333333333326</v>
      </c>
      <c r="H289" s="218">
        <f t="shared" si="111"/>
        <v>0</v>
      </c>
      <c r="I289" s="96">
        <f t="shared" si="112"/>
        <v>0</v>
      </c>
      <c r="J289" s="219">
        <f t="shared" si="113"/>
        <v>0</v>
      </c>
      <c r="K289" s="220">
        <f t="shared" si="114"/>
        <v>0</v>
      </c>
      <c r="L289" s="100">
        <f t="shared" si="115"/>
        <v>0</v>
      </c>
      <c r="M289" s="221" t="str">
        <f t="shared" si="121"/>
        <v/>
      </c>
      <c r="N289" s="222">
        <f t="shared" si="116"/>
        <v>0</v>
      </c>
      <c r="O289" s="223">
        <f>IF(N289=0,0,IF(SUM($N$5:N289)&gt;251,1,0))</f>
        <v>0</v>
      </c>
      <c r="P289" s="408">
        <v>26</v>
      </c>
      <c r="Q289" s="409">
        <v>1</v>
      </c>
      <c r="R289" s="224"/>
      <c r="S289" s="411" t="s">
        <v>672</v>
      </c>
      <c r="T289" s="225" t="s">
        <v>697</v>
      </c>
      <c r="U289" s="226" t="s">
        <v>698</v>
      </c>
      <c r="V289" s="413" t="s">
        <v>695</v>
      </c>
      <c r="W289" s="225" t="s">
        <v>697</v>
      </c>
      <c r="X289" s="226" t="s">
        <v>698</v>
      </c>
      <c r="Y289" s="413" t="s">
        <v>696</v>
      </c>
      <c r="Z289" s="225" t="s">
        <v>699</v>
      </c>
      <c r="AA289" s="226" t="s">
        <v>698</v>
      </c>
      <c r="AB289" s="413"/>
      <c r="AC289" s="225">
        <f t="shared" si="127"/>
        <v>0</v>
      </c>
      <c r="AD289" s="226">
        <f t="shared" si="122"/>
        <v>0</v>
      </c>
      <c r="AE289" s="413"/>
      <c r="AF289" s="225">
        <f t="shared" si="128"/>
        <v>0</v>
      </c>
      <c r="AG289" s="226">
        <f t="shared" si="123"/>
        <v>0</v>
      </c>
      <c r="AH289" s="413"/>
      <c r="AI289" s="225">
        <f t="shared" si="129"/>
        <v>0</v>
      </c>
      <c r="AJ289" s="226">
        <f t="shared" si="124"/>
        <v>0</v>
      </c>
      <c r="AK289" s="413"/>
      <c r="AL289" s="225">
        <f t="shared" si="130"/>
        <v>0</v>
      </c>
      <c r="AM289" s="226">
        <f t="shared" si="125"/>
        <v>0</v>
      </c>
      <c r="AN289" s="462" t="str">
        <f t="shared" si="117"/>
        <v/>
      </c>
      <c r="AO289" s="416" t="str">
        <f t="shared" si="118"/>
        <v/>
      </c>
      <c r="AP289" s="416" t="str">
        <f t="shared" si="119"/>
        <v/>
      </c>
      <c r="AQ289" s="416" t="str">
        <f t="shared" si="120"/>
        <v/>
      </c>
      <c r="AR289" s="416" t="str">
        <f t="shared" si="126"/>
        <v/>
      </c>
    </row>
    <row r="290" spans="1:44" ht="14.25">
      <c r="A290" s="830"/>
      <c r="B290" s="99" t="s">
        <v>261</v>
      </c>
      <c r="C290" s="466" t="s">
        <v>184</v>
      </c>
      <c r="D290" s="125" t="s">
        <v>24</v>
      </c>
      <c r="E290" s="126">
        <v>0.58333333333333337</v>
      </c>
      <c r="F290" s="126">
        <v>0.79166666666666663</v>
      </c>
      <c r="G290" s="217">
        <f t="shared" si="110"/>
        <v>0.20833333333333326</v>
      </c>
      <c r="H290" s="218">
        <f t="shared" si="111"/>
        <v>0</v>
      </c>
      <c r="I290" s="96">
        <f t="shared" si="112"/>
        <v>0</v>
      </c>
      <c r="J290" s="219">
        <f t="shared" si="113"/>
        <v>0</v>
      </c>
      <c r="K290" s="220">
        <f t="shared" si="114"/>
        <v>0</v>
      </c>
      <c r="L290" s="100">
        <f t="shared" si="115"/>
        <v>0</v>
      </c>
      <c r="M290" s="221" t="str">
        <f t="shared" si="121"/>
        <v/>
      </c>
      <c r="N290" s="222">
        <f t="shared" si="116"/>
        <v>0</v>
      </c>
      <c r="O290" s="223">
        <f>IF(N290=0,0,IF(SUM($N$5:N290)&gt;251,1,0))</f>
        <v>0</v>
      </c>
      <c r="P290" s="408">
        <v>25</v>
      </c>
      <c r="Q290" s="409">
        <v>0</v>
      </c>
      <c r="R290" s="224"/>
      <c r="S290" s="411" t="s">
        <v>672</v>
      </c>
      <c r="T290" s="225" t="s">
        <v>697</v>
      </c>
      <c r="U290" s="226" t="s">
        <v>698</v>
      </c>
      <c r="V290" s="413" t="s">
        <v>695</v>
      </c>
      <c r="W290" s="225" t="s">
        <v>697</v>
      </c>
      <c r="X290" s="226" t="s">
        <v>698</v>
      </c>
      <c r="Y290" s="413" t="s">
        <v>696</v>
      </c>
      <c r="Z290" s="225" t="s">
        <v>699</v>
      </c>
      <c r="AA290" s="226" t="s">
        <v>698</v>
      </c>
      <c r="AB290" s="413"/>
      <c r="AC290" s="225">
        <f t="shared" si="127"/>
        <v>0</v>
      </c>
      <c r="AD290" s="226">
        <f t="shared" si="122"/>
        <v>0</v>
      </c>
      <c r="AE290" s="413"/>
      <c r="AF290" s="225">
        <f t="shared" si="128"/>
        <v>0</v>
      </c>
      <c r="AG290" s="226">
        <f t="shared" si="123"/>
        <v>0</v>
      </c>
      <c r="AH290" s="413"/>
      <c r="AI290" s="225">
        <f t="shared" si="129"/>
        <v>0</v>
      </c>
      <c r="AJ290" s="226">
        <f t="shared" si="124"/>
        <v>0</v>
      </c>
      <c r="AK290" s="413"/>
      <c r="AL290" s="225">
        <f t="shared" si="130"/>
        <v>0</v>
      </c>
      <c r="AM290" s="226">
        <f t="shared" si="125"/>
        <v>0</v>
      </c>
      <c r="AN290" s="462" t="str">
        <f t="shared" si="117"/>
        <v/>
      </c>
      <c r="AO290" s="416" t="str">
        <f t="shared" si="118"/>
        <v/>
      </c>
      <c r="AP290" s="416" t="str">
        <f t="shared" si="119"/>
        <v/>
      </c>
      <c r="AQ290" s="416" t="str">
        <f t="shared" si="120"/>
        <v/>
      </c>
      <c r="AR290" s="416" t="str">
        <f t="shared" si="126"/>
        <v/>
      </c>
    </row>
    <row r="291" spans="1:44" ht="14.25">
      <c r="A291" s="830"/>
      <c r="B291" s="99" t="s">
        <v>263</v>
      </c>
      <c r="C291" s="466" t="s">
        <v>185</v>
      </c>
      <c r="D291" s="125" t="s">
        <v>24</v>
      </c>
      <c r="E291" s="126">
        <v>0.58333333333333337</v>
      </c>
      <c r="F291" s="126">
        <v>0.79166666666666663</v>
      </c>
      <c r="G291" s="217">
        <f t="shared" si="110"/>
        <v>0.20833333333333326</v>
      </c>
      <c r="H291" s="218">
        <f t="shared" si="111"/>
        <v>0</v>
      </c>
      <c r="I291" s="96">
        <f t="shared" si="112"/>
        <v>0</v>
      </c>
      <c r="J291" s="219">
        <f t="shared" si="113"/>
        <v>0</v>
      </c>
      <c r="K291" s="220">
        <f t="shared" si="114"/>
        <v>0</v>
      </c>
      <c r="L291" s="100">
        <f t="shared" si="115"/>
        <v>0</v>
      </c>
      <c r="M291" s="221" t="str">
        <f t="shared" si="121"/>
        <v/>
      </c>
      <c r="N291" s="222">
        <f t="shared" si="116"/>
        <v>0</v>
      </c>
      <c r="O291" s="223">
        <f>IF(N291=0,0,IF(SUM($N$5:N291)&gt;251,1,0))</f>
        <v>0</v>
      </c>
      <c r="P291" s="408">
        <v>27</v>
      </c>
      <c r="Q291" s="409">
        <v>1</v>
      </c>
      <c r="R291" s="224"/>
      <c r="S291" s="411" t="s">
        <v>672</v>
      </c>
      <c r="T291" s="225" t="s">
        <v>697</v>
      </c>
      <c r="U291" s="226" t="s">
        <v>698</v>
      </c>
      <c r="V291" s="413" t="s">
        <v>695</v>
      </c>
      <c r="W291" s="225" t="s">
        <v>697</v>
      </c>
      <c r="X291" s="226" t="s">
        <v>698</v>
      </c>
      <c r="Y291" s="413" t="s">
        <v>696</v>
      </c>
      <c r="Z291" s="225" t="s">
        <v>699</v>
      </c>
      <c r="AA291" s="226" t="s">
        <v>698</v>
      </c>
      <c r="AB291" s="413"/>
      <c r="AC291" s="225">
        <f t="shared" si="127"/>
        <v>0</v>
      </c>
      <c r="AD291" s="226">
        <f t="shared" si="122"/>
        <v>0</v>
      </c>
      <c r="AE291" s="413"/>
      <c r="AF291" s="225">
        <f t="shared" si="128"/>
        <v>0</v>
      </c>
      <c r="AG291" s="226">
        <f t="shared" si="123"/>
        <v>0</v>
      </c>
      <c r="AH291" s="413"/>
      <c r="AI291" s="225">
        <f t="shared" si="129"/>
        <v>0</v>
      </c>
      <c r="AJ291" s="226">
        <f t="shared" si="124"/>
        <v>0</v>
      </c>
      <c r="AK291" s="413"/>
      <c r="AL291" s="225">
        <f t="shared" si="130"/>
        <v>0</v>
      </c>
      <c r="AM291" s="226">
        <f t="shared" si="125"/>
        <v>0</v>
      </c>
      <c r="AN291" s="462" t="str">
        <f t="shared" si="117"/>
        <v/>
      </c>
      <c r="AO291" s="416" t="str">
        <f t="shared" si="118"/>
        <v/>
      </c>
      <c r="AP291" s="416" t="str">
        <f t="shared" si="119"/>
        <v/>
      </c>
      <c r="AQ291" s="416" t="str">
        <f t="shared" si="120"/>
        <v/>
      </c>
      <c r="AR291" s="416" t="str">
        <f t="shared" si="126"/>
        <v/>
      </c>
    </row>
    <row r="292" spans="1:44" ht="14.25">
      <c r="A292" s="830"/>
      <c r="B292" s="99" t="s">
        <v>264</v>
      </c>
      <c r="C292" s="466" t="s">
        <v>186</v>
      </c>
      <c r="D292" s="125" t="s">
        <v>249</v>
      </c>
      <c r="E292" s="126">
        <v>0.375</v>
      </c>
      <c r="F292" s="126">
        <v>0.75</v>
      </c>
      <c r="G292" s="217">
        <f t="shared" si="110"/>
        <v>0.375</v>
      </c>
      <c r="H292" s="218">
        <f t="shared" si="111"/>
        <v>0</v>
      </c>
      <c r="I292" s="96">
        <f t="shared" si="112"/>
        <v>0</v>
      </c>
      <c r="J292" s="219">
        <f t="shared" si="113"/>
        <v>0</v>
      </c>
      <c r="K292" s="220">
        <f t="shared" si="114"/>
        <v>4.1666666666666685E-2</v>
      </c>
      <c r="L292" s="100">
        <f t="shared" si="115"/>
        <v>1</v>
      </c>
      <c r="M292" s="221" t="str">
        <f t="shared" si="121"/>
        <v/>
      </c>
      <c r="N292" s="222">
        <f t="shared" si="116"/>
        <v>1</v>
      </c>
      <c r="O292" s="223">
        <f>IF(N292=0,0,IF(SUM($N$5:N292)&gt;251,1,0))</f>
        <v>0</v>
      </c>
      <c r="P292" s="408">
        <v>5</v>
      </c>
      <c r="Q292" s="409">
        <v>0</v>
      </c>
      <c r="R292" s="224"/>
      <c r="S292" s="411" t="s">
        <v>672</v>
      </c>
      <c r="T292" s="225" t="s">
        <v>697</v>
      </c>
      <c r="U292" s="226" t="s">
        <v>698</v>
      </c>
      <c r="V292" s="413" t="s">
        <v>695</v>
      </c>
      <c r="W292" s="225" t="s">
        <v>697</v>
      </c>
      <c r="X292" s="226" t="s">
        <v>698</v>
      </c>
      <c r="Y292" s="413" t="s">
        <v>696</v>
      </c>
      <c r="Z292" s="225" t="s">
        <v>699</v>
      </c>
      <c r="AA292" s="226" t="s">
        <v>698</v>
      </c>
      <c r="AB292" s="413"/>
      <c r="AC292" s="225">
        <f t="shared" si="127"/>
        <v>0</v>
      </c>
      <c r="AD292" s="226">
        <f t="shared" si="122"/>
        <v>0</v>
      </c>
      <c r="AE292" s="413"/>
      <c r="AF292" s="225">
        <f t="shared" si="128"/>
        <v>0</v>
      </c>
      <c r="AG292" s="226">
        <f t="shared" si="123"/>
        <v>0</v>
      </c>
      <c r="AH292" s="413"/>
      <c r="AI292" s="225">
        <f t="shared" si="129"/>
        <v>0</v>
      </c>
      <c r="AJ292" s="226">
        <f t="shared" si="124"/>
        <v>0</v>
      </c>
      <c r="AK292" s="413"/>
      <c r="AL292" s="225">
        <f t="shared" si="130"/>
        <v>0</v>
      </c>
      <c r="AM292" s="226">
        <f t="shared" si="125"/>
        <v>0</v>
      </c>
      <c r="AN292" s="462" t="str">
        <f t="shared" si="117"/>
        <v/>
      </c>
      <c r="AO292" s="416" t="str">
        <f t="shared" si="118"/>
        <v/>
      </c>
      <c r="AP292" s="416" t="str">
        <f t="shared" si="119"/>
        <v/>
      </c>
      <c r="AQ292" s="416" t="str">
        <f t="shared" si="120"/>
        <v/>
      </c>
      <c r="AR292" s="416" t="str">
        <f t="shared" si="126"/>
        <v/>
      </c>
    </row>
    <row r="293" spans="1:44" ht="14.25">
      <c r="A293" s="830"/>
      <c r="B293" s="99" t="s">
        <v>265</v>
      </c>
      <c r="C293" s="466" t="s">
        <v>262</v>
      </c>
      <c r="D293" s="125" t="s">
        <v>251</v>
      </c>
      <c r="E293" s="126"/>
      <c r="F293" s="126"/>
      <c r="G293" s="217">
        <f t="shared" si="110"/>
        <v>0</v>
      </c>
      <c r="H293" s="218">
        <f t="shared" si="111"/>
        <v>0</v>
      </c>
      <c r="I293" s="96">
        <f t="shared" si="112"/>
        <v>0</v>
      </c>
      <c r="J293" s="219">
        <f t="shared" si="113"/>
        <v>0</v>
      </c>
      <c r="K293" s="220">
        <f t="shared" si="114"/>
        <v>0</v>
      </c>
      <c r="L293" s="100">
        <f t="shared" si="115"/>
        <v>0</v>
      </c>
      <c r="M293" s="221" t="str">
        <f t="shared" si="121"/>
        <v/>
      </c>
      <c r="N293" s="222">
        <f t="shared" si="116"/>
        <v>0</v>
      </c>
      <c r="O293" s="223">
        <f>IF(N293=0,0,IF(SUM($N$5:N293)&gt;251,1,0))</f>
        <v>0</v>
      </c>
      <c r="P293" s="408"/>
      <c r="Q293" s="409"/>
      <c r="R293" s="224"/>
      <c r="S293" s="411"/>
      <c r="T293" s="225">
        <f t="shared" si="131"/>
        <v>0</v>
      </c>
      <c r="U293" s="226">
        <f t="shared" si="132"/>
        <v>0</v>
      </c>
      <c r="V293" s="413"/>
      <c r="W293" s="225">
        <f t="shared" si="133"/>
        <v>0</v>
      </c>
      <c r="X293" s="226">
        <f t="shared" si="134"/>
        <v>0</v>
      </c>
      <c r="Y293" s="413"/>
      <c r="Z293" s="225">
        <f t="shared" si="135"/>
        <v>0</v>
      </c>
      <c r="AA293" s="226">
        <f t="shared" si="136"/>
        <v>0</v>
      </c>
      <c r="AB293" s="413"/>
      <c r="AC293" s="225">
        <f t="shared" si="127"/>
        <v>0</v>
      </c>
      <c r="AD293" s="226">
        <f t="shared" si="122"/>
        <v>0</v>
      </c>
      <c r="AE293" s="413"/>
      <c r="AF293" s="225">
        <f t="shared" si="128"/>
        <v>0</v>
      </c>
      <c r="AG293" s="226">
        <f t="shared" si="123"/>
        <v>0</v>
      </c>
      <c r="AH293" s="413"/>
      <c r="AI293" s="225">
        <f t="shared" si="129"/>
        <v>0</v>
      </c>
      <c r="AJ293" s="226">
        <f t="shared" si="124"/>
        <v>0</v>
      </c>
      <c r="AK293" s="413"/>
      <c r="AL293" s="225">
        <f t="shared" si="130"/>
        <v>0</v>
      </c>
      <c r="AM293" s="226">
        <f t="shared" si="125"/>
        <v>0</v>
      </c>
      <c r="AN293" s="462" t="str">
        <f t="shared" si="117"/>
        <v/>
      </c>
      <c r="AO293" s="416" t="str">
        <f t="shared" si="118"/>
        <v/>
      </c>
      <c r="AP293" s="416" t="str">
        <f t="shared" si="119"/>
        <v/>
      </c>
      <c r="AQ293" s="416" t="str">
        <f t="shared" si="120"/>
        <v/>
      </c>
      <c r="AR293" s="416" t="str">
        <f t="shared" si="126"/>
        <v/>
      </c>
    </row>
    <row r="294" spans="1:44" ht="14.25">
      <c r="A294" s="830"/>
      <c r="B294" s="99" t="s">
        <v>266</v>
      </c>
      <c r="C294" s="466" t="s">
        <v>182</v>
      </c>
      <c r="D294" s="125" t="s">
        <v>24</v>
      </c>
      <c r="E294" s="126">
        <v>0.58333333333333337</v>
      </c>
      <c r="F294" s="126">
        <v>0.79166666666666663</v>
      </c>
      <c r="G294" s="217">
        <f t="shared" si="110"/>
        <v>0.20833333333333326</v>
      </c>
      <c r="H294" s="218">
        <f t="shared" si="111"/>
        <v>0</v>
      </c>
      <c r="I294" s="96">
        <f t="shared" si="112"/>
        <v>0</v>
      </c>
      <c r="J294" s="219">
        <f t="shared" si="113"/>
        <v>0</v>
      </c>
      <c r="K294" s="220">
        <f t="shared" si="114"/>
        <v>0</v>
      </c>
      <c r="L294" s="100">
        <f t="shared" si="115"/>
        <v>0</v>
      </c>
      <c r="M294" s="221" t="str">
        <f t="shared" si="121"/>
        <v/>
      </c>
      <c r="N294" s="222">
        <f t="shared" si="116"/>
        <v>0</v>
      </c>
      <c r="O294" s="223">
        <f>IF(N294=0,0,IF(SUM($N$5:N294)&gt;251,1,0))</f>
        <v>0</v>
      </c>
      <c r="P294" s="408">
        <v>20</v>
      </c>
      <c r="Q294" s="409">
        <v>0</v>
      </c>
      <c r="R294" s="224"/>
      <c r="S294" s="411" t="s">
        <v>672</v>
      </c>
      <c r="T294" s="225" t="s">
        <v>697</v>
      </c>
      <c r="U294" s="226" t="s">
        <v>698</v>
      </c>
      <c r="V294" s="413" t="s">
        <v>695</v>
      </c>
      <c r="W294" s="225" t="s">
        <v>697</v>
      </c>
      <c r="X294" s="226" t="s">
        <v>698</v>
      </c>
      <c r="Y294" s="413" t="s">
        <v>696</v>
      </c>
      <c r="Z294" s="225" t="s">
        <v>699</v>
      </c>
      <c r="AA294" s="226" t="s">
        <v>698</v>
      </c>
      <c r="AB294" s="413"/>
      <c r="AC294" s="225">
        <f t="shared" si="127"/>
        <v>0</v>
      </c>
      <c r="AD294" s="226">
        <f t="shared" si="122"/>
        <v>0</v>
      </c>
      <c r="AE294" s="413"/>
      <c r="AF294" s="225">
        <f t="shared" si="128"/>
        <v>0</v>
      </c>
      <c r="AG294" s="226">
        <f t="shared" si="123"/>
        <v>0</v>
      </c>
      <c r="AH294" s="413"/>
      <c r="AI294" s="225">
        <f t="shared" si="129"/>
        <v>0</v>
      </c>
      <c r="AJ294" s="226">
        <f t="shared" si="124"/>
        <v>0</v>
      </c>
      <c r="AK294" s="413"/>
      <c r="AL294" s="225">
        <f t="shared" si="130"/>
        <v>0</v>
      </c>
      <c r="AM294" s="226">
        <f t="shared" si="125"/>
        <v>0</v>
      </c>
      <c r="AN294" s="462" t="str">
        <f t="shared" si="117"/>
        <v/>
      </c>
      <c r="AO294" s="416" t="str">
        <f t="shared" si="118"/>
        <v/>
      </c>
      <c r="AP294" s="416" t="str">
        <f t="shared" si="119"/>
        <v/>
      </c>
      <c r="AQ294" s="416" t="str">
        <f t="shared" si="120"/>
        <v/>
      </c>
      <c r="AR294" s="416" t="str">
        <f t="shared" si="126"/>
        <v/>
      </c>
    </row>
    <row r="295" spans="1:44" ht="14.25">
      <c r="A295" s="830"/>
      <c r="B295" s="99" t="s">
        <v>267</v>
      </c>
      <c r="C295" s="466" t="s">
        <v>187</v>
      </c>
      <c r="D295" s="125" t="s">
        <v>24</v>
      </c>
      <c r="E295" s="126">
        <v>0.58333333333333337</v>
      </c>
      <c r="F295" s="126">
        <v>0.79166666666666663</v>
      </c>
      <c r="G295" s="217">
        <f t="shared" si="110"/>
        <v>0.20833333333333326</v>
      </c>
      <c r="H295" s="218">
        <f t="shared" si="111"/>
        <v>0</v>
      </c>
      <c r="I295" s="96">
        <f t="shared" si="112"/>
        <v>0</v>
      </c>
      <c r="J295" s="219">
        <f t="shared" si="113"/>
        <v>0</v>
      </c>
      <c r="K295" s="220">
        <f t="shared" si="114"/>
        <v>0</v>
      </c>
      <c r="L295" s="100">
        <f t="shared" si="115"/>
        <v>0</v>
      </c>
      <c r="M295" s="221" t="str">
        <f t="shared" si="121"/>
        <v/>
      </c>
      <c r="N295" s="222">
        <f t="shared" si="116"/>
        <v>0</v>
      </c>
      <c r="O295" s="223">
        <f>IF(N295=0,0,IF(SUM($N$5:N295)&gt;251,1,0))</f>
        <v>0</v>
      </c>
      <c r="P295" s="408">
        <v>23</v>
      </c>
      <c r="Q295" s="409">
        <v>0</v>
      </c>
      <c r="R295" s="224"/>
      <c r="S295" s="411" t="s">
        <v>672</v>
      </c>
      <c r="T295" s="225" t="s">
        <v>697</v>
      </c>
      <c r="U295" s="226" t="s">
        <v>698</v>
      </c>
      <c r="V295" s="413" t="s">
        <v>695</v>
      </c>
      <c r="W295" s="225" t="s">
        <v>697</v>
      </c>
      <c r="X295" s="226" t="s">
        <v>698</v>
      </c>
      <c r="Y295" s="413" t="s">
        <v>696</v>
      </c>
      <c r="Z295" s="225" t="s">
        <v>699</v>
      </c>
      <c r="AA295" s="226" t="s">
        <v>698</v>
      </c>
      <c r="AB295" s="413"/>
      <c r="AC295" s="225">
        <f t="shared" si="127"/>
        <v>0</v>
      </c>
      <c r="AD295" s="226">
        <f t="shared" si="122"/>
        <v>0</v>
      </c>
      <c r="AE295" s="413"/>
      <c r="AF295" s="225">
        <f t="shared" si="128"/>
        <v>0</v>
      </c>
      <c r="AG295" s="226">
        <f t="shared" si="123"/>
        <v>0</v>
      </c>
      <c r="AH295" s="413"/>
      <c r="AI295" s="225">
        <f t="shared" si="129"/>
        <v>0</v>
      </c>
      <c r="AJ295" s="226">
        <f t="shared" si="124"/>
        <v>0</v>
      </c>
      <c r="AK295" s="413"/>
      <c r="AL295" s="225">
        <f t="shared" si="130"/>
        <v>0</v>
      </c>
      <c r="AM295" s="226">
        <f t="shared" si="125"/>
        <v>0</v>
      </c>
      <c r="AN295" s="462" t="str">
        <f t="shared" si="117"/>
        <v/>
      </c>
      <c r="AO295" s="416" t="str">
        <f t="shared" si="118"/>
        <v/>
      </c>
      <c r="AP295" s="416" t="str">
        <f t="shared" si="119"/>
        <v/>
      </c>
      <c r="AQ295" s="416" t="str">
        <f t="shared" si="120"/>
        <v/>
      </c>
      <c r="AR295" s="416" t="str">
        <f t="shared" si="126"/>
        <v/>
      </c>
    </row>
    <row r="296" spans="1:44" ht="14.25">
      <c r="A296" s="830"/>
      <c r="B296" s="99" t="s">
        <v>268</v>
      </c>
      <c r="C296" s="466" t="s">
        <v>183</v>
      </c>
      <c r="D296" s="125" t="s">
        <v>24</v>
      </c>
      <c r="E296" s="126">
        <v>0.58333333333333337</v>
      </c>
      <c r="F296" s="126">
        <v>0.79166666666666663</v>
      </c>
      <c r="G296" s="217">
        <f t="shared" si="110"/>
        <v>0.20833333333333326</v>
      </c>
      <c r="H296" s="218">
        <f t="shared" si="111"/>
        <v>0</v>
      </c>
      <c r="I296" s="96">
        <f t="shared" si="112"/>
        <v>0</v>
      </c>
      <c r="J296" s="219">
        <f t="shared" si="113"/>
        <v>0</v>
      </c>
      <c r="K296" s="220">
        <f t="shared" si="114"/>
        <v>0</v>
      </c>
      <c r="L296" s="100">
        <f t="shared" si="115"/>
        <v>0</v>
      </c>
      <c r="M296" s="221" t="str">
        <f t="shared" si="121"/>
        <v/>
      </c>
      <c r="N296" s="222">
        <f t="shared" si="116"/>
        <v>0</v>
      </c>
      <c r="O296" s="223">
        <f>IF(N296=0,0,IF(SUM($N$5:N296)&gt;251,1,0))</f>
        <v>0</v>
      </c>
      <c r="P296" s="408">
        <v>29</v>
      </c>
      <c r="Q296" s="409">
        <v>1</v>
      </c>
      <c r="R296" s="224"/>
      <c r="S296" s="411" t="s">
        <v>672</v>
      </c>
      <c r="T296" s="225" t="s">
        <v>697</v>
      </c>
      <c r="U296" s="226" t="s">
        <v>698</v>
      </c>
      <c r="V296" s="413" t="s">
        <v>695</v>
      </c>
      <c r="W296" s="225" t="s">
        <v>697</v>
      </c>
      <c r="X296" s="226" t="s">
        <v>698</v>
      </c>
      <c r="Y296" s="413" t="s">
        <v>696</v>
      </c>
      <c r="Z296" s="225" t="s">
        <v>699</v>
      </c>
      <c r="AA296" s="226" t="s">
        <v>698</v>
      </c>
      <c r="AB296" s="413"/>
      <c r="AC296" s="225">
        <f t="shared" si="127"/>
        <v>0</v>
      </c>
      <c r="AD296" s="226">
        <f t="shared" si="122"/>
        <v>0</v>
      </c>
      <c r="AE296" s="413"/>
      <c r="AF296" s="225">
        <f t="shared" si="128"/>
        <v>0</v>
      </c>
      <c r="AG296" s="226">
        <f t="shared" si="123"/>
        <v>0</v>
      </c>
      <c r="AH296" s="413"/>
      <c r="AI296" s="225">
        <f t="shared" si="129"/>
        <v>0</v>
      </c>
      <c r="AJ296" s="226">
        <f t="shared" si="124"/>
        <v>0</v>
      </c>
      <c r="AK296" s="413"/>
      <c r="AL296" s="225">
        <f t="shared" si="130"/>
        <v>0</v>
      </c>
      <c r="AM296" s="226">
        <f t="shared" si="125"/>
        <v>0</v>
      </c>
      <c r="AN296" s="462" t="str">
        <f t="shared" si="117"/>
        <v/>
      </c>
      <c r="AO296" s="416" t="str">
        <f t="shared" si="118"/>
        <v/>
      </c>
      <c r="AP296" s="416" t="str">
        <f t="shared" si="119"/>
        <v/>
      </c>
      <c r="AQ296" s="416" t="str">
        <f t="shared" si="120"/>
        <v/>
      </c>
      <c r="AR296" s="416" t="str">
        <f t="shared" si="126"/>
        <v/>
      </c>
    </row>
    <row r="297" spans="1:44" ht="14.25">
      <c r="A297" s="830"/>
      <c r="B297" s="99" t="s">
        <v>269</v>
      </c>
      <c r="C297" s="466" t="s">
        <v>184</v>
      </c>
      <c r="D297" s="125" t="s">
        <v>24</v>
      </c>
      <c r="E297" s="126">
        <v>0.58333333333333337</v>
      </c>
      <c r="F297" s="126">
        <v>0.79166666666666663</v>
      </c>
      <c r="G297" s="217">
        <f t="shared" si="110"/>
        <v>0.20833333333333326</v>
      </c>
      <c r="H297" s="218">
        <f t="shared" si="111"/>
        <v>0</v>
      </c>
      <c r="I297" s="96">
        <f t="shared" si="112"/>
        <v>0</v>
      </c>
      <c r="J297" s="219">
        <f t="shared" si="113"/>
        <v>0</v>
      </c>
      <c r="K297" s="220">
        <f t="shared" si="114"/>
        <v>0</v>
      </c>
      <c r="L297" s="100">
        <f t="shared" si="115"/>
        <v>0</v>
      </c>
      <c r="M297" s="221" t="str">
        <f t="shared" si="121"/>
        <v/>
      </c>
      <c r="N297" s="222">
        <f t="shared" si="116"/>
        <v>0</v>
      </c>
      <c r="O297" s="223">
        <f>IF(N297=0,0,IF(SUM($N$5:N297)&gt;251,1,0))</f>
        <v>0</v>
      </c>
      <c r="P297" s="408">
        <v>27</v>
      </c>
      <c r="Q297" s="409">
        <v>0</v>
      </c>
      <c r="R297" s="224"/>
      <c r="S297" s="411" t="s">
        <v>672</v>
      </c>
      <c r="T297" s="225" t="s">
        <v>697</v>
      </c>
      <c r="U297" s="226" t="s">
        <v>698</v>
      </c>
      <c r="V297" s="413" t="s">
        <v>695</v>
      </c>
      <c r="W297" s="225" t="s">
        <v>697</v>
      </c>
      <c r="X297" s="226" t="s">
        <v>698</v>
      </c>
      <c r="Y297" s="413" t="s">
        <v>696</v>
      </c>
      <c r="Z297" s="225" t="s">
        <v>699</v>
      </c>
      <c r="AA297" s="226" t="s">
        <v>698</v>
      </c>
      <c r="AB297" s="413"/>
      <c r="AC297" s="225">
        <f t="shared" si="127"/>
        <v>0</v>
      </c>
      <c r="AD297" s="226">
        <f t="shared" si="122"/>
        <v>0</v>
      </c>
      <c r="AE297" s="413"/>
      <c r="AF297" s="225">
        <f t="shared" si="128"/>
        <v>0</v>
      </c>
      <c r="AG297" s="226">
        <f t="shared" si="123"/>
        <v>0</v>
      </c>
      <c r="AH297" s="413"/>
      <c r="AI297" s="225">
        <f t="shared" si="129"/>
        <v>0</v>
      </c>
      <c r="AJ297" s="226">
        <f t="shared" si="124"/>
        <v>0</v>
      </c>
      <c r="AK297" s="413"/>
      <c r="AL297" s="225">
        <f t="shared" si="130"/>
        <v>0</v>
      </c>
      <c r="AM297" s="226">
        <f t="shared" si="125"/>
        <v>0</v>
      </c>
      <c r="AN297" s="462" t="str">
        <f t="shared" si="117"/>
        <v/>
      </c>
      <c r="AO297" s="416" t="str">
        <f t="shared" si="118"/>
        <v/>
      </c>
      <c r="AP297" s="416" t="str">
        <f t="shared" si="119"/>
        <v/>
      </c>
      <c r="AQ297" s="416" t="str">
        <f t="shared" si="120"/>
        <v/>
      </c>
      <c r="AR297" s="416" t="str">
        <f t="shared" si="126"/>
        <v/>
      </c>
    </row>
    <row r="298" spans="1:44" ht="14.25">
      <c r="A298" s="830"/>
      <c r="B298" s="99" t="s">
        <v>270</v>
      </c>
      <c r="C298" s="466" t="s">
        <v>185</v>
      </c>
      <c r="D298" s="125" t="s">
        <v>24</v>
      </c>
      <c r="E298" s="126">
        <v>0.58333333333333337</v>
      </c>
      <c r="F298" s="126">
        <v>0.79166666666666663</v>
      </c>
      <c r="G298" s="217">
        <f t="shared" si="110"/>
        <v>0.20833333333333326</v>
      </c>
      <c r="H298" s="218">
        <f t="shared" si="111"/>
        <v>0</v>
      </c>
      <c r="I298" s="96">
        <f t="shared" si="112"/>
        <v>0</v>
      </c>
      <c r="J298" s="219">
        <f t="shared" si="113"/>
        <v>0</v>
      </c>
      <c r="K298" s="220">
        <f t="shared" si="114"/>
        <v>0</v>
      </c>
      <c r="L298" s="100">
        <f t="shared" si="115"/>
        <v>0</v>
      </c>
      <c r="M298" s="221" t="str">
        <f t="shared" si="121"/>
        <v/>
      </c>
      <c r="N298" s="222">
        <f t="shared" si="116"/>
        <v>0</v>
      </c>
      <c r="O298" s="223">
        <f>IF(N298=0,0,IF(SUM($N$5:N298)&gt;251,1,0))</f>
        <v>0</v>
      </c>
      <c r="P298" s="408">
        <v>21</v>
      </c>
      <c r="Q298" s="409">
        <v>1</v>
      </c>
      <c r="R298" s="224"/>
      <c r="S298" s="411" t="s">
        <v>672</v>
      </c>
      <c r="T298" s="225" t="s">
        <v>697</v>
      </c>
      <c r="U298" s="226" t="s">
        <v>698</v>
      </c>
      <c r="V298" s="413" t="s">
        <v>695</v>
      </c>
      <c r="W298" s="225" t="s">
        <v>697</v>
      </c>
      <c r="X298" s="226" t="s">
        <v>698</v>
      </c>
      <c r="Y298" s="413" t="s">
        <v>696</v>
      </c>
      <c r="Z298" s="225" t="s">
        <v>699</v>
      </c>
      <c r="AA298" s="226" t="s">
        <v>698</v>
      </c>
      <c r="AB298" s="413"/>
      <c r="AC298" s="225">
        <f t="shared" si="127"/>
        <v>0</v>
      </c>
      <c r="AD298" s="226">
        <f t="shared" si="122"/>
        <v>0</v>
      </c>
      <c r="AE298" s="413"/>
      <c r="AF298" s="225">
        <f t="shared" si="128"/>
        <v>0</v>
      </c>
      <c r="AG298" s="226">
        <f t="shared" si="123"/>
        <v>0</v>
      </c>
      <c r="AH298" s="413"/>
      <c r="AI298" s="225">
        <f t="shared" si="129"/>
        <v>0</v>
      </c>
      <c r="AJ298" s="226">
        <f t="shared" si="124"/>
        <v>0</v>
      </c>
      <c r="AK298" s="413"/>
      <c r="AL298" s="225">
        <f t="shared" si="130"/>
        <v>0</v>
      </c>
      <c r="AM298" s="226">
        <f t="shared" si="125"/>
        <v>0</v>
      </c>
      <c r="AN298" s="462" t="str">
        <f t="shared" si="117"/>
        <v/>
      </c>
      <c r="AO298" s="416" t="str">
        <f t="shared" si="118"/>
        <v/>
      </c>
      <c r="AP298" s="416" t="str">
        <f t="shared" si="119"/>
        <v/>
      </c>
      <c r="AQ298" s="416" t="str">
        <f t="shared" si="120"/>
        <v/>
      </c>
      <c r="AR298" s="416" t="str">
        <f t="shared" si="126"/>
        <v/>
      </c>
    </row>
    <row r="299" spans="1:44" ht="14.25">
      <c r="A299" s="830"/>
      <c r="B299" s="99" t="s">
        <v>271</v>
      </c>
      <c r="C299" s="466" t="s">
        <v>186</v>
      </c>
      <c r="D299" s="125" t="s">
        <v>249</v>
      </c>
      <c r="E299" s="126">
        <v>0.375</v>
      </c>
      <c r="F299" s="126">
        <v>0.75</v>
      </c>
      <c r="G299" s="217">
        <f t="shared" si="110"/>
        <v>0.375</v>
      </c>
      <c r="H299" s="218">
        <f t="shared" si="111"/>
        <v>0</v>
      </c>
      <c r="I299" s="96">
        <f t="shared" si="112"/>
        <v>0</v>
      </c>
      <c r="J299" s="219">
        <f t="shared" si="113"/>
        <v>0</v>
      </c>
      <c r="K299" s="220">
        <f t="shared" si="114"/>
        <v>4.1666666666666685E-2</v>
      </c>
      <c r="L299" s="100">
        <f t="shared" si="115"/>
        <v>1</v>
      </c>
      <c r="M299" s="221" t="str">
        <f t="shared" si="121"/>
        <v/>
      </c>
      <c r="N299" s="222">
        <f t="shared" si="116"/>
        <v>1</v>
      </c>
      <c r="O299" s="223">
        <f>IF(N299=0,0,IF(SUM($N$5:N299)&gt;251,1,0))</f>
        <v>0</v>
      </c>
      <c r="P299" s="408">
        <v>5</v>
      </c>
      <c r="Q299" s="409">
        <v>1</v>
      </c>
      <c r="R299" s="224"/>
      <c r="S299" s="411" t="s">
        <v>672</v>
      </c>
      <c r="T299" s="225" t="s">
        <v>697</v>
      </c>
      <c r="U299" s="226" t="s">
        <v>698</v>
      </c>
      <c r="V299" s="413" t="s">
        <v>695</v>
      </c>
      <c r="W299" s="225" t="s">
        <v>697</v>
      </c>
      <c r="X299" s="226" t="s">
        <v>698</v>
      </c>
      <c r="Y299" s="413" t="s">
        <v>696</v>
      </c>
      <c r="Z299" s="225" t="s">
        <v>699</v>
      </c>
      <c r="AA299" s="226" t="s">
        <v>698</v>
      </c>
      <c r="AB299" s="413"/>
      <c r="AC299" s="225">
        <f t="shared" si="127"/>
        <v>0</v>
      </c>
      <c r="AD299" s="226">
        <f t="shared" si="122"/>
        <v>0</v>
      </c>
      <c r="AE299" s="413"/>
      <c r="AF299" s="225">
        <f t="shared" si="128"/>
        <v>0</v>
      </c>
      <c r="AG299" s="226">
        <f t="shared" si="123"/>
        <v>0</v>
      </c>
      <c r="AH299" s="413"/>
      <c r="AI299" s="225">
        <f t="shared" si="129"/>
        <v>0</v>
      </c>
      <c r="AJ299" s="226">
        <f t="shared" si="124"/>
        <v>0</v>
      </c>
      <c r="AK299" s="413"/>
      <c r="AL299" s="225">
        <f t="shared" si="130"/>
        <v>0</v>
      </c>
      <c r="AM299" s="226">
        <f t="shared" si="125"/>
        <v>0</v>
      </c>
      <c r="AN299" s="462" t="str">
        <f t="shared" si="117"/>
        <v/>
      </c>
      <c r="AO299" s="416" t="str">
        <f t="shared" si="118"/>
        <v/>
      </c>
      <c r="AP299" s="416" t="str">
        <f t="shared" si="119"/>
        <v/>
      </c>
      <c r="AQ299" s="416" t="str">
        <f t="shared" si="120"/>
        <v/>
      </c>
      <c r="AR299" s="416" t="str">
        <f t="shared" si="126"/>
        <v/>
      </c>
    </row>
    <row r="300" spans="1:44" ht="14.25">
      <c r="A300" s="830"/>
      <c r="B300" s="99" t="s">
        <v>272</v>
      </c>
      <c r="C300" s="466" t="s">
        <v>262</v>
      </c>
      <c r="D300" s="125" t="s">
        <v>251</v>
      </c>
      <c r="E300" s="126"/>
      <c r="F300" s="126"/>
      <c r="G300" s="217">
        <f t="shared" si="110"/>
        <v>0</v>
      </c>
      <c r="H300" s="218">
        <f t="shared" si="111"/>
        <v>0</v>
      </c>
      <c r="I300" s="96">
        <f t="shared" si="112"/>
        <v>0</v>
      </c>
      <c r="J300" s="219">
        <f t="shared" si="113"/>
        <v>0</v>
      </c>
      <c r="K300" s="220">
        <f t="shared" si="114"/>
        <v>0</v>
      </c>
      <c r="L300" s="100">
        <f t="shared" si="115"/>
        <v>0</v>
      </c>
      <c r="M300" s="221" t="str">
        <f t="shared" si="121"/>
        <v/>
      </c>
      <c r="N300" s="222">
        <f t="shared" si="116"/>
        <v>0</v>
      </c>
      <c r="O300" s="223">
        <f>IF(N300=0,0,IF(SUM($N$5:N300)&gt;251,1,0))</f>
        <v>0</v>
      </c>
      <c r="P300" s="408"/>
      <c r="Q300" s="409"/>
      <c r="R300" s="224"/>
      <c r="S300" s="411"/>
      <c r="T300" s="225">
        <f t="shared" si="131"/>
        <v>0</v>
      </c>
      <c r="U300" s="226">
        <f t="shared" si="132"/>
        <v>0</v>
      </c>
      <c r="V300" s="413"/>
      <c r="W300" s="225">
        <f t="shared" si="133"/>
        <v>0</v>
      </c>
      <c r="X300" s="226">
        <f t="shared" si="134"/>
        <v>0</v>
      </c>
      <c r="Y300" s="413"/>
      <c r="Z300" s="225">
        <f t="shared" si="135"/>
        <v>0</v>
      </c>
      <c r="AA300" s="226">
        <f t="shared" si="136"/>
        <v>0</v>
      </c>
      <c r="AB300" s="413"/>
      <c r="AC300" s="225">
        <f t="shared" si="127"/>
        <v>0</v>
      </c>
      <c r="AD300" s="226">
        <f t="shared" si="122"/>
        <v>0</v>
      </c>
      <c r="AE300" s="413"/>
      <c r="AF300" s="225">
        <f t="shared" si="128"/>
        <v>0</v>
      </c>
      <c r="AG300" s="226">
        <f t="shared" si="123"/>
        <v>0</v>
      </c>
      <c r="AH300" s="413"/>
      <c r="AI300" s="225">
        <f t="shared" si="129"/>
        <v>0</v>
      </c>
      <c r="AJ300" s="226">
        <f t="shared" si="124"/>
        <v>0</v>
      </c>
      <c r="AK300" s="413"/>
      <c r="AL300" s="225">
        <f t="shared" si="130"/>
        <v>0</v>
      </c>
      <c r="AM300" s="226">
        <f t="shared" si="125"/>
        <v>0</v>
      </c>
      <c r="AN300" s="462" t="str">
        <f t="shared" si="117"/>
        <v/>
      </c>
      <c r="AO300" s="416" t="str">
        <f t="shared" si="118"/>
        <v/>
      </c>
      <c r="AP300" s="416" t="str">
        <f t="shared" si="119"/>
        <v/>
      </c>
      <c r="AQ300" s="416" t="str">
        <f t="shared" si="120"/>
        <v/>
      </c>
      <c r="AR300" s="416" t="str">
        <f t="shared" si="126"/>
        <v/>
      </c>
    </row>
    <row r="301" spans="1:44" ht="14.25">
      <c r="A301" s="830"/>
      <c r="B301" s="99" t="s">
        <v>273</v>
      </c>
      <c r="C301" s="466" t="s">
        <v>182</v>
      </c>
      <c r="D301" s="125" t="s">
        <v>24</v>
      </c>
      <c r="E301" s="126">
        <v>0.58333333333333337</v>
      </c>
      <c r="F301" s="126">
        <v>0.79166666666666663</v>
      </c>
      <c r="G301" s="217">
        <f t="shared" si="110"/>
        <v>0.20833333333333326</v>
      </c>
      <c r="H301" s="218">
        <f t="shared" si="111"/>
        <v>0</v>
      </c>
      <c r="I301" s="96">
        <f t="shared" si="112"/>
        <v>0</v>
      </c>
      <c r="J301" s="219">
        <f t="shared" si="113"/>
        <v>0</v>
      </c>
      <c r="K301" s="220">
        <f t="shared" si="114"/>
        <v>0</v>
      </c>
      <c r="L301" s="100">
        <f t="shared" si="115"/>
        <v>0</v>
      </c>
      <c r="M301" s="221" t="str">
        <f t="shared" si="121"/>
        <v/>
      </c>
      <c r="N301" s="222">
        <f t="shared" si="116"/>
        <v>0</v>
      </c>
      <c r="O301" s="223">
        <f>IF(N301=0,0,IF(SUM($N$5:N301)&gt;251,1,0))</f>
        <v>0</v>
      </c>
      <c r="P301" s="408">
        <v>26</v>
      </c>
      <c r="Q301" s="409">
        <v>0</v>
      </c>
      <c r="R301" s="224"/>
      <c r="S301" s="411" t="s">
        <v>672</v>
      </c>
      <c r="T301" s="225" t="s">
        <v>697</v>
      </c>
      <c r="U301" s="226" t="s">
        <v>698</v>
      </c>
      <c r="V301" s="413" t="s">
        <v>695</v>
      </c>
      <c r="W301" s="225" t="s">
        <v>697</v>
      </c>
      <c r="X301" s="226" t="s">
        <v>698</v>
      </c>
      <c r="Y301" s="413" t="s">
        <v>696</v>
      </c>
      <c r="Z301" s="225" t="s">
        <v>699</v>
      </c>
      <c r="AA301" s="226" t="s">
        <v>698</v>
      </c>
      <c r="AB301" s="413"/>
      <c r="AC301" s="225">
        <f t="shared" si="127"/>
        <v>0</v>
      </c>
      <c r="AD301" s="226">
        <f t="shared" si="122"/>
        <v>0</v>
      </c>
      <c r="AE301" s="413"/>
      <c r="AF301" s="225">
        <f t="shared" si="128"/>
        <v>0</v>
      </c>
      <c r="AG301" s="226">
        <f t="shared" si="123"/>
        <v>0</v>
      </c>
      <c r="AH301" s="413"/>
      <c r="AI301" s="225">
        <f t="shared" si="129"/>
        <v>0</v>
      </c>
      <c r="AJ301" s="226">
        <f t="shared" si="124"/>
        <v>0</v>
      </c>
      <c r="AK301" s="413"/>
      <c r="AL301" s="225">
        <f t="shared" si="130"/>
        <v>0</v>
      </c>
      <c r="AM301" s="226">
        <f t="shared" si="125"/>
        <v>0</v>
      </c>
      <c r="AN301" s="462" t="str">
        <f t="shared" si="117"/>
        <v/>
      </c>
      <c r="AO301" s="416" t="str">
        <f t="shared" si="118"/>
        <v/>
      </c>
      <c r="AP301" s="416" t="str">
        <f t="shared" si="119"/>
        <v/>
      </c>
      <c r="AQ301" s="416" t="str">
        <f t="shared" si="120"/>
        <v/>
      </c>
      <c r="AR301" s="416" t="str">
        <f t="shared" si="126"/>
        <v/>
      </c>
    </row>
    <row r="302" spans="1:44" ht="14.25">
      <c r="A302" s="830"/>
      <c r="B302" s="99" t="s">
        <v>274</v>
      </c>
      <c r="C302" s="466" t="s">
        <v>187</v>
      </c>
      <c r="D302" s="125" t="s">
        <v>24</v>
      </c>
      <c r="E302" s="126">
        <v>0.58333333333333337</v>
      </c>
      <c r="F302" s="126">
        <v>0.79166666666666663</v>
      </c>
      <c r="G302" s="217">
        <f t="shared" si="110"/>
        <v>0.20833333333333326</v>
      </c>
      <c r="H302" s="218">
        <f t="shared" si="111"/>
        <v>0</v>
      </c>
      <c r="I302" s="96">
        <f t="shared" si="112"/>
        <v>0</v>
      </c>
      <c r="J302" s="219">
        <f t="shared" si="113"/>
        <v>0</v>
      </c>
      <c r="K302" s="220">
        <f t="shared" si="114"/>
        <v>0</v>
      </c>
      <c r="L302" s="100">
        <f t="shared" si="115"/>
        <v>0</v>
      </c>
      <c r="M302" s="221" t="str">
        <f t="shared" si="121"/>
        <v/>
      </c>
      <c r="N302" s="222">
        <f t="shared" si="116"/>
        <v>0</v>
      </c>
      <c r="O302" s="223">
        <f>IF(N302=0,0,IF(SUM($N$5:N302)&gt;251,1,0))</f>
        <v>0</v>
      </c>
      <c r="P302" s="408">
        <v>27</v>
      </c>
      <c r="Q302" s="409">
        <v>0</v>
      </c>
      <c r="R302" s="224"/>
      <c r="S302" s="411" t="s">
        <v>672</v>
      </c>
      <c r="T302" s="225" t="s">
        <v>697</v>
      </c>
      <c r="U302" s="226" t="s">
        <v>698</v>
      </c>
      <c r="V302" s="413" t="s">
        <v>695</v>
      </c>
      <c r="W302" s="225" t="s">
        <v>697</v>
      </c>
      <c r="X302" s="226" t="s">
        <v>698</v>
      </c>
      <c r="Y302" s="413" t="s">
        <v>696</v>
      </c>
      <c r="Z302" s="225" t="s">
        <v>699</v>
      </c>
      <c r="AA302" s="226" t="s">
        <v>698</v>
      </c>
      <c r="AB302" s="413"/>
      <c r="AC302" s="225">
        <f t="shared" si="127"/>
        <v>0</v>
      </c>
      <c r="AD302" s="226">
        <f t="shared" si="122"/>
        <v>0</v>
      </c>
      <c r="AE302" s="413"/>
      <c r="AF302" s="225">
        <f t="shared" si="128"/>
        <v>0</v>
      </c>
      <c r="AG302" s="226">
        <f t="shared" si="123"/>
        <v>0</v>
      </c>
      <c r="AH302" s="413"/>
      <c r="AI302" s="225">
        <f t="shared" si="129"/>
        <v>0</v>
      </c>
      <c r="AJ302" s="226">
        <f t="shared" si="124"/>
        <v>0</v>
      </c>
      <c r="AK302" s="413"/>
      <c r="AL302" s="225">
        <f t="shared" si="130"/>
        <v>0</v>
      </c>
      <c r="AM302" s="226">
        <f t="shared" si="125"/>
        <v>0</v>
      </c>
      <c r="AN302" s="462" t="str">
        <f t="shared" si="117"/>
        <v/>
      </c>
      <c r="AO302" s="416" t="str">
        <f t="shared" si="118"/>
        <v/>
      </c>
      <c r="AP302" s="416" t="str">
        <f t="shared" si="119"/>
        <v/>
      </c>
      <c r="AQ302" s="416" t="str">
        <f t="shared" si="120"/>
        <v/>
      </c>
      <c r="AR302" s="416" t="str">
        <f t="shared" si="126"/>
        <v/>
      </c>
    </row>
    <row r="303" spans="1:44" ht="14.25">
      <c r="A303" s="830"/>
      <c r="B303" s="99" t="s">
        <v>275</v>
      </c>
      <c r="C303" s="466" t="s">
        <v>183</v>
      </c>
      <c r="D303" s="125" t="s">
        <v>24</v>
      </c>
      <c r="E303" s="126">
        <v>0.58333333333333337</v>
      </c>
      <c r="F303" s="126">
        <v>0.79166666666666663</v>
      </c>
      <c r="G303" s="217">
        <f t="shared" si="110"/>
        <v>0.20833333333333326</v>
      </c>
      <c r="H303" s="218">
        <f t="shared" si="111"/>
        <v>0</v>
      </c>
      <c r="I303" s="96">
        <f t="shared" si="112"/>
        <v>0</v>
      </c>
      <c r="J303" s="219">
        <f t="shared" si="113"/>
        <v>0</v>
      </c>
      <c r="K303" s="220">
        <f t="shared" si="114"/>
        <v>0</v>
      </c>
      <c r="L303" s="100">
        <f t="shared" si="115"/>
        <v>0</v>
      </c>
      <c r="M303" s="221" t="str">
        <f t="shared" si="121"/>
        <v/>
      </c>
      <c r="N303" s="222">
        <f t="shared" si="116"/>
        <v>0</v>
      </c>
      <c r="O303" s="223">
        <f>IF(N303=0,0,IF(SUM($N$5:N303)&gt;251,1,0))</f>
        <v>0</v>
      </c>
      <c r="P303" s="408">
        <v>25</v>
      </c>
      <c r="Q303" s="409">
        <v>0</v>
      </c>
      <c r="R303" s="224"/>
      <c r="S303" s="411" t="s">
        <v>672</v>
      </c>
      <c r="T303" s="225" t="s">
        <v>697</v>
      </c>
      <c r="U303" s="226" t="s">
        <v>698</v>
      </c>
      <c r="V303" s="413" t="s">
        <v>695</v>
      </c>
      <c r="W303" s="225" t="s">
        <v>697</v>
      </c>
      <c r="X303" s="226" t="s">
        <v>698</v>
      </c>
      <c r="Y303" s="413" t="s">
        <v>696</v>
      </c>
      <c r="Z303" s="225" t="s">
        <v>699</v>
      </c>
      <c r="AA303" s="226" t="s">
        <v>698</v>
      </c>
      <c r="AB303" s="413"/>
      <c r="AC303" s="225">
        <f t="shared" si="127"/>
        <v>0</v>
      </c>
      <c r="AD303" s="226">
        <f t="shared" si="122"/>
        <v>0</v>
      </c>
      <c r="AE303" s="413"/>
      <c r="AF303" s="225">
        <f t="shared" si="128"/>
        <v>0</v>
      </c>
      <c r="AG303" s="226">
        <f t="shared" si="123"/>
        <v>0</v>
      </c>
      <c r="AH303" s="413"/>
      <c r="AI303" s="225">
        <f t="shared" si="129"/>
        <v>0</v>
      </c>
      <c r="AJ303" s="226">
        <f t="shared" si="124"/>
        <v>0</v>
      </c>
      <c r="AK303" s="413"/>
      <c r="AL303" s="225">
        <f t="shared" si="130"/>
        <v>0</v>
      </c>
      <c r="AM303" s="226">
        <f t="shared" si="125"/>
        <v>0</v>
      </c>
      <c r="AN303" s="462" t="str">
        <f t="shared" si="117"/>
        <v/>
      </c>
      <c r="AO303" s="416" t="str">
        <f t="shared" si="118"/>
        <v/>
      </c>
      <c r="AP303" s="416" t="str">
        <f t="shared" si="119"/>
        <v/>
      </c>
      <c r="AQ303" s="416" t="str">
        <f t="shared" si="120"/>
        <v/>
      </c>
      <c r="AR303" s="416" t="str">
        <f t="shared" si="126"/>
        <v/>
      </c>
    </row>
    <row r="304" spans="1:44" ht="14.25">
      <c r="A304" s="830"/>
      <c r="B304" s="99" t="s">
        <v>276</v>
      </c>
      <c r="C304" s="466" t="s">
        <v>184</v>
      </c>
      <c r="D304" s="125" t="s">
        <v>24</v>
      </c>
      <c r="E304" s="126">
        <v>0.58333333333333337</v>
      </c>
      <c r="F304" s="126">
        <v>0.79166666666666663</v>
      </c>
      <c r="G304" s="217">
        <f t="shared" si="110"/>
        <v>0.20833333333333326</v>
      </c>
      <c r="H304" s="218">
        <f t="shared" si="111"/>
        <v>0</v>
      </c>
      <c r="I304" s="96">
        <f t="shared" si="112"/>
        <v>0</v>
      </c>
      <c r="J304" s="219">
        <f t="shared" si="113"/>
        <v>0</v>
      </c>
      <c r="K304" s="220">
        <f t="shared" si="114"/>
        <v>0</v>
      </c>
      <c r="L304" s="100">
        <f t="shared" si="115"/>
        <v>0</v>
      </c>
      <c r="M304" s="221" t="str">
        <f t="shared" si="121"/>
        <v/>
      </c>
      <c r="N304" s="222">
        <f t="shared" si="116"/>
        <v>0</v>
      </c>
      <c r="O304" s="223">
        <f>IF(N304=0,0,IF(SUM($N$5:N304)&gt;251,1,0))</f>
        <v>0</v>
      </c>
      <c r="P304" s="408">
        <v>24</v>
      </c>
      <c r="Q304" s="409">
        <v>1</v>
      </c>
      <c r="R304" s="224"/>
      <c r="S304" s="411" t="s">
        <v>672</v>
      </c>
      <c r="T304" s="225" t="s">
        <v>697</v>
      </c>
      <c r="U304" s="226" t="s">
        <v>698</v>
      </c>
      <c r="V304" s="413" t="s">
        <v>695</v>
      </c>
      <c r="W304" s="225" t="s">
        <v>697</v>
      </c>
      <c r="X304" s="226" t="s">
        <v>698</v>
      </c>
      <c r="Y304" s="413" t="s">
        <v>696</v>
      </c>
      <c r="Z304" s="225" t="s">
        <v>699</v>
      </c>
      <c r="AA304" s="226" t="s">
        <v>698</v>
      </c>
      <c r="AB304" s="413"/>
      <c r="AC304" s="225">
        <f t="shared" si="127"/>
        <v>0</v>
      </c>
      <c r="AD304" s="226">
        <f t="shared" si="122"/>
        <v>0</v>
      </c>
      <c r="AE304" s="413"/>
      <c r="AF304" s="225">
        <f t="shared" si="128"/>
        <v>0</v>
      </c>
      <c r="AG304" s="226">
        <f t="shared" si="123"/>
        <v>0</v>
      </c>
      <c r="AH304" s="413"/>
      <c r="AI304" s="225">
        <f t="shared" si="129"/>
        <v>0</v>
      </c>
      <c r="AJ304" s="226">
        <f t="shared" si="124"/>
        <v>0</v>
      </c>
      <c r="AK304" s="413"/>
      <c r="AL304" s="225">
        <f t="shared" si="130"/>
        <v>0</v>
      </c>
      <c r="AM304" s="226">
        <f t="shared" si="125"/>
        <v>0</v>
      </c>
      <c r="AN304" s="462" t="str">
        <f t="shared" si="117"/>
        <v/>
      </c>
      <c r="AO304" s="416" t="str">
        <f t="shared" si="118"/>
        <v/>
      </c>
      <c r="AP304" s="416" t="str">
        <f t="shared" si="119"/>
        <v/>
      </c>
      <c r="AQ304" s="416" t="str">
        <f t="shared" si="120"/>
        <v/>
      </c>
      <c r="AR304" s="416" t="str">
        <f t="shared" si="126"/>
        <v/>
      </c>
    </row>
    <row r="305" spans="1:44" ht="14.25">
      <c r="A305" s="830"/>
      <c r="B305" s="99" t="s">
        <v>277</v>
      </c>
      <c r="C305" s="466" t="s">
        <v>185</v>
      </c>
      <c r="D305" s="125" t="s">
        <v>24</v>
      </c>
      <c r="E305" s="126">
        <v>0.58333333333333337</v>
      </c>
      <c r="F305" s="126">
        <v>0.79166666666666663</v>
      </c>
      <c r="G305" s="217">
        <f t="shared" si="110"/>
        <v>0.20833333333333326</v>
      </c>
      <c r="H305" s="218">
        <f t="shared" si="111"/>
        <v>0</v>
      </c>
      <c r="I305" s="96">
        <f t="shared" si="112"/>
        <v>0</v>
      </c>
      <c r="J305" s="219">
        <f t="shared" si="113"/>
        <v>0</v>
      </c>
      <c r="K305" s="220">
        <f t="shared" si="114"/>
        <v>0</v>
      </c>
      <c r="L305" s="100">
        <f t="shared" si="115"/>
        <v>0</v>
      </c>
      <c r="M305" s="221" t="str">
        <f t="shared" si="121"/>
        <v/>
      </c>
      <c r="N305" s="222">
        <f t="shared" si="116"/>
        <v>0</v>
      </c>
      <c r="O305" s="223">
        <f>IF(N305=0,0,IF(SUM($N$5:N305)&gt;251,1,0))</f>
        <v>0</v>
      </c>
      <c r="P305" s="408">
        <v>25</v>
      </c>
      <c r="Q305" s="409">
        <v>0</v>
      </c>
      <c r="R305" s="224"/>
      <c r="S305" s="411" t="s">
        <v>672</v>
      </c>
      <c r="T305" s="225" t="s">
        <v>697</v>
      </c>
      <c r="U305" s="226" t="s">
        <v>698</v>
      </c>
      <c r="V305" s="413" t="s">
        <v>695</v>
      </c>
      <c r="W305" s="225" t="s">
        <v>697</v>
      </c>
      <c r="X305" s="226" t="s">
        <v>698</v>
      </c>
      <c r="Y305" s="413" t="s">
        <v>696</v>
      </c>
      <c r="Z305" s="225" t="s">
        <v>699</v>
      </c>
      <c r="AA305" s="226" t="s">
        <v>698</v>
      </c>
      <c r="AB305" s="413"/>
      <c r="AC305" s="225">
        <f t="shared" si="127"/>
        <v>0</v>
      </c>
      <c r="AD305" s="226">
        <f t="shared" si="122"/>
        <v>0</v>
      </c>
      <c r="AE305" s="413"/>
      <c r="AF305" s="225">
        <f t="shared" si="128"/>
        <v>0</v>
      </c>
      <c r="AG305" s="226">
        <f t="shared" si="123"/>
        <v>0</v>
      </c>
      <c r="AH305" s="413"/>
      <c r="AI305" s="225">
        <f t="shared" si="129"/>
        <v>0</v>
      </c>
      <c r="AJ305" s="226">
        <f t="shared" si="124"/>
        <v>0</v>
      </c>
      <c r="AK305" s="413"/>
      <c r="AL305" s="225">
        <f t="shared" si="130"/>
        <v>0</v>
      </c>
      <c r="AM305" s="226">
        <f t="shared" si="125"/>
        <v>0</v>
      </c>
      <c r="AN305" s="462" t="str">
        <f t="shared" si="117"/>
        <v/>
      </c>
      <c r="AO305" s="416" t="str">
        <f t="shared" si="118"/>
        <v/>
      </c>
      <c r="AP305" s="416" t="str">
        <f t="shared" si="119"/>
        <v/>
      </c>
      <c r="AQ305" s="416" t="str">
        <f t="shared" si="120"/>
        <v/>
      </c>
      <c r="AR305" s="416" t="str">
        <f t="shared" si="126"/>
        <v/>
      </c>
    </row>
    <row r="306" spans="1:44" ht="14.25">
      <c r="A306" s="830"/>
      <c r="B306" s="99" t="s">
        <v>278</v>
      </c>
      <c r="C306" s="466" t="s">
        <v>186</v>
      </c>
      <c r="D306" s="125" t="s">
        <v>249</v>
      </c>
      <c r="E306" s="126">
        <v>0.375</v>
      </c>
      <c r="F306" s="126">
        <v>0.75</v>
      </c>
      <c r="G306" s="217">
        <f t="shared" si="110"/>
        <v>0.375</v>
      </c>
      <c r="H306" s="218">
        <f t="shared" si="111"/>
        <v>0</v>
      </c>
      <c r="I306" s="96">
        <f t="shared" si="112"/>
        <v>0</v>
      </c>
      <c r="J306" s="219">
        <f t="shared" si="113"/>
        <v>0</v>
      </c>
      <c r="K306" s="220">
        <f t="shared" si="114"/>
        <v>4.1666666666666685E-2</v>
      </c>
      <c r="L306" s="100">
        <f t="shared" si="115"/>
        <v>1</v>
      </c>
      <c r="M306" s="221" t="str">
        <f t="shared" si="121"/>
        <v/>
      </c>
      <c r="N306" s="222">
        <f t="shared" si="116"/>
        <v>1</v>
      </c>
      <c r="O306" s="223">
        <f>IF(N306=0,0,IF(SUM($N$5:N306)&gt;251,1,0))</f>
        <v>0</v>
      </c>
      <c r="P306" s="408">
        <v>2</v>
      </c>
      <c r="Q306" s="409">
        <v>0</v>
      </c>
      <c r="R306" s="224"/>
      <c r="S306" s="411" t="s">
        <v>672</v>
      </c>
      <c r="T306" s="225" t="s">
        <v>697</v>
      </c>
      <c r="U306" s="226" t="s">
        <v>698</v>
      </c>
      <c r="V306" s="413" t="s">
        <v>695</v>
      </c>
      <c r="W306" s="225" t="s">
        <v>697</v>
      </c>
      <c r="X306" s="226" t="s">
        <v>698</v>
      </c>
      <c r="Y306" s="413" t="s">
        <v>696</v>
      </c>
      <c r="Z306" s="225" t="s">
        <v>699</v>
      </c>
      <c r="AA306" s="226" t="s">
        <v>698</v>
      </c>
      <c r="AB306" s="413"/>
      <c r="AC306" s="225">
        <f t="shared" si="127"/>
        <v>0</v>
      </c>
      <c r="AD306" s="226">
        <f t="shared" si="122"/>
        <v>0</v>
      </c>
      <c r="AE306" s="413"/>
      <c r="AF306" s="225">
        <f t="shared" si="128"/>
        <v>0</v>
      </c>
      <c r="AG306" s="226">
        <f t="shared" si="123"/>
        <v>0</v>
      </c>
      <c r="AH306" s="413"/>
      <c r="AI306" s="225">
        <f t="shared" si="129"/>
        <v>0</v>
      </c>
      <c r="AJ306" s="226">
        <f t="shared" si="124"/>
        <v>0</v>
      </c>
      <c r="AK306" s="413"/>
      <c r="AL306" s="225">
        <f t="shared" si="130"/>
        <v>0</v>
      </c>
      <c r="AM306" s="226">
        <f t="shared" si="125"/>
        <v>0</v>
      </c>
      <c r="AN306" s="462" t="str">
        <f t="shared" si="117"/>
        <v/>
      </c>
      <c r="AO306" s="416" t="str">
        <f t="shared" si="118"/>
        <v/>
      </c>
      <c r="AP306" s="416" t="str">
        <f t="shared" si="119"/>
        <v/>
      </c>
      <c r="AQ306" s="416" t="str">
        <f t="shared" si="120"/>
        <v/>
      </c>
      <c r="AR306" s="416" t="str">
        <f t="shared" si="126"/>
        <v/>
      </c>
    </row>
    <row r="307" spans="1:44" ht="14.25">
      <c r="A307" s="830"/>
      <c r="B307" s="99" t="s">
        <v>279</v>
      </c>
      <c r="C307" s="466" t="s">
        <v>262</v>
      </c>
      <c r="D307" s="125" t="s">
        <v>251</v>
      </c>
      <c r="E307" s="126"/>
      <c r="F307" s="126"/>
      <c r="G307" s="217">
        <f t="shared" si="110"/>
        <v>0</v>
      </c>
      <c r="H307" s="218">
        <f t="shared" si="111"/>
        <v>0</v>
      </c>
      <c r="I307" s="96">
        <f t="shared" si="112"/>
        <v>0</v>
      </c>
      <c r="J307" s="219">
        <f t="shared" si="113"/>
        <v>0</v>
      </c>
      <c r="K307" s="220">
        <f t="shared" si="114"/>
        <v>0</v>
      </c>
      <c r="L307" s="100">
        <f t="shared" si="115"/>
        <v>0</v>
      </c>
      <c r="M307" s="221" t="str">
        <f t="shared" si="121"/>
        <v/>
      </c>
      <c r="N307" s="222">
        <f t="shared" si="116"/>
        <v>0</v>
      </c>
      <c r="O307" s="223">
        <f>IF(N307=0,0,IF(SUM($N$5:N307)&gt;251,1,0))</f>
        <v>0</v>
      </c>
      <c r="P307" s="408"/>
      <c r="Q307" s="409"/>
      <c r="R307" s="224"/>
      <c r="S307" s="411"/>
      <c r="T307" s="225">
        <f t="shared" si="131"/>
        <v>0</v>
      </c>
      <c r="U307" s="226">
        <f t="shared" si="132"/>
        <v>0</v>
      </c>
      <c r="V307" s="413"/>
      <c r="W307" s="225">
        <f t="shared" si="133"/>
        <v>0</v>
      </c>
      <c r="X307" s="226">
        <f t="shared" si="134"/>
        <v>0</v>
      </c>
      <c r="Y307" s="413"/>
      <c r="Z307" s="225">
        <f t="shared" si="135"/>
        <v>0</v>
      </c>
      <c r="AA307" s="226">
        <f t="shared" si="136"/>
        <v>0</v>
      </c>
      <c r="AB307" s="413"/>
      <c r="AC307" s="225">
        <f t="shared" si="127"/>
        <v>0</v>
      </c>
      <c r="AD307" s="226">
        <f t="shared" si="122"/>
        <v>0</v>
      </c>
      <c r="AE307" s="413"/>
      <c r="AF307" s="225">
        <f t="shared" si="128"/>
        <v>0</v>
      </c>
      <c r="AG307" s="226">
        <f t="shared" si="123"/>
        <v>0</v>
      </c>
      <c r="AH307" s="413"/>
      <c r="AI307" s="225">
        <f t="shared" si="129"/>
        <v>0</v>
      </c>
      <c r="AJ307" s="226">
        <f t="shared" si="124"/>
        <v>0</v>
      </c>
      <c r="AK307" s="413"/>
      <c r="AL307" s="225">
        <f t="shared" si="130"/>
        <v>0</v>
      </c>
      <c r="AM307" s="226">
        <f t="shared" si="125"/>
        <v>0</v>
      </c>
      <c r="AN307" s="462" t="str">
        <f t="shared" si="117"/>
        <v/>
      </c>
      <c r="AO307" s="416" t="str">
        <f t="shared" si="118"/>
        <v/>
      </c>
      <c r="AP307" s="416" t="str">
        <f t="shared" si="119"/>
        <v/>
      </c>
      <c r="AQ307" s="416" t="str">
        <f t="shared" si="120"/>
        <v/>
      </c>
      <c r="AR307" s="416" t="str">
        <f t="shared" si="126"/>
        <v/>
      </c>
    </row>
    <row r="308" spans="1:44" ht="14.25">
      <c r="A308" s="830"/>
      <c r="B308" s="99" t="s">
        <v>280</v>
      </c>
      <c r="C308" s="466" t="s">
        <v>182</v>
      </c>
      <c r="D308" s="125" t="s">
        <v>24</v>
      </c>
      <c r="E308" s="126">
        <v>0.58333333333333337</v>
      </c>
      <c r="F308" s="126">
        <v>0.79166666666666663</v>
      </c>
      <c r="G308" s="217">
        <f t="shared" si="110"/>
        <v>0.20833333333333326</v>
      </c>
      <c r="H308" s="218">
        <f t="shared" si="111"/>
        <v>0</v>
      </c>
      <c r="I308" s="96">
        <f t="shared" si="112"/>
        <v>0</v>
      </c>
      <c r="J308" s="219">
        <f t="shared" si="113"/>
        <v>0</v>
      </c>
      <c r="K308" s="220">
        <f t="shared" si="114"/>
        <v>0</v>
      </c>
      <c r="L308" s="100">
        <f t="shared" si="115"/>
        <v>0</v>
      </c>
      <c r="M308" s="221" t="str">
        <f t="shared" si="121"/>
        <v/>
      </c>
      <c r="N308" s="222">
        <f t="shared" si="116"/>
        <v>0</v>
      </c>
      <c r="O308" s="223">
        <f>IF(N308=0,0,IF(SUM($N$5:N308)&gt;251,1,0))</f>
        <v>0</v>
      </c>
      <c r="P308" s="408">
        <v>4</v>
      </c>
      <c r="Q308" s="409">
        <v>0</v>
      </c>
      <c r="R308" s="224"/>
      <c r="S308" s="411" t="s">
        <v>672</v>
      </c>
      <c r="T308" s="225" t="s">
        <v>697</v>
      </c>
      <c r="U308" s="226" t="s">
        <v>698</v>
      </c>
      <c r="V308" s="413" t="s">
        <v>695</v>
      </c>
      <c r="W308" s="225" t="s">
        <v>697</v>
      </c>
      <c r="X308" s="226" t="s">
        <v>698</v>
      </c>
      <c r="Y308" s="413" t="s">
        <v>696</v>
      </c>
      <c r="Z308" s="225" t="s">
        <v>699</v>
      </c>
      <c r="AA308" s="226" t="s">
        <v>698</v>
      </c>
      <c r="AB308" s="413"/>
      <c r="AC308" s="225">
        <f t="shared" si="127"/>
        <v>0</v>
      </c>
      <c r="AD308" s="226">
        <f t="shared" si="122"/>
        <v>0</v>
      </c>
      <c r="AE308" s="413"/>
      <c r="AF308" s="225">
        <f t="shared" si="128"/>
        <v>0</v>
      </c>
      <c r="AG308" s="226">
        <f t="shared" si="123"/>
        <v>0</v>
      </c>
      <c r="AH308" s="413"/>
      <c r="AI308" s="225">
        <f t="shared" si="129"/>
        <v>0</v>
      </c>
      <c r="AJ308" s="226">
        <f t="shared" si="124"/>
        <v>0</v>
      </c>
      <c r="AK308" s="413"/>
      <c r="AL308" s="225">
        <f t="shared" si="130"/>
        <v>0</v>
      </c>
      <c r="AM308" s="226">
        <f t="shared" si="125"/>
        <v>0</v>
      </c>
      <c r="AN308" s="462" t="str">
        <f t="shared" si="117"/>
        <v/>
      </c>
      <c r="AO308" s="416" t="str">
        <f t="shared" si="118"/>
        <v/>
      </c>
      <c r="AP308" s="416" t="str">
        <f t="shared" si="119"/>
        <v/>
      </c>
      <c r="AQ308" s="416" t="str">
        <f t="shared" si="120"/>
        <v/>
      </c>
      <c r="AR308" s="416" t="str">
        <f t="shared" si="126"/>
        <v/>
      </c>
    </row>
    <row r="309" spans="1:44" ht="14.25">
      <c r="A309" s="830"/>
      <c r="B309" s="99" t="s">
        <v>281</v>
      </c>
      <c r="C309" s="466" t="s">
        <v>187</v>
      </c>
      <c r="D309" s="125" t="s">
        <v>24</v>
      </c>
      <c r="E309" s="126">
        <v>0.58333333333333337</v>
      </c>
      <c r="F309" s="126">
        <v>0.79166666666666663</v>
      </c>
      <c r="G309" s="217">
        <f t="shared" si="110"/>
        <v>0.20833333333333326</v>
      </c>
      <c r="H309" s="218">
        <f t="shared" si="111"/>
        <v>0</v>
      </c>
      <c r="I309" s="96">
        <f t="shared" si="112"/>
        <v>0</v>
      </c>
      <c r="J309" s="219">
        <f t="shared" si="113"/>
        <v>0</v>
      </c>
      <c r="K309" s="220">
        <f t="shared" si="114"/>
        <v>0</v>
      </c>
      <c r="L309" s="100">
        <f t="shared" si="115"/>
        <v>0</v>
      </c>
      <c r="M309" s="221" t="str">
        <f t="shared" si="121"/>
        <v/>
      </c>
      <c r="N309" s="222">
        <f t="shared" si="116"/>
        <v>0</v>
      </c>
      <c r="O309" s="223">
        <f>IF(N309=0,0,IF(SUM($N$5:N309)&gt;251,1,0))</f>
        <v>0</v>
      </c>
      <c r="P309" s="408">
        <v>25</v>
      </c>
      <c r="Q309" s="409">
        <v>1</v>
      </c>
      <c r="R309" s="224"/>
      <c r="S309" s="411" t="s">
        <v>672</v>
      </c>
      <c r="T309" s="225" t="s">
        <v>697</v>
      </c>
      <c r="U309" s="226" t="s">
        <v>698</v>
      </c>
      <c r="V309" s="413" t="s">
        <v>695</v>
      </c>
      <c r="W309" s="225" t="s">
        <v>697</v>
      </c>
      <c r="X309" s="226" t="s">
        <v>698</v>
      </c>
      <c r="Y309" s="413" t="s">
        <v>696</v>
      </c>
      <c r="Z309" s="225" t="s">
        <v>699</v>
      </c>
      <c r="AA309" s="226" t="s">
        <v>698</v>
      </c>
      <c r="AB309" s="413"/>
      <c r="AC309" s="225">
        <f t="shared" si="127"/>
        <v>0</v>
      </c>
      <c r="AD309" s="226">
        <f t="shared" si="122"/>
        <v>0</v>
      </c>
      <c r="AE309" s="413"/>
      <c r="AF309" s="225">
        <f t="shared" si="128"/>
        <v>0</v>
      </c>
      <c r="AG309" s="226">
        <f t="shared" si="123"/>
        <v>0</v>
      </c>
      <c r="AH309" s="413"/>
      <c r="AI309" s="225">
        <f t="shared" si="129"/>
        <v>0</v>
      </c>
      <c r="AJ309" s="226">
        <f t="shared" si="124"/>
        <v>0</v>
      </c>
      <c r="AK309" s="413"/>
      <c r="AL309" s="225">
        <f t="shared" si="130"/>
        <v>0</v>
      </c>
      <c r="AM309" s="226">
        <f t="shared" si="125"/>
        <v>0</v>
      </c>
      <c r="AN309" s="462" t="str">
        <f t="shared" si="117"/>
        <v/>
      </c>
      <c r="AO309" s="416" t="str">
        <f t="shared" si="118"/>
        <v/>
      </c>
      <c r="AP309" s="416" t="str">
        <f t="shared" si="119"/>
        <v/>
      </c>
      <c r="AQ309" s="416" t="str">
        <f t="shared" si="120"/>
        <v/>
      </c>
      <c r="AR309" s="416" t="str">
        <f t="shared" si="126"/>
        <v/>
      </c>
    </row>
    <row r="310" spans="1:44" ht="15" thickBot="1">
      <c r="A310" s="831"/>
      <c r="B310" s="101" t="s">
        <v>292</v>
      </c>
      <c r="C310" s="102" t="s">
        <v>183</v>
      </c>
      <c r="D310" s="125" t="s">
        <v>24</v>
      </c>
      <c r="E310" s="126">
        <v>0.58333333333333337</v>
      </c>
      <c r="F310" s="126">
        <v>0.79166666666666663</v>
      </c>
      <c r="G310" s="227">
        <f t="shared" si="110"/>
        <v>0.20833333333333326</v>
      </c>
      <c r="H310" s="228">
        <f t="shared" si="111"/>
        <v>0</v>
      </c>
      <c r="I310" s="103">
        <f t="shared" si="112"/>
        <v>0</v>
      </c>
      <c r="J310" s="229">
        <f t="shared" si="113"/>
        <v>0</v>
      </c>
      <c r="K310" s="230">
        <f t="shared" si="114"/>
        <v>0</v>
      </c>
      <c r="L310" s="104">
        <f t="shared" si="115"/>
        <v>0</v>
      </c>
      <c r="M310" s="231" t="str">
        <f t="shared" si="121"/>
        <v/>
      </c>
      <c r="N310" s="232">
        <f t="shared" si="116"/>
        <v>0</v>
      </c>
      <c r="O310" s="233">
        <f>IF(N310=0,0,IF(SUM($N$5:N310)&gt;251,1,0))</f>
        <v>0</v>
      </c>
      <c r="P310" s="408">
        <v>25</v>
      </c>
      <c r="Q310" s="409">
        <v>0</v>
      </c>
      <c r="R310" s="236">
        <f>SUM(P280:P310)</f>
        <v>427</v>
      </c>
      <c r="S310" s="411" t="s">
        <v>672</v>
      </c>
      <c r="T310" s="225" t="s">
        <v>697</v>
      </c>
      <c r="U310" s="235" t="s">
        <v>698</v>
      </c>
      <c r="V310" s="414" t="s">
        <v>695</v>
      </c>
      <c r="W310" s="225" t="s">
        <v>697</v>
      </c>
      <c r="X310" s="235" t="s">
        <v>698</v>
      </c>
      <c r="Y310" s="414" t="s">
        <v>696</v>
      </c>
      <c r="Z310" s="225" t="s">
        <v>699</v>
      </c>
      <c r="AA310" s="235" t="s">
        <v>698</v>
      </c>
      <c r="AB310" s="414"/>
      <c r="AC310" s="225">
        <f t="shared" si="127"/>
        <v>0</v>
      </c>
      <c r="AD310" s="235">
        <f t="shared" si="122"/>
        <v>0</v>
      </c>
      <c r="AE310" s="414"/>
      <c r="AF310" s="225">
        <f t="shared" si="128"/>
        <v>0</v>
      </c>
      <c r="AG310" s="235">
        <f t="shared" si="123"/>
        <v>0</v>
      </c>
      <c r="AH310" s="414"/>
      <c r="AI310" s="225">
        <f t="shared" si="129"/>
        <v>0</v>
      </c>
      <c r="AJ310" s="235">
        <f t="shared" si="124"/>
        <v>0</v>
      </c>
      <c r="AK310" s="414"/>
      <c r="AL310" s="225">
        <f t="shared" si="130"/>
        <v>0</v>
      </c>
      <c r="AM310" s="235">
        <f t="shared" si="125"/>
        <v>0</v>
      </c>
      <c r="AN310" s="463" t="str">
        <f t="shared" si="117"/>
        <v/>
      </c>
      <c r="AO310" s="417" t="str">
        <f t="shared" si="118"/>
        <v/>
      </c>
      <c r="AP310" s="417" t="str">
        <f t="shared" si="119"/>
        <v/>
      </c>
      <c r="AQ310" s="417" t="str">
        <f t="shared" si="120"/>
        <v/>
      </c>
      <c r="AR310" s="416" t="str">
        <f t="shared" si="126"/>
        <v/>
      </c>
    </row>
    <row r="311" spans="1:44" ht="14.25">
      <c r="A311" s="829" t="s">
        <v>290</v>
      </c>
      <c r="B311" s="467" t="s">
        <v>248</v>
      </c>
      <c r="C311" s="468" t="s">
        <v>184</v>
      </c>
      <c r="D311" s="125" t="s">
        <v>24</v>
      </c>
      <c r="E311" s="126">
        <v>0.58333333333333337</v>
      </c>
      <c r="F311" s="126">
        <v>0.79166666666666663</v>
      </c>
      <c r="G311" s="207">
        <f t="shared" si="110"/>
        <v>0.20833333333333326</v>
      </c>
      <c r="H311" s="208">
        <f t="shared" si="111"/>
        <v>0</v>
      </c>
      <c r="I311" s="95">
        <f t="shared" si="112"/>
        <v>0</v>
      </c>
      <c r="J311" s="209">
        <f t="shared" si="113"/>
        <v>0</v>
      </c>
      <c r="K311" s="210">
        <f t="shared" si="114"/>
        <v>0</v>
      </c>
      <c r="L311" s="97">
        <f t="shared" si="115"/>
        <v>0</v>
      </c>
      <c r="M311" s="211" t="str">
        <f t="shared" si="121"/>
        <v/>
      </c>
      <c r="N311" s="212">
        <f t="shared" si="116"/>
        <v>0</v>
      </c>
      <c r="O311" s="213">
        <f>IF(N311=0,0,IF(SUM($N$5:N311)&gt;251,1,0))</f>
        <v>0</v>
      </c>
      <c r="P311" s="408">
        <v>24</v>
      </c>
      <c r="Q311" s="409">
        <v>1</v>
      </c>
      <c r="R311" s="214"/>
      <c r="S311" s="411" t="s">
        <v>672</v>
      </c>
      <c r="T311" s="225" t="s">
        <v>697</v>
      </c>
      <c r="U311" s="216" t="s">
        <v>698</v>
      </c>
      <c r="V311" s="412" t="s">
        <v>695</v>
      </c>
      <c r="W311" s="225" t="s">
        <v>697</v>
      </c>
      <c r="X311" s="216" t="s">
        <v>698</v>
      </c>
      <c r="Y311" s="412" t="s">
        <v>696</v>
      </c>
      <c r="Z311" s="225" t="s">
        <v>699</v>
      </c>
      <c r="AA311" s="216" t="s">
        <v>698</v>
      </c>
      <c r="AB311" s="412"/>
      <c r="AC311" s="225">
        <f t="shared" si="127"/>
        <v>0</v>
      </c>
      <c r="AD311" s="216">
        <f t="shared" si="122"/>
        <v>0</v>
      </c>
      <c r="AE311" s="412"/>
      <c r="AF311" s="225">
        <f t="shared" si="128"/>
        <v>0</v>
      </c>
      <c r="AG311" s="216">
        <f t="shared" si="123"/>
        <v>0</v>
      </c>
      <c r="AH311" s="412"/>
      <c r="AI311" s="225">
        <f t="shared" si="129"/>
        <v>0</v>
      </c>
      <c r="AJ311" s="216">
        <f t="shared" si="124"/>
        <v>0</v>
      </c>
      <c r="AK311" s="412"/>
      <c r="AL311" s="225">
        <f t="shared" si="130"/>
        <v>0</v>
      </c>
      <c r="AM311" s="216">
        <f t="shared" si="125"/>
        <v>0</v>
      </c>
      <c r="AN311" s="461" t="str">
        <f t="shared" si="117"/>
        <v/>
      </c>
      <c r="AO311" s="418" t="str">
        <f t="shared" si="118"/>
        <v/>
      </c>
      <c r="AP311" s="418" t="str">
        <f t="shared" si="119"/>
        <v/>
      </c>
      <c r="AQ311" s="415" t="str">
        <f t="shared" si="120"/>
        <v/>
      </c>
      <c r="AR311" s="416" t="str">
        <f t="shared" si="126"/>
        <v/>
      </c>
    </row>
    <row r="312" spans="1:44" ht="14.25">
      <c r="A312" s="830"/>
      <c r="B312" s="99" t="s">
        <v>250</v>
      </c>
      <c r="C312" s="466" t="s">
        <v>185</v>
      </c>
      <c r="D312" s="125" t="s">
        <v>24</v>
      </c>
      <c r="E312" s="126">
        <v>0.58333333333333337</v>
      </c>
      <c r="F312" s="126">
        <v>0.79166666666666663</v>
      </c>
      <c r="G312" s="217">
        <f t="shared" si="110"/>
        <v>0.20833333333333326</v>
      </c>
      <c r="H312" s="218">
        <f t="shared" si="111"/>
        <v>0</v>
      </c>
      <c r="I312" s="96">
        <f t="shared" si="112"/>
        <v>0</v>
      </c>
      <c r="J312" s="219">
        <f t="shared" si="113"/>
        <v>0</v>
      </c>
      <c r="K312" s="220">
        <f t="shared" si="114"/>
        <v>0</v>
      </c>
      <c r="L312" s="100">
        <f t="shared" si="115"/>
        <v>0</v>
      </c>
      <c r="M312" s="221" t="str">
        <f t="shared" si="121"/>
        <v/>
      </c>
      <c r="N312" s="222">
        <f t="shared" si="116"/>
        <v>0</v>
      </c>
      <c r="O312" s="223">
        <f>IF(N312=0,0,IF(SUM($N$5:N312)&gt;251,1,0))</f>
        <v>0</v>
      </c>
      <c r="P312" s="408">
        <v>19</v>
      </c>
      <c r="Q312" s="409">
        <v>1</v>
      </c>
      <c r="R312" s="224"/>
      <c r="S312" s="411" t="s">
        <v>672</v>
      </c>
      <c r="T312" s="225" t="s">
        <v>697</v>
      </c>
      <c r="U312" s="226" t="s">
        <v>698</v>
      </c>
      <c r="V312" s="413" t="s">
        <v>695</v>
      </c>
      <c r="W312" s="225" t="s">
        <v>697</v>
      </c>
      <c r="X312" s="226" t="s">
        <v>698</v>
      </c>
      <c r="Y312" s="413" t="s">
        <v>696</v>
      </c>
      <c r="Z312" s="225" t="s">
        <v>699</v>
      </c>
      <c r="AA312" s="226" t="s">
        <v>698</v>
      </c>
      <c r="AB312" s="413"/>
      <c r="AC312" s="225">
        <f t="shared" si="127"/>
        <v>0</v>
      </c>
      <c r="AD312" s="226">
        <f t="shared" si="122"/>
        <v>0</v>
      </c>
      <c r="AE312" s="413"/>
      <c r="AF312" s="225">
        <f t="shared" si="128"/>
        <v>0</v>
      </c>
      <c r="AG312" s="226">
        <f t="shared" si="123"/>
        <v>0</v>
      </c>
      <c r="AH312" s="413"/>
      <c r="AI312" s="225">
        <f t="shared" si="129"/>
        <v>0</v>
      </c>
      <c r="AJ312" s="226">
        <f t="shared" si="124"/>
        <v>0</v>
      </c>
      <c r="AK312" s="413"/>
      <c r="AL312" s="225">
        <f t="shared" si="130"/>
        <v>0</v>
      </c>
      <c r="AM312" s="226">
        <f t="shared" si="125"/>
        <v>0</v>
      </c>
      <c r="AN312" s="462" t="str">
        <f t="shared" si="117"/>
        <v/>
      </c>
      <c r="AO312" s="416" t="str">
        <f t="shared" si="118"/>
        <v/>
      </c>
      <c r="AP312" s="416" t="str">
        <f t="shared" si="119"/>
        <v/>
      </c>
      <c r="AQ312" s="416" t="str">
        <f t="shared" si="120"/>
        <v/>
      </c>
      <c r="AR312" s="416" t="str">
        <f t="shared" si="126"/>
        <v/>
      </c>
    </row>
    <row r="313" spans="1:44" ht="14.25">
      <c r="A313" s="830"/>
      <c r="B313" s="99" t="s">
        <v>252</v>
      </c>
      <c r="C313" s="466" t="s">
        <v>186</v>
      </c>
      <c r="D313" s="125" t="s">
        <v>249</v>
      </c>
      <c r="E313" s="126">
        <v>0.375</v>
      </c>
      <c r="F313" s="126">
        <v>0.75</v>
      </c>
      <c r="G313" s="217">
        <f t="shared" si="110"/>
        <v>0.375</v>
      </c>
      <c r="H313" s="218">
        <f t="shared" si="111"/>
        <v>0</v>
      </c>
      <c r="I313" s="96">
        <f t="shared" si="112"/>
        <v>0</v>
      </c>
      <c r="J313" s="219">
        <f t="shared" si="113"/>
        <v>0</v>
      </c>
      <c r="K313" s="220">
        <f t="shared" si="114"/>
        <v>4.1666666666666685E-2</v>
      </c>
      <c r="L313" s="100">
        <f t="shared" si="115"/>
        <v>1</v>
      </c>
      <c r="M313" s="221" t="str">
        <f t="shared" si="121"/>
        <v/>
      </c>
      <c r="N313" s="222">
        <f t="shared" si="116"/>
        <v>1</v>
      </c>
      <c r="O313" s="223">
        <f>IF(N313=0,0,IF(SUM($N$5:N313)&gt;251,1,0))</f>
        <v>0</v>
      </c>
      <c r="P313" s="408">
        <v>1</v>
      </c>
      <c r="Q313" s="409">
        <v>0</v>
      </c>
      <c r="R313" s="224"/>
      <c r="S313" s="411" t="s">
        <v>672</v>
      </c>
      <c r="T313" s="225" t="s">
        <v>697</v>
      </c>
      <c r="U313" s="226" t="s">
        <v>698</v>
      </c>
      <c r="V313" s="413" t="s">
        <v>695</v>
      </c>
      <c r="W313" s="225" t="s">
        <v>697</v>
      </c>
      <c r="X313" s="226" t="s">
        <v>698</v>
      </c>
      <c r="Y313" s="413" t="s">
        <v>696</v>
      </c>
      <c r="Z313" s="225" t="s">
        <v>699</v>
      </c>
      <c r="AA313" s="226" t="s">
        <v>698</v>
      </c>
      <c r="AB313" s="413"/>
      <c r="AC313" s="225">
        <f t="shared" si="127"/>
        <v>0</v>
      </c>
      <c r="AD313" s="226">
        <f t="shared" si="122"/>
        <v>0</v>
      </c>
      <c r="AE313" s="413"/>
      <c r="AF313" s="225">
        <f t="shared" si="128"/>
        <v>0</v>
      </c>
      <c r="AG313" s="226">
        <f t="shared" si="123"/>
        <v>0</v>
      </c>
      <c r="AH313" s="413"/>
      <c r="AI313" s="225">
        <f t="shared" si="129"/>
        <v>0</v>
      </c>
      <c r="AJ313" s="226">
        <f t="shared" si="124"/>
        <v>0</v>
      </c>
      <c r="AK313" s="413"/>
      <c r="AL313" s="225">
        <f t="shared" si="130"/>
        <v>0</v>
      </c>
      <c r="AM313" s="226">
        <f t="shared" si="125"/>
        <v>0</v>
      </c>
      <c r="AN313" s="462" t="str">
        <f t="shared" si="117"/>
        <v/>
      </c>
      <c r="AO313" s="416" t="str">
        <f t="shared" si="118"/>
        <v/>
      </c>
      <c r="AP313" s="416" t="str">
        <f t="shared" si="119"/>
        <v/>
      </c>
      <c r="AQ313" s="416" t="str">
        <f t="shared" si="120"/>
        <v/>
      </c>
      <c r="AR313" s="416" t="str">
        <f t="shared" si="126"/>
        <v/>
      </c>
    </row>
    <row r="314" spans="1:44" ht="14.25">
      <c r="A314" s="830"/>
      <c r="B314" s="99" t="s">
        <v>254</v>
      </c>
      <c r="C314" s="466" t="s">
        <v>262</v>
      </c>
      <c r="D314" s="125" t="s">
        <v>251</v>
      </c>
      <c r="E314" s="126"/>
      <c r="F314" s="126"/>
      <c r="G314" s="217">
        <f t="shared" si="110"/>
        <v>0</v>
      </c>
      <c r="H314" s="218">
        <f t="shared" si="111"/>
        <v>0</v>
      </c>
      <c r="I314" s="96">
        <f t="shared" si="112"/>
        <v>0</v>
      </c>
      <c r="J314" s="219">
        <f t="shared" si="113"/>
        <v>0</v>
      </c>
      <c r="K314" s="220">
        <f t="shared" si="114"/>
        <v>0</v>
      </c>
      <c r="L314" s="100">
        <f t="shared" si="115"/>
        <v>0</v>
      </c>
      <c r="M314" s="221" t="str">
        <f t="shared" si="121"/>
        <v/>
      </c>
      <c r="N314" s="222">
        <f t="shared" si="116"/>
        <v>0</v>
      </c>
      <c r="O314" s="223">
        <f>IF(N314=0,0,IF(SUM($N$5:N314)&gt;251,1,0))</f>
        <v>0</v>
      </c>
      <c r="P314" s="408"/>
      <c r="Q314" s="409"/>
      <c r="R314" s="224"/>
      <c r="S314" s="411"/>
      <c r="T314" s="225">
        <f t="shared" si="131"/>
        <v>0</v>
      </c>
      <c r="U314" s="226">
        <f t="shared" si="132"/>
        <v>0</v>
      </c>
      <c r="V314" s="413"/>
      <c r="W314" s="225">
        <f t="shared" si="133"/>
        <v>0</v>
      </c>
      <c r="X314" s="226">
        <f t="shared" si="134"/>
        <v>0</v>
      </c>
      <c r="Y314" s="413"/>
      <c r="Z314" s="225">
        <f t="shared" si="135"/>
        <v>0</v>
      </c>
      <c r="AA314" s="226">
        <f t="shared" si="136"/>
        <v>0</v>
      </c>
      <c r="AB314" s="413"/>
      <c r="AC314" s="225">
        <f t="shared" si="127"/>
        <v>0</v>
      </c>
      <c r="AD314" s="226">
        <f t="shared" si="122"/>
        <v>0</v>
      </c>
      <c r="AE314" s="413"/>
      <c r="AF314" s="225">
        <f t="shared" si="128"/>
        <v>0</v>
      </c>
      <c r="AG314" s="226">
        <f t="shared" si="123"/>
        <v>0</v>
      </c>
      <c r="AH314" s="413"/>
      <c r="AI314" s="225">
        <f t="shared" si="129"/>
        <v>0</v>
      </c>
      <c r="AJ314" s="226">
        <f t="shared" si="124"/>
        <v>0</v>
      </c>
      <c r="AK314" s="413"/>
      <c r="AL314" s="225">
        <f t="shared" si="130"/>
        <v>0</v>
      </c>
      <c r="AM314" s="226">
        <f t="shared" si="125"/>
        <v>0</v>
      </c>
      <c r="AN314" s="462" t="str">
        <f t="shared" si="117"/>
        <v/>
      </c>
      <c r="AO314" s="416" t="str">
        <f t="shared" si="118"/>
        <v/>
      </c>
      <c r="AP314" s="416" t="str">
        <f t="shared" si="119"/>
        <v/>
      </c>
      <c r="AQ314" s="416" t="str">
        <f t="shared" si="120"/>
        <v/>
      </c>
      <c r="AR314" s="416" t="str">
        <f t="shared" si="126"/>
        <v/>
      </c>
    </row>
    <row r="315" spans="1:44" ht="14.25">
      <c r="A315" s="830"/>
      <c r="B315" s="99" t="s">
        <v>255</v>
      </c>
      <c r="C315" s="466" t="s">
        <v>182</v>
      </c>
      <c r="D315" s="125" t="s">
        <v>24</v>
      </c>
      <c r="E315" s="126">
        <v>0.58333333333333337</v>
      </c>
      <c r="F315" s="126">
        <v>0.79166666666666663</v>
      </c>
      <c r="G315" s="217">
        <f t="shared" si="110"/>
        <v>0.20833333333333326</v>
      </c>
      <c r="H315" s="218">
        <f t="shared" si="111"/>
        <v>0</v>
      </c>
      <c r="I315" s="96">
        <f t="shared" si="112"/>
        <v>0</v>
      </c>
      <c r="J315" s="219">
        <f t="shared" si="113"/>
        <v>0</v>
      </c>
      <c r="K315" s="220">
        <f t="shared" si="114"/>
        <v>0</v>
      </c>
      <c r="L315" s="100">
        <f t="shared" si="115"/>
        <v>0</v>
      </c>
      <c r="M315" s="221" t="str">
        <f t="shared" si="121"/>
        <v/>
      </c>
      <c r="N315" s="222">
        <f t="shared" si="116"/>
        <v>0</v>
      </c>
      <c r="O315" s="223">
        <f>IF(N315=0,0,IF(SUM($N$5:N315)&gt;251,1,0))</f>
        <v>0</v>
      </c>
      <c r="P315" s="408">
        <v>5</v>
      </c>
      <c r="Q315" s="409">
        <v>0</v>
      </c>
      <c r="R315" s="224"/>
      <c r="S315" s="411" t="s">
        <v>672</v>
      </c>
      <c r="T315" s="225" t="s">
        <v>697</v>
      </c>
      <c r="U315" s="226" t="s">
        <v>698</v>
      </c>
      <c r="V315" s="413" t="s">
        <v>695</v>
      </c>
      <c r="W315" s="225" t="s">
        <v>697</v>
      </c>
      <c r="X315" s="226" t="s">
        <v>698</v>
      </c>
      <c r="Y315" s="413" t="s">
        <v>696</v>
      </c>
      <c r="Z315" s="225" t="s">
        <v>699</v>
      </c>
      <c r="AA315" s="226" t="s">
        <v>698</v>
      </c>
      <c r="AB315" s="413"/>
      <c r="AC315" s="225">
        <f t="shared" si="127"/>
        <v>0</v>
      </c>
      <c r="AD315" s="226">
        <f t="shared" si="122"/>
        <v>0</v>
      </c>
      <c r="AE315" s="413"/>
      <c r="AF315" s="225">
        <f t="shared" si="128"/>
        <v>0</v>
      </c>
      <c r="AG315" s="226">
        <f t="shared" si="123"/>
        <v>0</v>
      </c>
      <c r="AH315" s="413"/>
      <c r="AI315" s="225">
        <f t="shared" si="129"/>
        <v>0</v>
      </c>
      <c r="AJ315" s="226">
        <f t="shared" si="124"/>
        <v>0</v>
      </c>
      <c r="AK315" s="413"/>
      <c r="AL315" s="225">
        <f t="shared" si="130"/>
        <v>0</v>
      </c>
      <c r="AM315" s="226">
        <f t="shared" si="125"/>
        <v>0</v>
      </c>
      <c r="AN315" s="462" t="str">
        <f t="shared" si="117"/>
        <v/>
      </c>
      <c r="AO315" s="416" t="str">
        <f t="shared" si="118"/>
        <v/>
      </c>
      <c r="AP315" s="416" t="str">
        <f t="shared" si="119"/>
        <v/>
      </c>
      <c r="AQ315" s="416" t="str">
        <f t="shared" si="120"/>
        <v/>
      </c>
      <c r="AR315" s="416" t="str">
        <f t="shared" si="126"/>
        <v/>
      </c>
    </row>
    <row r="316" spans="1:44" ht="14.25">
      <c r="A316" s="830"/>
      <c r="B316" s="99" t="s">
        <v>256</v>
      </c>
      <c r="C316" s="466" t="s">
        <v>187</v>
      </c>
      <c r="D316" s="125" t="s">
        <v>24</v>
      </c>
      <c r="E316" s="126">
        <v>0.58333333333333337</v>
      </c>
      <c r="F316" s="126">
        <v>0.79166666666666663</v>
      </c>
      <c r="G316" s="217">
        <f t="shared" si="110"/>
        <v>0.20833333333333326</v>
      </c>
      <c r="H316" s="218">
        <f t="shared" si="111"/>
        <v>0</v>
      </c>
      <c r="I316" s="96">
        <f t="shared" si="112"/>
        <v>0</v>
      </c>
      <c r="J316" s="219">
        <f t="shared" si="113"/>
        <v>0</v>
      </c>
      <c r="K316" s="220">
        <f t="shared" si="114"/>
        <v>0</v>
      </c>
      <c r="L316" s="100">
        <f t="shared" si="115"/>
        <v>0</v>
      </c>
      <c r="M316" s="221" t="str">
        <f t="shared" si="121"/>
        <v/>
      </c>
      <c r="N316" s="222">
        <f t="shared" si="116"/>
        <v>0</v>
      </c>
      <c r="O316" s="223">
        <f>IF(N316=0,0,IF(SUM($N$5:N316)&gt;251,1,0))</f>
        <v>0</v>
      </c>
      <c r="P316" s="408">
        <v>23</v>
      </c>
      <c r="Q316" s="409">
        <v>0</v>
      </c>
      <c r="R316" s="224"/>
      <c r="S316" s="411" t="s">
        <v>672</v>
      </c>
      <c r="T316" s="225" t="s">
        <v>697</v>
      </c>
      <c r="U316" s="226" t="s">
        <v>698</v>
      </c>
      <c r="V316" s="413" t="s">
        <v>695</v>
      </c>
      <c r="W316" s="225" t="s">
        <v>697</v>
      </c>
      <c r="X316" s="226" t="s">
        <v>698</v>
      </c>
      <c r="Y316" s="413" t="s">
        <v>696</v>
      </c>
      <c r="Z316" s="225" t="s">
        <v>699</v>
      </c>
      <c r="AA316" s="226" t="s">
        <v>698</v>
      </c>
      <c r="AB316" s="413"/>
      <c r="AC316" s="225">
        <f t="shared" si="127"/>
        <v>0</v>
      </c>
      <c r="AD316" s="226">
        <f t="shared" si="122"/>
        <v>0</v>
      </c>
      <c r="AE316" s="413"/>
      <c r="AF316" s="225">
        <f t="shared" si="128"/>
        <v>0</v>
      </c>
      <c r="AG316" s="226">
        <f t="shared" si="123"/>
        <v>0</v>
      </c>
      <c r="AH316" s="413"/>
      <c r="AI316" s="225">
        <f t="shared" si="129"/>
        <v>0</v>
      </c>
      <c r="AJ316" s="226">
        <f t="shared" si="124"/>
        <v>0</v>
      </c>
      <c r="AK316" s="413"/>
      <c r="AL316" s="225">
        <f t="shared" si="130"/>
        <v>0</v>
      </c>
      <c r="AM316" s="226">
        <f t="shared" si="125"/>
        <v>0</v>
      </c>
      <c r="AN316" s="462" t="str">
        <f t="shared" si="117"/>
        <v/>
      </c>
      <c r="AO316" s="416" t="str">
        <f t="shared" si="118"/>
        <v/>
      </c>
      <c r="AP316" s="416" t="str">
        <f t="shared" si="119"/>
        <v/>
      </c>
      <c r="AQ316" s="416" t="str">
        <f t="shared" si="120"/>
        <v/>
      </c>
      <c r="AR316" s="416" t="str">
        <f t="shared" si="126"/>
        <v/>
      </c>
    </row>
    <row r="317" spans="1:44" ht="14.25">
      <c r="A317" s="830"/>
      <c r="B317" s="99" t="s">
        <v>257</v>
      </c>
      <c r="C317" s="466" t="s">
        <v>183</v>
      </c>
      <c r="D317" s="125" t="s">
        <v>24</v>
      </c>
      <c r="E317" s="126">
        <v>0.58333333333333337</v>
      </c>
      <c r="F317" s="126">
        <v>0.79166666666666663</v>
      </c>
      <c r="G317" s="217">
        <f t="shared" si="110"/>
        <v>0.20833333333333326</v>
      </c>
      <c r="H317" s="218">
        <f t="shared" si="111"/>
        <v>0</v>
      </c>
      <c r="I317" s="96">
        <f t="shared" si="112"/>
        <v>0</v>
      </c>
      <c r="J317" s="219">
        <f t="shared" si="113"/>
        <v>0</v>
      </c>
      <c r="K317" s="220">
        <f t="shared" si="114"/>
        <v>0</v>
      </c>
      <c r="L317" s="100">
        <f t="shared" si="115"/>
        <v>0</v>
      </c>
      <c r="M317" s="221" t="str">
        <f t="shared" si="121"/>
        <v/>
      </c>
      <c r="N317" s="222">
        <f t="shared" si="116"/>
        <v>0</v>
      </c>
      <c r="O317" s="223">
        <f>IF(N317=0,0,IF(SUM($N$5:N317)&gt;251,1,0))</f>
        <v>0</v>
      </c>
      <c r="P317" s="408">
        <v>29</v>
      </c>
      <c r="Q317" s="409">
        <v>1</v>
      </c>
      <c r="R317" s="224"/>
      <c r="S317" s="411" t="s">
        <v>672</v>
      </c>
      <c r="T317" s="225" t="s">
        <v>697</v>
      </c>
      <c r="U317" s="226" t="s">
        <v>698</v>
      </c>
      <c r="V317" s="413" t="s">
        <v>695</v>
      </c>
      <c r="W317" s="225" t="s">
        <v>697</v>
      </c>
      <c r="X317" s="226" t="s">
        <v>698</v>
      </c>
      <c r="Y317" s="413" t="s">
        <v>696</v>
      </c>
      <c r="Z317" s="225" t="s">
        <v>699</v>
      </c>
      <c r="AA317" s="226" t="s">
        <v>698</v>
      </c>
      <c r="AB317" s="413"/>
      <c r="AC317" s="225">
        <f t="shared" si="127"/>
        <v>0</v>
      </c>
      <c r="AD317" s="226">
        <f t="shared" si="122"/>
        <v>0</v>
      </c>
      <c r="AE317" s="413"/>
      <c r="AF317" s="225">
        <f t="shared" si="128"/>
        <v>0</v>
      </c>
      <c r="AG317" s="226">
        <f t="shared" si="123"/>
        <v>0</v>
      </c>
      <c r="AH317" s="413"/>
      <c r="AI317" s="225">
        <f t="shared" si="129"/>
        <v>0</v>
      </c>
      <c r="AJ317" s="226">
        <f t="shared" si="124"/>
        <v>0</v>
      </c>
      <c r="AK317" s="413"/>
      <c r="AL317" s="225">
        <f t="shared" si="130"/>
        <v>0</v>
      </c>
      <c r="AM317" s="226">
        <f t="shared" si="125"/>
        <v>0</v>
      </c>
      <c r="AN317" s="462" t="str">
        <f t="shared" si="117"/>
        <v/>
      </c>
      <c r="AO317" s="416" t="str">
        <f t="shared" si="118"/>
        <v/>
      </c>
      <c r="AP317" s="416" t="str">
        <f t="shared" si="119"/>
        <v/>
      </c>
      <c r="AQ317" s="416" t="str">
        <f t="shared" si="120"/>
        <v/>
      </c>
      <c r="AR317" s="416" t="str">
        <f t="shared" si="126"/>
        <v/>
      </c>
    </row>
    <row r="318" spans="1:44" ht="14.25">
      <c r="A318" s="830"/>
      <c r="B318" s="99" t="s">
        <v>258</v>
      </c>
      <c r="C318" s="466" t="s">
        <v>184</v>
      </c>
      <c r="D318" s="125" t="s">
        <v>24</v>
      </c>
      <c r="E318" s="126">
        <v>0.58333333333333337</v>
      </c>
      <c r="F318" s="126">
        <v>0.79166666666666663</v>
      </c>
      <c r="G318" s="217">
        <f t="shared" si="110"/>
        <v>0.20833333333333326</v>
      </c>
      <c r="H318" s="218">
        <f t="shared" si="111"/>
        <v>0</v>
      </c>
      <c r="I318" s="96">
        <f t="shared" si="112"/>
        <v>0</v>
      </c>
      <c r="J318" s="219">
        <f t="shared" si="113"/>
        <v>0</v>
      </c>
      <c r="K318" s="220">
        <f t="shared" si="114"/>
        <v>0</v>
      </c>
      <c r="L318" s="100">
        <f t="shared" si="115"/>
        <v>0</v>
      </c>
      <c r="M318" s="221" t="str">
        <f t="shared" si="121"/>
        <v/>
      </c>
      <c r="N318" s="222">
        <f t="shared" si="116"/>
        <v>0</v>
      </c>
      <c r="O318" s="223">
        <f>IF(N318=0,0,IF(SUM($N$5:N318)&gt;251,1,0))</f>
        <v>0</v>
      </c>
      <c r="P318" s="408">
        <v>27</v>
      </c>
      <c r="Q318" s="409">
        <v>0</v>
      </c>
      <c r="R318" s="224"/>
      <c r="S318" s="411" t="s">
        <v>672</v>
      </c>
      <c r="T318" s="225" t="s">
        <v>697</v>
      </c>
      <c r="U318" s="226" t="s">
        <v>698</v>
      </c>
      <c r="V318" s="413" t="s">
        <v>695</v>
      </c>
      <c r="W318" s="225" t="s">
        <v>697</v>
      </c>
      <c r="X318" s="226" t="s">
        <v>698</v>
      </c>
      <c r="Y318" s="413" t="s">
        <v>696</v>
      </c>
      <c r="Z318" s="225" t="s">
        <v>699</v>
      </c>
      <c r="AA318" s="226" t="s">
        <v>698</v>
      </c>
      <c r="AB318" s="413"/>
      <c r="AC318" s="225">
        <f t="shared" si="127"/>
        <v>0</v>
      </c>
      <c r="AD318" s="226">
        <f t="shared" si="122"/>
        <v>0</v>
      </c>
      <c r="AE318" s="413"/>
      <c r="AF318" s="225">
        <f t="shared" si="128"/>
        <v>0</v>
      </c>
      <c r="AG318" s="226">
        <f t="shared" si="123"/>
        <v>0</v>
      </c>
      <c r="AH318" s="413"/>
      <c r="AI318" s="225">
        <f t="shared" si="129"/>
        <v>0</v>
      </c>
      <c r="AJ318" s="226">
        <f t="shared" si="124"/>
        <v>0</v>
      </c>
      <c r="AK318" s="413"/>
      <c r="AL318" s="225">
        <f t="shared" si="130"/>
        <v>0</v>
      </c>
      <c r="AM318" s="226">
        <f t="shared" si="125"/>
        <v>0</v>
      </c>
      <c r="AN318" s="462" t="str">
        <f t="shared" si="117"/>
        <v/>
      </c>
      <c r="AO318" s="416" t="str">
        <f t="shared" si="118"/>
        <v/>
      </c>
      <c r="AP318" s="416" t="str">
        <f t="shared" si="119"/>
        <v/>
      </c>
      <c r="AQ318" s="416" t="str">
        <f t="shared" si="120"/>
        <v/>
      </c>
      <c r="AR318" s="416" t="str">
        <f t="shared" si="126"/>
        <v/>
      </c>
    </row>
    <row r="319" spans="1:44" ht="14.25">
      <c r="A319" s="830"/>
      <c r="B319" s="99" t="s">
        <v>259</v>
      </c>
      <c r="C319" s="466" t="s">
        <v>185</v>
      </c>
      <c r="D319" s="125" t="s">
        <v>24</v>
      </c>
      <c r="E319" s="126">
        <v>0.58333333333333337</v>
      </c>
      <c r="F319" s="126">
        <v>0.79166666666666663</v>
      </c>
      <c r="G319" s="217">
        <f t="shared" si="110"/>
        <v>0.20833333333333326</v>
      </c>
      <c r="H319" s="218">
        <f t="shared" si="111"/>
        <v>0</v>
      </c>
      <c r="I319" s="96">
        <f t="shared" si="112"/>
        <v>0</v>
      </c>
      <c r="J319" s="219">
        <f t="shared" si="113"/>
        <v>0</v>
      </c>
      <c r="K319" s="220">
        <f t="shared" si="114"/>
        <v>0</v>
      </c>
      <c r="L319" s="100">
        <f t="shared" si="115"/>
        <v>0</v>
      </c>
      <c r="M319" s="221" t="str">
        <f t="shared" si="121"/>
        <v/>
      </c>
      <c r="N319" s="222">
        <f t="shared" si="116"/>
        <v>0</v>
      </c>
      <c r="O319" s="223">
        <f>IF(N319=0,0,IF(SUM($N$5:N319)&gt;251,1,0))</f>
        <v>0</v>
      </c>
      <c r="P319" s="408">
        <v>21</v>
      </c>
      <c r="Q319" s="409">
        <v>1</v>
      </c>
      <c r="R319" s="224"/>
      <c r="S319" s="411" t="s">
        <v>672</v>
      </c>
      <c r="T319" s="225" t="s">
        <v>697</v>
      </c>
      <c r="U319" s="226" t="s">
        <v>698</v>
      </c>
      <c r="V319" s="413" t="s">
        <v>695</v>
      </c>
      <c r="W319" s="225" t="s">
        <v>697</v>
      </c>
      <c r="X319" s="226" t="s">
        <v>698</v>
      </c>
      <c r="Y319" s="413" t="s">
        <v>696</v>
      </c>
      <c r="Z319" s="225" t="s">
        <v>699</v>
      </c>
      <c r="AA319" s="226" t="s">
        <v>698</v>
      </c>
      <c r="AB319" s="413"/>
      <c r="AC319" s="225">
        <f t="shared" si="127"/>
        <v>0</v>
      </c>
      <c r="AD319" s="226">
        <f t="shared" si="122"/>
        <v>0</v>
      </c>
      <c r="AE319" s="413"/>
      <c r="AF319" s="225">
        <f t="shared" si="128"/>
        <v>0</v>
      </c>
      <c r="AG319" s="226">
        <f t="shared" si="123"/>
        <v>0</v>
      </c>
      <c r="AH319" s="413"/>
      <c r="AI319" s="225">
        <f t="shared" si="129"/>
        <v>0</v>
      </c>
      <c r="AJ319" s="226">
        <f t="shared" si="124"/>
        <v>0</v>
      </c>
      <c r="AK319" s="413"/>
      <c r="AL319" s="225">
        <f t="shared" si="130"/>
        <v>0</v>
      </c>
      <c r="AM319" s="226">
        <f t="shared" si="125"/>
        <v>0</v>
      </c>
      <c r="AN319" s="462" t="str">
        <f t="shared" si="117"/>
        <v/>
      </c>
      <c r="AO319" s="416" t="str">
        <f t="shared" si="118"/>
        <v/>
      </c>
      <c r="AP319" s="416" t="str">
        <f t="shared" si="119"/>
        <v/>
      </c>
      <c r="AQ319" s="416" t="str">
        <f t="shared" si="120"/>
        <v/>
      </c>
      <c r="AR319" s="416" t="str">
        <f t="shared" si="126"/>
        <v/>
      </c>
    </row>
    <row r="320" spans="1:44" ht="14.25">
      <c r="A320" s="830"/>
      <c r="B320" s="99" t="s">
        <v>260</v>
      </c>
      <c r="C320" s="466" t="s">
        <v>186</v>
      </c>
      <c r="D320" s="125" t="s">
        <v>249</v>
      </c>
      <c r="E320" s="126">
        <v>0.33333333333333331</v>
      </c>
      <c r="F320" s="126">
        <v>0.79166666666666663</v>
      </c>
      <c r="G320" s="217">
        <f t="shared" si="110"/>
        <v>0.45833333333333331</v>
      </c>
      <c r="H320" s="218">
        <f t="shared" si="111"/>
        <v>0</v>
      </c>
      <c r="I320" s="96">
        <f t="shared" si="112"/>
        <v>0</v>
      </c>
      <c r="J320" s="219">
        <f t="shared" si="113"/>
        <v>0</v>
      </c>
      <c r="K320" s="220">
        <f t="shared" si="114"/>
        <v>0.125</v>
      </c>
      <c r="L320" s="100">
        <f t="shared" si="115"/>
        <v>1</v>
      </c>
      <c r="M320" s="221" t="str">
        <f t="shared" si="121"/>
        <v/>
      </c>
      <c r="N320" s="222">
        <f t="shared" si="116"/>
        <v>1</v>
      </c>
      <c r="O320" s="223">
        <f>IF(N320=0,0,IF(SUM($N$5:N320)&gt;251,1,0))</f>
        <v>0</v>
      </c>
      <c r="P320" s="408">
        <v>3</v>
      </c>
      <c r="Q320" s="409">
        <v>0</v>
      </c>
      <c r="R320" s="224"/>
      <c r="S320" s="411" t="s">
        <v>672</v>
      </c>
      <c r="T320" s="225" t="s">
        <v>697</v>
      </c>
      <c r="U320" s="226" t="s">
        <v>698</v>
      </c>
      <c r="V320" s="413" t="s">
        <v>695</v>
      </c>
      <c r="W320" s="225" t="s">
        <v>697</v>
      </c>
      <c r="X320" s="226" t="s">
        <v>698</v>
      </c>
      <c r="Y320" s="413" t="s">
        <v>696</v>
      </c>
      <c r="Z320" s="225" t="s">
        <v>699</v>
      </c>
      <c r="AA320" s="226" t="s">
        <v>698</v>
      </c>
      <c r="AB320" s="413"/>
      <c r="AC320" s="225">
        <f t="shared" si="127"/>
        <v>0</v>
      </c>
      <c r="AD320" s="226">
        <f t="shared" si="122"/>
        <v>0</v>
      </c>
      <c r="AE320" s="413"/>
      <c r="AF320" s="225">
        <f t="shared" si="128"/>
        <v>0</v>
      </c>
      <c r="AG320" s="226">
        <f t="shared" si="123"/>
        <v>0</v>
      </c>
      <c r="AH320" s="413"/>
      <c r="AI320" s="225">
        <f t="shared" si="129"/>
        <v>0</v>
      </c>
      <c r="AJ320" s="226">
        <f t="shared" si="124"/>
        <v>0</v>
      </c>
      <c r="AK320" s="413"/>
      <c r="AL320" s="225">
        <f t="shared" si="130"/>
        <v>0</v>
      </c>
      <c r="AM320" s="226">
        <f t="shared" si="125"/>
        <v>0</v>
      </c>
      <c r="AN320" s="462" t="str">
        <f t="shared" si="117"/>
        <v/>
      </c>
      <c r="AO320" s="416" t="str">
        <f t="shared" si="118"/>
        <v/>
      </c>
      <c r="AP320" s="416" t="str">
        <f t="shared" si="119"/>
        <v/>
      </c>
      <c r="AQ320" s="416" t="str">
        <f t="shared" si="120"/>
        <v/>
      </c>
      <c r="AR320" s="416" t="str">
        <f t="shared" si="126"/>
        <v/>
      </c>
    </row>
    <row r="321" spans="1:44" ht="14.25">
      <c r="A321" s="830"/>
      <c r="B321" s="99" t="s">
        <v>261</v>
      </c>
      <c r="C321" s="466" t="s">
        <v>601</v>
      </c>
      <c r="D321" s="125" t="s">
        <v>251</v>
      </c>
      <c r="E321" s="126"/>
      <c r="F321" s="126"/>
      <c r="G321" s="217">
        <f t="shared" si="110"/>
        <v>0</v>
      </c>
      <c r="H321" s="218">
        <f t="shared" si="111"/>
        <v>0</v>
      </c>
      <c r="I321" s="96">
        <f t="shared" si="112"/>
        <v>0</v>
      </c>
      <c r="J321" s="219">
        <f t="shared" si="113"/>
        <v>0</v>
      </c>
      <c r="K321" s="220">
        <f t="shared" si="114"/>
        <v>0</v>
      </c>
      <c r="L321" s="100">
        <f t="shared" si="115"/>
        <v>0</v>
      </c>
      <c r="M321" s="221" t="str">
        <f t="shared" si="121"/>
        <v/>
      </c>
      <c r="N321" s="222">
        <f t="shared" si="116"/>
        <v>0</v>
      </c>
      <c r="O321" s="223">
        <f>IF(N321=0,0,IF(SUM($N$5:N321)&gt;251,1,0))</f>
        <v>0</v>
      </c>
      <c r="P321" s="408"/>
      <c r="Q321" s="409"/>
      <c r="R321" s="224"/>
      <c r="S321" s="411"/>
      <c r="T321" s="225">
        <f t="shared" si="131"/>
        <v>0</v>
      </c>
      <c r="U321" s="226">
        <f t="shared" si="132"/>
        <v>0</v>
      </c>
      <c r="V321" s="413"/>
      <c r="W321" s="225">
        <f t="shared" si="133"/>
        <v>0</v>
      </c>
      <c r="X321" s="226">
        <f t="shared" si="134"/>
        <v>0</v>
      </c>
      <c r="Y321" s="413"/>
      <c r="Z321" s="225">
        <f t="shared" si="135"/>
        <v>0</v>
      </c>
      <c r="AA321" s="226">
        <f t="shared" si="136"/>
        <v>0</v>
      </c>
      <c r="AB321" s="413"/>
      <c r="AC321" s="225">
        <f t="shared" si="127"/>
        <v>0</v>
      </c>
      <c r="AD321" s="226">
        <f t="shared" si="122"/>
        <v>0</v>
      </c>
      <c r="AE321" s="413"/>
      <c r="AF321" s="225">
        <f t="shared" si="128"/>
        <v>0</v>
      </c>
      <c r="AG321" s="226">
        <f t="shared" si="123"/>
        <v>0</v>
      </c>
      <c r="AH321" s="413"/>
      <c r="AI321" s="225">
        <f t="shared" si="129"/>
        <v>0</v>
      </c>
      <c r="AJ321" s="226">
        <f t="shared" si="124"/>
        <v>0</v>
      </c>
      <c r="AK321" s="413"/>
      <c r="AL321" s="225">
        <f t="shared" si="130"/>
        <v>0</v>
      </c>
      <c r="AM321" s="226">
        <f t="shared" si="125"/>
        <v>0</v>
      </c>
      <c r="AN321" s="462" t="str">
        <f t="shared" si="117"/>
        <v/>
      </c>
      <c r="AO321" s="416" t="str">
        <f t="shared" si="118"/>
        <v/>
      </c>
      <c r="AP321" s="416" t="str">
        <f t="shared" si="119"/>
        <v/>
      </c>
      <c r="AQ321" s="416" t="str">
        <f t="shared" si="120"/>
        <v/>
      </c>
      <c r="AR321" s="416" t="str">
        <f t="shared" si="126"/>
        <v/>
      </c>
    </row>
    <row r="322" spans="1:44" ht="14.25">
      <c r="A322" s="830"/>
      <c r="B322" s="99" t="s">
        <v>263</v>
      </c>
      <c r="C322" s="466" t="s">
        <v>602</v>
      </c>
      <c r="D322" s="125" t="s">
        <v>249</v>
      </c>
      <c r="E322" s="126">
        <v>0.375</v>
      </c>
      <c r="F322" s="126">
        <v>0.75</v>
      </c>
      <c r="G322" s="217">
        <f t="shared" si="110"/>
        <v>0.375</v>
      </c>
      <c r="H322" s="218">
        <f t="shared" si="111"/>
        <v>0</v>
      </c>
      <c r="I322" s="96">
        <f t="shared" si="112"/>
        <v>0</v>
      </c>
      <c r="J322" s="219">
        <f t="shared" si="113"/>
        <v>0</v>
      </c>
      <c r="K322" s="220">
        <f t="shared" si="114"/>
        <v>4.1666666666666685E-2</v>
      </c>
      <c r="L322" s="100">
        <f t="shared" si="115"/>
        <v>1</v>
      </c>
      <c r="M322" s="221" t="str">
        <f t="shared" si="121"/>
        <v/>
      </c>
      <c r="N322" s="222">
        <f t="shared" si="116"/>
        <v>1</v>
      </c>
      <c r="O322" s="223">
        <f>IF(N322=0,0,IF(SUM($N$5:N322)&gt;251,1,0))</f>
        <v>0</v>
      </c>
      <c r="P322" s="408">
        <v>2</v>
      </c>
      <c r="Q322" s="409">
        <v>1</v>
      </c>
      <c r="R322" s="224"/>
      <c r="S322" s="411" t="s">
        <v>672</v>
      </c>
      <c r="T322" s="225" t="s">
        <v>697</v>
      </c>
      <c r="U322" s="226" t="s">
        <v>698</v>
      </c>
      <c r="V322" s="413" t="s">
        <v>695</v>
      </c>
      <c r="W322" s="225" t="s">
        <v>697</v>
      </c>
      <c r="X322" s="226" t="s">
        <v>698</v>
      </c>
      <c r="Y322" s="413" t="s">
        <v>696</v>
      </c>
      <c r="Z322" s="225" t="s">
        <v>699</v>
      </c>
      <c r="AA322" s="226" t="s">
        <v>698</v>
      </c>
      <c r="AB322" s="413"/>
      <c r="AC322" s="225">
        <f t="shared" si="127"/>
        <v>0</v>
      </c>
      <c r="AD322" s="226">
        <f t="shared" si="122"/>
        <v>0</v>
      </c>
      <c r="AE322" s="413"/>
      <c r="AF322" s="225">
        <f t="shared" si="128"/>
        <v>0</v>
      </c>
      <c r="AG322" s="226">
        <f t="shared" si="123"/>
        <v>0</v>
      </c>
      <c r="AH322" s="413"/>
      <c r="AI322" s="225">
        <f t="shared" si="129"/>
        <v>0</v>
      </c>
      <c r="AJ322" s="226">
        <f t="shared" si="124"/>
        <v>0</v>
      </c>
      <c r="AK322" s="413"/>
      <c r="AL322" s="225">
        <f t="shared" si="130"/>
        <v>0</v>
      </c>
      <c r="AM322" s="226">
        <f t="shared" si="125"/>
        <v>0</v>
      </c>
      <c r="AN322" s="462" t="str">
        <f t="shared" si="117"/>
        <v/>
      </c>
      <c r="AO322" s="416" t="str">
        <f t="shared" si="118"/>
        <v/>
      </c>
      <c r="AP322" s="416" t="str">
        <f t="shared" si="119"/>
        <v/>
      </c>
      <c r="AQ322" s="416" t="str">
        <f t="shared" si="120"/>
        <v/>
      </c>
      <c r="AR322" s="416" t="str">
        <f t="shared" si="126"/>
        <v/>
      </c>
    </row>
    <row r="323" spans="1:44" ht="14.25">
      <c r="A323" s="830"/>
      <c r="B323" s="99" t="s">
        <v>264</v>
      </c>
      <c r="C323" s="466" t="s">
        <v>187</v>
      </c>
      <c r="D323" s="125" t="s">
        <v>24</v>
      </c>
      <c r="E323" s="126">
        <v>0.58333333333333337</v>
      </c>
      <c r="F323" s="126">
        <v>0.79166666666666663</v>
      </c>
      <c r="G323" s="217">
        <f t="shared" si="110"/>
        <v>0.20833333333333326</v>
      </c>
      <c r="H323" s="218">
        <f t="shared" si="111"/>
        <v>0</v>
      </c>
      <c r="I323" s="96">
        <f t="shared" si="112"/>
        <v>0</v>
      </c>
      <c r="J323" s="219">
        <f t="shared" si="113"/>
        <v>0</v>
      </c>
      <c r="K323" s="220">
        <f t="shared" si="114"/>
        <v>0</v>
      </c>
      <c r="L323" s="100">
        <f t="shared" si="115"/>
        <v>0</v>
      </c>
      <c r="M323" s="221" t="str">
        <f t="shared" si="121"/>
        <v/>
      </c>
      <c r="N323" s="222">
        <f t="shared" si="116"/>
        <v>0</v>
      </c>
      <c r="O323" s="223">
        <f>IF(N323=0,0,IF(SUM($N$5:N323)&gt;251,1,0))</f>
        <v>0</v>
      </c>
      <c r="P323" s="408">
        <v>20</v>
      </c>
      <c r="Q323" s="409">
        <v>1</v>
      </c>
      <c r="R323" s="224"/>
      <c r="S323" s="411" t="s">
        <v>672</v>
      </c>
      <c r="T323" s="225" t="s">
        <v>697</v>
      </c>
      <c r="U323" s="226" t="s">
        <v>698</v>
      </c>
      <c r="V323" s="413" t="s">
        <v>695</v>
      </c>
      <c r="W323" s="225" t="s">
        <v>697</v>
      </c>
      <c r="X323" s="226" t="s">
        <v>698</v>
      </c>
      <c r="Y323" s="413" t="s">
        <v>696</v>
      </c>
      <c r="Z323" s="225" t="s">
        <v>699</v>
      </c>
      <c r="AA323" s="226" t="s">
        <v>698</v>
      </c>
      <c r="AB323" s="413"/>
      <c r="AC323" s="225">
        <f t="shared" si="127"/>
        <v>0</v>
      </c>
      <c r="AD323" s="226">
        <f t="shared" si="122"/>
        <v>0</v>
      </c>
      <c r="AE323" s="413"/>
      <c r="AF323" s="225">
        <f t="shared" si="128"/>
        <v>0</v>
      </c>
      <c r="AG323" s="226">
        <f t="shared" si="123"/>
        <v>0</v>
      </c>
      <c r="AH323" s="413"/>
      <c r="AI323" s="225">
        <f t="shared" si="129"/>
        <v>0</v>
      </c>
      <c r="AJ323" s="226">
        <f t="shared" si="124"/>
        <v>0</v>
      </c>
      <c r="AK323" s="413"/>
      <c r="AL323" s="225">
        <f t="shared" si="130"/>
        <v>0</v>
      </c>
      <c r="AM323" s="226">
        <f t="shared" si="125"/>
        <v>0</v>
      </c>
      <c r="AN323" s="462" t="str">
        <f t="shared" si="117"/>
        <v/>
      </c>
      <c r="AO323" s="416" t="str">
        <f t="shared" si="118"/>
        <v/>
      </c>
      <c r="AP323" s="416" t="str">
        <f t="shared" si="119"/>
        <v/>
      </c>
      <c r="AQ323" s="416" t="str">
        <f t="shared" si="120"/>
        <v/>
      </c>
      <c r="AR323" s="416" t="str">
        <f t="shared" si="126"/>
        <v/>
      </c>
    </row>
    <row r="324" spans="1:44" ht="14.25">
      <c r="A324" s="830"/>
      <c r="B324" s="99" t="s">
        <v>265</v>
      </c>
      <c r="C324" s="466" t="s">
        <v>183</v>
      </c>
      <c r="D324" s="125" t="s">
        <v>24</v>
      </c>
      <c r="E324" s="126">
        <v>0.58333333333333337</v>
      </c>
      <c r="F324" s="126">
        <v>0.79166666666666663</v>
      </c>
      <c r="G324" s="217">
        <f t="shared" si="110"/>
        <v>0.20833333333333326</v>
      </c>
      <c r="H324" s="218">
        <f t="shared" si="111"/>
        <v>0</v>
      </c>
      <c r="I324" s="96">
        <f t="shared" si="112"/>
        <v>0</v>
      </c>
      <c r="J324" s="219">
        <f t="shared" si="113"/>
        <v>0</v>
      </c>
      <c r="K324" s="220">
        <f t="shared" si="114"/>
        <v>0</v>
      </c>
      <c r="L324" s="100">
        <f t="shared" si="115"/>
        <v>0</v>
      </c>
      <c r="M324" s="221" t="str">
        <f t="shared" si="121"/>
        <v/>
      </c>
      <c r="N324" s="222">
        <f t="shared" si="116"/>
        <v>0</v>
      </c>
      <c r="O324" s="223">
        <f>IF(N324=0,0,IF(SUM($N$5:N324)&gt;251,1,0))</f>
        <v>0</v>
      </c>
      <c r="P324" s="408">
        <v>26</v>
      </c>
      <c r="Q324" s="409">
        <v>1</v>
      </c>
      <c r="R324" s="224"/>
      <c r="S324" s="411" t="s">
        <v>672</v>
      </c>
      <c r="T324" s="225" t="s">
        <v>697</v>
      </c>
      <c r="U324" s="226" t="s">
        <v>698</v>
      </c>
      <c r="V324" s="413" t="s">
        <v>695</v>
      </c>
      <c r="W324" s="225" t="s">
        <v>697</v>
      </c>
      <c r="X324" s="226" t="s">
        <v>698</v>
      </c>
      <c r="Y324" s="413" t="s">
        <v>696</v>
      </c>
      <c r="Z324" s="225" t="s">
        <v>699</v>
      </c>
      <c r="AA324" s="226" t="s">
        <v>698</v>
      </c>
      <c r="AB324" s="413"/>
      <c r="AC324" s="225">
        <f t="shared" si="127"/>
        <v>0</v>
      </c>
      <c r="AD324" s="226">
        <f t="shared" si="122"/>
        <v>0</v>
      </c>
      <c r="AE324" s="413"/>
      <c r="AF324" s="225">
        <f t="shared" si="128"/>
        <v>0</v>
      </c>
      <c r="AG324" s="226">
        <f t="shared" si="123"/>
        <v>0</v>
      </c>
      <c r="AH324" s="413"/>
      <c r="AI324" s="225">
        <f t="shared" si="129"/>
        <v>0</v>
      </c>
      <c r="AJ324" s="226">
        <f t="shared" si="124"/>
        <v>0</v>
      </c>
      <c r="AK324" s="413"/>
      <c r="AL324" s="225">
        <f t="shared" si="130"/>
        <v>0</v>
      </c>
      <c r="AM324" s="226">
        <f t="shared" si="125"/>
        <v>0</v>
      </c>
      <c r="AN324" s="462" t="str">
        <f t="shared" si="117"/>
        <v/>
      </c>
      <c r="AO324" s="416" t="str">
        <f t="shared" si="118"/>
        <v/>
      </c>
      <c r="AP324" s="416" t="str">
        <f t="shared" si="119"/>
        <v/>
      </c>
      <c r="AQ324" s="416" t="str">
        <f t="shared" si="120"/>
        <v/>
      </c>
      <c r="AR324" s="416" t="str">
        <f t="shared" si="126"/>
        <v/>
      </c>
    </row>
    <row r="325" spans="1:44" ht="14.25">
      <c r="A325" s="830"/>
      <c r="B325" s="99" t="s">
        <v>266</v>
      </c>
      <c r="C325" s="466" t="s">
        <v>184</v>
      </c>
      <c r="D325" s="125" t="s">
        <v>24</v>
      </c>
      <c r="E325" s="126">
        <v>0.58333333333333337</v>
      </c>
      <c r="F325" s="126">
        <v>0.79166666666666663</v>
      </c>
      <c r="G325" s="217">
        <f t="shared" ref="G325:G370" si="137">F325-E325</f>
        <v>0.20833333333333326</v>
      </c>
      <c r="H325" s="218">
        <f t="shared" ref="H325:H370" si="138">IF(D325="平日",IF(E325+TIME(6,0,0)&lt;TIME(17,59,59),F325-TIME(18,0,0),0),0)</f>
        <v>0</v>
      </c>
      <c r="I325" s="96">
        <f t="shared" ref="I325:I370" si="139">IF(D325="平日",IF(E325+TIME(6,0,0)&gt;TIME(17,59,59),MAX(F325-(E325+TIME(6,0,0)),0),0),0)</f>
        <v>0</v>
      </c>
      <c r="J325" s="219">
        <f t="shared" ref="J325:J370" si="140">IF(AND(H325=0,I325=0),0,1)</f>
        <v>0</v>
      </c>
      <c r="K325" s="220">
        <f t="shared" ref="K325:K370" si="141">IF(D325="土・日・祝・長期休暇",MAX(G325-TIME(8,0,0),0),0)</f>
        <v>0</v>
      </c>
      <c r="L325" s="100">
        <f t="shared" ref="L325:L370" si="142">IF(K325&gt;=TIME(0,0,1),1,0)</f>
        <v>0</v>
      </c>
      <c r="M325" s="221" t="str">
        <f t="shared" si="121"/>
        <v/>
      </c>
      <c r="N325" s="222">
        <f t="shared" ref="N325:N370" si="143">IF(OR(D325="休所",D325="",D325="平日：開所とみなす閉所"),0,IF(OR(G325-TIME(7,59,59)&gt;0,D325="土日祝長期：開所とみなす閉所"),1,0))</f>
        <v>0</v>
      </c>
      <c r="O325" s="223">
        <f>IF(N325=0,0,IF(SUM($N$5:N325)&gt;251,1,0))</f>
        <v>0</v>
      </c>
      <c r="P325" s="408">
        <v>25</v>
      </c>
      <c r="Q325" s="409">
        <v>0</v>
      </c>
      <c r="R325" s="224"/>
      <c r="S325" s="411" t="s">
        <v>672</v>
      </c>
      <c r="T325" s="225" t="s">
        <v>697</v>
      </c>
      <c r="U325" s="226" t="s">
        <v>698</v>
      </c>
      <c r="V325" s="413" t="s">
        <v>695</v>
      </c>
      <c r="W325" s="225" t="s">
        <v>697</v>
      </c>
      <c r="X325" s="226" t="s">
        <v>698</v>
      </c>
      <c r="Y325" s="413" t="s">
        <v>696</v>
      </c>
      <c r="Z325" s="225" t="s">
        <v>699</v>
      </c>
      <c r="AA325" s="226" t="s">
        <v>698</v>
      </c>
      <c r="AB325" s="413"/>
      <c r="AC325" s="225">
        <f t="shared" si="127"/>
        <v>0</v>
      </c>
      <c r="AD325" s="226">
        <f t="shared" si="122"/>
        <v>0</v>
      </c>
      <c r="AE325" s="413"/>
      <c r="AF325" s="225">
        <f t="shared" si="128"/>
        <v>0</v>
      </c>
      <c r="AG325" s="226">
        <f t="shared" si="123"/>
        <v>0</v>
      </c>
      <c r="AH325" s="413"/>
      <c r="AI325" s="225">
        <f t="shared" si="129"/>
        <v>0</v>
      </c>
      <c r="AJ325" s="226">
        <f t="shared" si="124"/>
        <v>0</v>
      </c>
      <c r="AK325" s="413"/>
      <c r="AL325" s="225">
        <f t="shared" si="130"/>
        <v>0</v>
      </c>
      <c r="AM325" s="226">
        <f t="shared" si="125"/>
        <v>0</v>
      </c>
      <c r="AN325" s="462" t="str">
        <f t="shared" ref="AN325:AN370" si="144">IF(OR(D325=$AS$6,D325=$AS$7,D325=$AS$8,D325=""),"",IF(COUNTIF(S325:AL325,"支援員")&gt;0,"","支援員がいません！"))</f>
        <v/>
      </c>
      <c r="AO325" s="416" t="str">
        <f t="shared" ref="AO325:AO370" si="145">IF(OR(D325=$AS$6,D325=$AS$7,D325=$AS$8),"",IF(Q325&gt;0,IF(COUNTIF(S325:AM325,"対象")&gt;0,"","障害児加配対象職員がいません"),""))</f>
        <v/>
      </c>
      <c r="AP325" s="416" t="str">
        <f t="shared" ref="AP325:AP370" si="146">IF(OR(D325=$AS$6,D325=$AS$7,D325=$AS$8),"",IF(Q325&gt;0,IF(COUNTA(S325:AM325)&gt;16,"","障害児加配の場合は３名以上の配置"),""))</f>
        <v/>
      </c>
      <c r="AQ325" s="416" t="str">
        <f t="shared" ref="AQ325:AQ370" si="147">IF(OR(D325=$AS$6,D325=$AQS327,D325=$AS$8),"",IF(Q325&gt;2,IF(COUNTIF(S325:AM325,"対象")&gt;1,IF(AB325&lt;&gt;"","","障害児3人以上の場合は４名以上の配置")),""))</f>
        <v/>
      </c>
      <c r="AR325" s="416" t="str">
        <f t="shared" si="126"/>
        <v/>
      </c>
    </row>
    <row r="326" spans="1:44" ht="14.25">
      <c r="A326" s="830"/>
      <c r="B326" s="99" t="s">
        <v>267</v>
      </c>
      <c r="C326" s="466" t="s">
        <v>185</v>
      </c>
      <c r="D326" s="125" t="s">
        <v>24</v>
      </c>
      <c r="E326" s="126">
        <v>0.58333333333333337</v>
      </c>
      <c r="F326" s="126">
        <v>0.79166666666666663</v>
      </c>
      <c r="G326" s="217">
        <f t="shared" si="137"/>
        <v>0.20833333333333326</v>
      </c>
      <c r="H326" s="218">
        <f t="shared" si="138"/>
        <v>0</v>
      </c>
      <c r="I326" s="96">
        <f t="shared" si="139"/>
        <v>0</v>
      </c>
      <c r="J326" s="219">
        <f t="shared" si="140"/>
        <v>0</v>
      </c>
      <c r="K326" s="220">
        <f t="shared" si="141"/>
        <v>0</v>
      </c>
      <c r="L326" s="100">
        <f t="shared" si="142"/>
        <v>0</v>
      </c>
      <c r="M326" s="221" t="str">
        <f t="shared" ref="M326:M370" si="148">IF(D326="休所",IF(E326&lt;&gt;"","入力にエラーがあります",""),"")</f>
        <v/>
      </c>
      <c r="N326" s="222">
        <f t="shared" si="143"/>
        <v>0</v>
      </c>
      <c r="O326" s="223">
        <f>IF(N326=0,0,IF(SUM($N$5:N326)&gt;251,1,0))</f>
        <v>0</v>
      </c>
      <c r="P326" s="408">
        <v>27</v>
      </c>
      <c r="Q326" s="409">
        <v>1</v>
      </c>
      <c r="R326" s="224"/>
      <c r="S326" s="411" t="s">
        <v>672</v>
      </c>
      <c r="T326" s="225" t="s">
        <v>697</v>
      </c>
      <c r="U326" s="226" t="s">
        <v>698</v>
      </c>
      <c r="V326" s="413" t="s">
        <v>695</v>
      </c>
      <c r="W326" s="225" t="s">
        <v>697</v>
      </c>
      <c r="X326" s="226" t="s">
        <v>698</v>
      </c>
      <c r="Y326" s="413" t="s">
        <v>696</v>
      </c>
      <c r="Z326" s="225" t="s">
        <v>699</v>
      </c>
      <c r="AA326" s="226" t="s">
        <v>698</v>
      </c>
      <c r="AB326" s="413"/>
      <c r="AC326" s="225">
        <f t="shared" si="127"/>
        <v>0</v>
      </c>
      <c r="AD326" s="226">
        <f t="shared" ref="AD326:AD370" si="149">VLOOKUP(AB326,$AT$12:$AV$31,3,FALSE)</f>
        <v>0</v>
      </c>
      <c r="AE326" s="413"/>
      <c r="AF326" s="225">
        <f t="shared" si="128"/>
        <v>0</v>
      </c>
      <c r="AG326" s="226">
        <f t="shared" ref="AG326:AG370" si="150">VLOOKUP(AE326,$AT$12:$AV$31,3,FALSE)</f>
        <v>0</v>
      </c>
      <c r="AH326" s="413"/>
      <c r="AI326" s="225">
        <f t="shared" si="129"/>
        <v>0</v>
      </c>
      <c r="AJ326" s="226">
        <f t="shared" ref="AJ326:AJ370" si="151">VLOOKUP(AH326,$AT$12:$AV$31,3,FALSE)</f>
        <v>0</v>
      </c>
      <c r="AK326" s="413"/>
      <c r="AL326" s="225">
        <f t="shared" si="130"/>
        <v>0</v>
      </c>
      <c r="AM326" s="226">
        <f t="shared" ref="AM326:AM370" si="152">VLOOKUP(AK326,$AT$12:$AV$31,3,FALSE)</f>
        <v>0</v>
      </c>
      <c r="AN326" s="462" t="str">
        <f t="shared" si="144"/>
        <v/>
      </c>
      <c r="AO326" s="416" t="str">
        <f t="shared" si="145"/>
        <v/>
      </c>
      <c r="AP326" s="416" t="str">
        <f t="shared" si="146"/>
        <v/>
      </c>
      <c r="AQ326" s="416" t="str">
        <f t="shared" si="147"/>
        <v/>
      </c>
      <c r="AR326" s="416" t="str">
        <f t="shared" si="126"/>
        <v/>
      </c>
    </row>
    <row r="327" spans="1:44" ht="14.25">
      <c r="A327" s="830"/>
      <c r="B327" s="99" t="s">
        <v>268</v>
      </c>
      <c r="C327" s="466" t="s">
        <v>186</v>
      </c>
      <c r="D327" s="125" t="s">
        <v>249</v>
      </c>
      <c r="E327" s="126">
        <v>0.375</v>
      </c>
      <c r="F327" s="126">
        <v>0.75</v>
      </c>
      <c r="G327" s="217">
        <f t="shared" si="137"/>
        <v>0.375</v>
      </c>
      <c r="H327" s="218">
        <f t="shared" si="138"/>
        <v>0</v>
      </c>
      <c r="I327" s="96">
        <f t="shared" si="139"/>
        <v>0</v>
      </c>
      <c r="J327" s="219">
        <f t="shared" si="140"/>
        <v>0</v>
      </c>
      <c r="K327" s="220">
        <f t="shared" si="141"/>
        <v>4.1666666666666685E-2</v>
      </c>
      <c r="L327" s="100">
        <f t="shared" si="142"/>
        <v>1</v>
      </c>
      <c r="M327" s="221" t="str">
        <f t="shared" si="148"/>
        <v/>
      </c>
      <c r="N327" s="222">
        <f t="shared" si="143"/>
        <v>1</v>
      </c>
      <c r="O327" s="223">
        <f>IF(N327=0,0,IF(SUM($N$5:N327)&gt;251,1,0))</f>
        <v>0</v>
      </c>
      <c r="P327" s="408">
        <v>5</v>
      </c>
      <c r="Q327" s="409">
        <v>0</v>
      </c>
      <c r="R327" s="224"/>
      <c r="S327" s="411" t="s">
        <v>672</v>
      </c>
      <c r="T327" s="225" t="s">
        <v>697</v>
      </c>
      <c r="U327" s="226" t="s">
        <v>698</v>
      </c>
      <c r="V327" s="413" t="s">
        <v>695</v>
      </c>
      <c r="W327" s="225" t="s">
        <v>697</v>
      </c>
      <c r="X327" s="226" t="s">
        <v>698</v>
      </c>
      <c r="Y327" s="413" t="s">
        <v>696</v>
      </c>
      <c r="Z327" s="225" t="s">
        <v>699</v>
      </c>
      <c r="AA327" s="226" t="s">
        <v>698</v>
      </c>
      <c r="AB327" s="413"/>
      <c r="AC327" s="225">
        <f t="shared" si="127"/>
        <v>0</v>
      </c>
      <c r="AD327" s="226">
        <f t="shared" si="149"/>
        <v>0</v>
      </c>
      <c r="AE327" s="413"/>
      <c r="AF327" s="225">
        <f t="shared" si="128"/>
        <v>0</v>
      </c>
      <c r="AG327" s="226">
        <f t="shared" si="150"/>
        <v>0</v>
      </c>
      <c r="AH327" s="413"/>
      <c r="AI327" s="225">
        <f t="shared" si="129"/>
        <v>0</v>
      </c>
      <c r="AJ327" s="226">
        <f t="shared" si="151"/>
        <v>0</v>
      </c>
      <c r="AK327" s="413"/>
      <c r="AL327" s="225">
        <f t="shared" si="130"/>
        <v>0</v>
      </c>
      <c r="AM327" s="226">
        <f t="shared" si="152"/>
        <v>0</v>
      </c>
      <c r="AN327" s="462" t="str">
        <f t="shared" si="144"/>
        <v/>
      </c>
      <c r="AO327" s="416" t="str">
        <f t="shared" si="145"/>
        <v/>
      </c>
      <c r="AP327" s="416" t="str">
        <f t="shared" si="146"/>
        <v/>
      </c>
      <c r="AQ327" s="416" t="str">
        <f t="shared" si="147"/>
        <v/>
      </c>
      <c r="AR327" s="416" t="str">
        <f t="shared" ref="AR327:AR370" si="153">IF(AND(OR(D327="平日", D327="土・日・祝・長期休暇"), OR(P327=0, P327="")), "児童数が入力されていません！", "")</f>
        <v/>
      </c>
    </row>
    <row r="328" spans="1:44" ht="14.25">
      <c r="A328" s="830"/>
      <c r="B328" s="99" t="s">
        <v>269</v>
      </c>
      <c r="C328" s="466" t="s">
        <v>262</v>
      </c>
      <c r="D328" s="125" t="s">
        <v>251</v>
      </c>
      <c r="E328" s="126"/>
      <c r="F328" s="126"/>
      <c r="G328" s="217">
        <f t="shared" si="137"/>
        <v>0</v>
      </c>
      <c r="H328" s="218">
        <f t="shared" si="138"/>
        <v>0</v>
      </c>
      <c r="I328" s="96">
        <f t="shared" si="139"/>
        <v>0</v>
      </c>
      <c r="J328" s="219">
        <f t="shared" si="140"/>
        <v>0</v>
      </c>
      <c r="K328" s="220">
        <f t="shared" si="141"/>
        <v>0</v>
      </c>
      <c r="L328" s="100">
        <f t="shared" si="142"/>
        <v>0</v>
      </c>
      <c r="M328" s="221" t="str">
        <f t="shared" si="148"/>
        <v/>
      </c>
      <c r="N328" s="222">
        <f t="shared" si="143"/>
        <v>0</v>
      </c>
      <c r="O328" s="223">
        <f>IF(N328=0,0,IF(SUM($N$5:N328)&gt;251,1,0))</f>
        <v>0</v>
      </c>
      <c r="P328" s="408"/>
      <c r="Q328" s="409"/>
      <c r="R328" s="224"/>
      <c r="S328" s="411"/>
      <c r="T328" s="225">
        <f t="shared" ref="T328:T363" si="154">VLOOKUP(S328,$AT$12:$AU$31,2,FALSE)</f>
        <v>0</v>
      </c>
      <c r="U328" s="226">
        <f t="shared" ref="U328:U370" si="155">VLOOKUP(S328,$AT$12:$AV$31,3,FALSE)</f>
        <v>0</v>
      </c>
      <c r="V328" s="413"/>
      <c r="W328" s="225">
        <f t="shared" ref="W328:W363" si="156">VLOOKUP(V328,$AT$12:$AU$31,2,FALSE)</f>
        <v>0</v>
      </c>
      <c r="X328" s="226">
        <f t="shared" ref="X328:X370" si="157">VLOOKUP(V328,$AT$12:$AV$31,3,FALSE)</f>
        <v>0</v>
      </c>
      <c r="Y328" s="413"/>
      <c r="Z328" s="225">
        <f t="shared" ref="Z328:Z363" si="158">VLOOKUP(Y328,$AT$12:$AU$31,2,FALSE)</f>
        <v>0</v>
      </c>
      <c r="AA328" s="226">
        <f t="shared" ref="AA328:AA370" si="159">VLOOKUP(Y328,$AT$12:$AV$31,3,FALSE)</f>
        <v>0</v>
      </c>
      <c r="AB328" s="413"/>
      <c r="AC328" s="225">
        <f t="shared" ref="AC328:AC369" si="160">VLOOKUP(AB328,$AT$12:$AU$31,2,FALSE)</f>
        <v>0</v>
      </c>
      <c r="AD328" s="226">
        <f t="shared" si="149"/>
        <v>0</v>
      </c>
      <c r="AE328" s="413"/>
      <c r="AF328" s="225">
        <f t="shared" ref="AF328:AF369" si="161">VLOOKUP(AE328,$AT$12:$AU$31,2,FALSE)</f>
        <v>0</v>
      </c>
      <c r="AG328" s="226">
        <f t="shared" si="150"/>
        <v>0</v>
      </c>
      <c r="AH328" s="413"/>
      <c r="AI328" s="225">
        <f t="shared" ref="AI328:AI369" si="162">VLOOKUP(AH328,$AT$12:$AU$31,2,FALSE)</f>
        <v>0</v>
      </c>
      <c r="AJ328" s="226">
        <f t="shared" si="151"/>
        <v>0</v>
      </c>
      <c r="AK328" s="413"/>
      <c r="AL328" s="225">
        <f t="shared" ref="AL328:AL369" si="163">VLOOKUP(AK328,$AT$12:$AU$31,2,FALSE)</f>
        <v>0</v>
      </c>
      <c r="AM328" s="226">
        <f t="shared" si="152"/>
        <v>0</v>
      </c>
      <c r="AN328" s="462" t="str">
        <f t="shared" si="144"/>
        <v/>
      </c>
      <c r="AO328" s="416" t="str">
        <f t="shared" si="145"/>
        <v/>
      </c>
      <c r="AP328" s="416" t="str">
        <f t="shared" si="146"/>
        <v/>
      </c>
      <c r="AQ328" s="416" t="str">
        <f t="shared" si="147"/>
        <v/>
      </c>
      <c r="AR328" s="416" t="str">
        <f t="shared" si="153"/>
        <v/>
      </c>
    </row>
    <row r="329" spans="1:44" ht="14.25">
      <c r="A329" s="830"/>
      <c r="B329" s="99" t="s">
        <v>270</v>
      </c>
      <c r="C329" s="466" t="s">
        <v>182</v>
      </c>
      <c r="D329" s="125" t="s">
        <v>24</v>
      </c>
      <c r="E329" s="126">
        <v>0.58333333333333337</v>
      </c>
      <c r="F329" s="126">
        <v>0.79166666666666663</v>
      </c>
      <c r="G329" s="217">
        <f t="shared" si="137"/>
        <v>0.20833333333333326</v>
      </c>
      <c r="H329" s="218">
        <f t="shared" si="138"/>
        <v>0</v>
      </c>
      <c r="I329" s="96">
        <f t="shared" si="139"/>
        <v>0</v>
      </c>
      <c r="J329" s="219">
        <f t="shared" si="140"/>
        <v>0</v>
      </c>
      <c r="K329" s="220">
        <f t="shared" si="141"/>
        <v>0</v>
      </c>
      <c r="L329" s="100">
        <f t="shared" si="142"/>
        <v>0</v>
      </c>
      <c r="M329" s="221" t="str">
        <f t="shared" si="148"/>
        <v/>
      </c>
      <c r="N329" s="222">
        <f t="shared" si="143"/>
        <v>0</v>
      </c>
      <c r="O329" s="223">
        <f>IF(N329=0,0,IF(SUM($N$5:N329)&gt;251,1,0))</f>
        <v>0</v>
      </c>
      <c r="P329" s="408">
        <v>20</v>
      </c>
      <c r="Q329" s="409">
        <v>0</v>
      </c>
      <c r="R329" s="224"/>
      <c r="S329" s="411" t="s">
        <v>672</v>
      </c>
      <c r="T329" s="225" t="s">
        <v>697</v>
      </c>
      <c r="U329" s="226" t="s">
        <v>698</v>
      </c>
      <c r="V329" s="413" t="s">
        <v>695</v>
      </c>
      <c r="W329" s="225" t="s">
        <v>697</v>
      </c>
      <c r="X329" s="226" t="s">
        <v>698</v>
      </c>
      <c r="Y329" s="413" t="s">
        <v>696</v>
      </c>
      <c r="Z329" s="225" t="s">
        <v>699</v>
      </c>
      <c r="AA329" s="226" t="s">
        <v>698</v>
      </c>
      <c r="AB329" s="413"/>
      <c r="AC329" s="225">
        <f t="shared" si="160"/>
        <v>0</v>
      </c>
      <c r="AD329" s="226">
        <f t="shared" si="149"/>
        <v>0</v>
      </c>
      <c r="AE329" s="413"/>
      <c r="AF329" s="225">
        <f t="shared" si="161"/>
        <v>0</v>
      </c>
      <c r="AG329" s="226">
        <f t="shared" si="150"/>
        <v>0</v>
      </c>
      <c r="AH329" s="413"/>
      <c r="AI329" s="225">
        <f t="shared" si="162"/>
        <v>0</v>
      </c>
      <c r="AJ329" s="226">
        <f t="shared" si="151"/>
        <v>0</v>
      </c>
      <c r="AK329" s="413"/>
      <c r="AL329" s="225">
        <f t="shared" si="163"/>
        <v>0</v>
      </c>
      <c r="AM329" s="226">
        <f t="shared" si="152"/>
        <v>0</v>
      </c>
      <c r="AN329" s="462" t="str">
        <f t="shared" si="144"/>
        <v/>
      </c>
      <c r="AO329" s="416" t="str">
        <f t="shared" si="145"/>
        <v/>
      </c>
      <c r="AP329" s="416" t="str">
        <f t="shared" si="146"/>
        <v/>
      </c>
      <c r="AQ329" s="416" t="str">
        <f t="shared" si="147"/>
        <v/>
      </c>
      <c r="AR329" s="416" t="str">
        <f t="shared" si="153"/>
        <v/>
      </c>
    </row>
    <row r="330" spans="1:44" ht="14.25">
      <c r="A330" s="830"/>
      <c r="B330" s="99" t="s">
        <v>271</v>
      </c>
      <c r="C330" s="466" t="s">
        <v>187</v>
      </c>
      <c r="D330" s="125" t="s">
        <v>24</v>
      </c>
      <c r="E330" s="126">
        <v>0.58333333333333337</v>
      </c>
      <c r="F330" s="126">
        <v>0.79166666666666663</v>
      </c>
      <c r="G330" s="217">
        <f t="shared" si="137"/>
        <v>0.20833333333333326</v>
      </c>
      <c r="H330" s="218">
        <f t="shared" si="138"/>
        <v>0</v>
      </c>
      <c r="I330" s="96">
        <f t="shared" si="139"/>
        <v>0</v>
      </c>
      <c r="J330" s="219">
        <f t="shared" si="140"/>
        <v>0</v>
      </c>
      <c r="K330" s="220">
        <f t="shared" si="141"/>
        <v>0</v>
      </c>
      <c r="L330" s="100">
        <f t="shared" si="142"/>
        <v>0</v>
      </c>
      <c r="M330" s="221" t="str">
        <f t="shared" si="148"/>
        <v/>
      </c>
      <c r="N330" s="222">
        <f t="shared" si="143"/>
        <v>0</v>
      </c>
      <c r="O330" s="223">
        <f>IF(N330=0,0,IF(SUM($N$5:N330)&gt;251,1,0))</f>
        <v>0</v>
      </c>
      <c r="P330" s="408">
        <v>23</v>
      </c>
      <c r="Q330" s="409">
        <v>0</v>
      </c>
      <c r="R330" s="224"/>
      <c r="S330" s="411" t="s">
        <v>672</v>
      </c>
      <c r="T330" s="225" t="s">
        <v>697</v>
      </c>
      <c r="U330" s="226" t="s">
        <v>698</v>
      </c>
      <c r="V330" s="413" t="s">
        <v>695</v>
      </c>
      <c r="W330" s="225" t="s">
        <v>697</v>
      </c>
      <c r="X330" s="226" t="s">
        <v>698</v>
      </c>
      <c r="Y330" s="413" t="s">
        <v>696</v>
      </c>
      <c r="Z330" s="225" t="s">
        <v>699</v>
      </c>
      <c r="AA330" s="226" t="s">
        <v>698</v>
      </c>
      <c r="AB330" s="413"/>
      <c r="AC330" s="225">
        <f t="shared" si="160"/>
        <v>0</v>
      </c>
      <c r="AD330" s="226">
        <f t="shared" si="149"/>
        <v>0</v>
      </c>
      <c r="AE330" s="413"/>
      <c r="AF330" s="225">
        <f t="shared" si="161"/>
        <v>0</v>
      </c>
      <c r="AG330" s="226">
        <f t="shared" si="150"/>
        <v>0</v>
      </c>
      <c r="AH330" s="413"/>
      <c r="AI330" s="225">
        <f t="shared" si="162"/>
        <v>0</v>
      </c>
      <c r="AJ330" s="226">
        <f t="shared" si="151"/>
        <v>0</v>
      </c>
      <c r="AK330" s="413"/>
      <c r="AL330" s="225">
        <f t="shared" si="163"/>
        <v>0</v>
      </c>
      <c r="AM330" s="226">
        <f t="shared" si="152"/>
        <v>0</v>
      </c>
      <c r="AN330" s="462" t="str">
        <f t="shared" si="144"/>
        <v/>
      </c>
      <c r="AO330" s="416" t="str">
        <f t="shared" si="145"/>
        <v/>
      </c>
      <c r="AP330" s="416" t="str">
        <f t="shared" si="146"/>
        <v/>
      </c>
      <c r="AQ330" s="416" t="str">
        <f t="shared" si="147"/>
        <v/>
      </c>
      <c r="AR330" s="416" t="str">
        <f t="shared" si="153"/>
        <v/>
      </c>
    </row>
    <row r="331" spans="1:44" ht="14.25">
      <c r="A331" s="830"/>
      <c r="B331" s="99" t="s">
        <v>272</v>
      </c>
      <c r="C331" s="466" t="s">
        <v>183</v>
      </c>
      <c r="D331" s="125" t="s">
        <v>24</v>
      </c>
      <c r="E331" s="126">
        <v>0.58333333333333337</v>
      </c>
      <c r="F331" s="126">
        <v>0.79166666666666663</v>
      </c>
      <c r="G331" s="217">
        <f t="shared" si="137"/>
        <v>0.20833333333333326</v>
      </c>
      <c r="H331" s="218">
        <f t="shared" si="138"/>
        <v>0</v>
      </c>
      <c r="I331" s="96">
        <f t="shared" si="139"/>
        <v>0</v>
      </c>
      <c r="J331" s="219">
        <f t="shared" si="140"/>
        <v>0</v>
      </c>
      <c r="K331" s="220">
        <f t="shared" si="141"/>
        <v>0</v>
      </c>
      <c r="L331" s="100">
        <f t="shared" si="142"/>
        <v>0</v>
      </c>
      <c r="M331" s="221" t="str">
        <f t="shared" si="148"/>
        <v/>
      </c>
      <c r="N331" s="222">
        <f t="shared" si="143"/>
        <v>0</v>
      </c>
      <c r="O331" s="223">
        <f>IF(N331=0,0,IF(SUM($N$5:N331)&gt;251,1,0))</f>
        <v>0</v>
      </c>
      <c r="P331" s="408">
        <v>29</v>
      </c>
      <c r="Q331" s="409">
        <v>1</v>
      </c>
      <c r="R331" s="224"/>
      <c r="S331" s="411" t="s">
        <v>672</v>
      </c>
      <c r="T331" s="225" t="s">
        <v>697</v>
      </c>
      <c r="U331" s="226" t="s">
        <v>698</v>
      </c>
      <c r="V331" s="413" t="s">
        <v>695</v>
      </c>
      <c r="W331" s="225" t="s">
        <v>697</v>
      </c>
      <c r="X331" s="226" t="s">
        <v>698</v>
      </c>
      <c r="Y331" s="413" t="s">
        <v>696</v>
      </c>
      <c r="Z331" s="225" t="s">
        <v>699</v>
      </c>
      <c r="AA331" s="226" t="s">
        <v>698</v>
      </c>
      <c r="AB331" s="413"/>
      <c r="AC331" s="225">
        <f t="shared" si="160"/>
        <v>0</v>
      </c>
      <c r="AD331" s="226">
        <f t="shared" si="149"/>
        <v>0</v>
      </c>
      <c r="AE331" s="413"/>
      <c r="AF331" s="225">
        <f t="shared" si="161"/>
        <v>0</v>
      </c>
      <c r="AG331" s="226">
        <f t="shared" si="150"/>
        <v>0</v>
      </c>
      <c r="AH331" s="413"/>
      <c r="AI331" s="225">
        <f t="shared" si="162"/>
        <v>0</v>
      </c>
      <c r="AJ331" s="226">
        <f t="shared" si="151"/>
        <v>0</v>
      </c>
      <c r="AK331" s="413"/>
      <c r="AL331" s="225">
        <f t="shared" si="163"/>
        <v>0</v>
      </c>
      <c r="AM331" s="226">
        <f t="shared" si="152"/>
        <v>0</v>
      </c>
      <c r="AN331" s="462" t="str">
        <f t="shared" si="144"/>
        <v/>
      </c>
      <c r="AO331" s="416" t="str">
        <f t="shared" si="145"/>
        <v/>
      </c>
      <c r="AP331" s="416" t="str">
        <f t="shared" si="146"/>
        <v/>
      </c>
      <c r="AQ331" s="416" t="str">
        <f t="shared" si="147"/>
        <v/>
      </c>
      <c r="AR331" s="416" t="str">
        <f t="shared" si="153"/>
        <v/>
      </c>
    </row>
    <row r="332" spans="1:44" ht="14.25">
      <c r="A332" s="830"/>
      <c r="B332" s="99" t="s">
        <v>273</v>
      </c>
      <c r="C332" s="466" t="s">
        <v>184</v>
      </c>
      <c r="D332" s="125" t="s">
        <v>24</v>
      </c>
      <c r="E332" s="126">
        <v>0.58333333333333337</v>
      </c>
      <c r="F332" s="126">
        <v>0.79166666666666663</v>
      </c>
      <c r="G332" s="217">
        <f t="shared" si="137"/>
        <v>0.20833333333333326</v>
      </c>
      <c r="H332" s="218">
        <f t="shared" si="138"/>
        <v>0</v>
      </c>
      <c r="I332" s="96">
        <f t="shared" si="139"/>
        <v>0</v>
      </c>
      <c r="J332" s="219">
        <f t="shared" si="140"/>
        <v>0</v>
      </c>
      <c r="K332" s="220">
        <f t="shared" si="141"/>
        <v>0</v>
      </c>
      <c r="L332" s="100">
        <f t="shared" si="142"/>
        <v>0</v>
      </c>
      <c r="M332" s="221" t="str">
        <f t="shared" si="148"/>
        <v/>
      </c>
      <c r="N332" s="222">
        <f t="shared" si="143"/>
        <v>0</v>
      </c>
      <c r="O332" s="223">
        <f>IF(N332=0,0,IF(SUM($N$5:N332)&gt;251,1,0))</f>
        <v>0</v>
      </c>
      <c r="P332" s="408">
        <v>27</v>
      </c>
      <c r="Q332" s="409">
        <v>0</v>
      </c>
      <c r="R332" s="224"/>
      <c r="S332" s="411" t="s">
        <v>672</v>
      </c>
      <c r="T332" s="225" t="s">
        <v>697</v>
      </c>
      <c r="U332" s="226" t="s">
        <v>698</v>
      </c>
      <c r="V332" s="413" t="s">
        <v>695</v>
      </c>
      <c r="W332" s="225" t="s">
        <v>697</v>
      </c>
      <c r="X332" s="226" t="s">
        <v>698</v>
      </c>
      <c r="Y332" s="413" t="s">
        <v>696</v>
      </c>
      <c r="Z332" s="225" t="s">
        <v>699</v>
      </c>
      <c r="AA332" s="226" t="s">
        <v>698</v>
      </c>
      <c r="AB332" s="413"/>
      <c r="AC332" s="225">
        <f t="shared" si="160"/>
        <v>0</v>
      </c>
      <c r="AD332" s="226">
        <f t="shared" si="149"/>
        <v>0</v>
      </c>
      <c r="AE332" s="413"/>
      <c r="AF332" s="225">
        <f t="shared" si="161"/>
        <v>0</v>
      </c>
      <c r="AG332" s="226">
        <f t="shared" si="150"/>
        <v>0</v>
      </c>
      <c r="AH332" s="413"/>
      <c r="AI332" s="225">
        <f t="shared" si="162"/>
        <v>0</v>
      </c>
      <c r="AJ332" s="226">
        <f t="shared" si="151"/>
        <v>0</v>
      </c>
      <c r="AK332" s="413"/>
      <c r="AL332" s="225">
        <f t="shared" si="163"/>
        <v>0</v>
      </c>
      <c r="AM332" s="226">
        <f t="shared" si="152"/>
        <v>0</v>
      </c>
      <c r="AN332" s="462" t="str">
        <f t="shared" si="144"/>
        <v/>
      </c>
      <c r="AO332" s="416" t="str">
        <f t="shared" si="145"/>
        <v/>
      </c>
      <c r="AP332" s="416" t="str">
        <f t="shared" si="146"/>
        <v/>
      </c>
      <c r="AQ332" s="416" t="str">
        <f t="shared" si="147"/>
        <v/>
      </c>
      <c r="AR332" s="416" t="str">
        <f t="shared" si="153"/>
        <v/>
      </c>
    </row>
    <row r="333" spans="1:44" ht="14.25">
      <c r="A333" s="830"/>
      <c r="B333" s="99" t="s">
        <v>274</v>
      </c>
      <c r="C333" s="466" t="s">
        <v>599</v>
      </c>
      <c r="D333" s="125" t="s">
        <v>249</v>
      </c>
      <c r="E333" s="126">
        <v>0.375</v>
      </c>
      <c r="F333" s="126">
        <v>0.75</v>
      </c>
      <c r="G333" s="217">
        <f t="shared" si="137"/>
        <v>0.375</v>
      </c>
      <c r="H333" s="218">
        <f t="shared" si="138"/>
        <v>0</v>
      </c>
      <c r="I333" s="96">
        <f t="shared" si="139"/>
        <v>0</v>
      </c>
      <c r="J333" s="219">
        <f t="shared" si="140"/>
        <v>0</v>
      </c>
      <c r="K333" s="220">
        <f t="shared" si="141"/>
        <v>4.1666666666666685E-2</v>
      </c>
      <c r="L333" s="100">
        <f t="shared" si="142"/>
        <v>1</v>
      </c>
      <c r="M333" s="221" t="str">
        <f t="shared" si="148"/>
        <v/>
      </c>
      <c r="N333" s="222">
        <f t="shared" si="143"/>
        <v>1</v>
      </c>
      <c r="O333" s="223">
        <f>IF(N333=0,0,IF(SUM($N$5:N333)&gt;251,1,0))</f>
        <v>0</v>
      </c>
      <c r="P333" s="408">
        <v>6</v>
      </c>
      <c r="Q333" s="409">
        <v>1</v>
      </c>
      <c r="R333" s="224"/>
      <c r="S333" s="411" t="s">
        <v>672</v>
      </c>
      <c r="T333" s="225" t="s">
        <v>697</v>
      </c>
      <c r="U333" s="226" t="s">
        <v>698</v>
      </c>
      <c r="V333" s="413" t="s">
        <v>695</v>
      </c>
      <c r="W333" s="225" t="s">
        <v>697</v>
      </c>
      <c r="X333" s="226" t="s">
        <v>698</v>
      </c>
      <c r="Y333" s="413" t="s">
        <v>696</v>
      </c>
      <c r="Z333" s="225" t="s">
        <v>699</v>
      </c>
      <c r="AA333" s="226" t="s">
        <v>698</v>
      </c>
      <c r="AB333" s="413"/>
      <c r="AC333" s="225">
        <f t="shared" si="160"/>
        <v>0</v>
      </c>
      <c r="AD333" s="226">
        <f t="shared" si="149"/>
        <v>0</v>
      </c>
      <c r="AE333" s="413"/>
      <c r="AF333" s="225">
        <f t="shared" si="161"/>
        <v>0</v>
      </c>
      <c r="AG333" s="226">
        <f t="shared" si="150"/>
        <v>0</v>
      </c>
      <c r="AH333" s="413"/>
      <c r="AI333" s="225">
        <f t="shared" si="162"/>
        <v>0</v>
      </c>
      <c r="AJ333" s="226">
        <f t="shared" si="151"/>
        <v>0</v>
      </c>
      <c r="AK333" s="413"/>
      <c r="AL333" s="225">
        <f t="shared" si="163"/>
        <v>0</v>
      </c>
      <c r="AM333" s="226">
        <f t="shared" si="152"/>
        <v>0</v>
      </c>
      <c r="AN333" s="462" t="str">
        <f t="shared" si="144"/>
        <v/>
      </c>
      <c r="AO333" s="416" t="str">
        <f t="shared" si="145"/>
        <v/>
      </c>
      <c r="AP333" s="416" t="str">
        <f t="shared" si="146"/>
        <v/>
      </c>
      <c r="AQ333" s="416" t="str">
        <f t="shared" si="147"/>
        <v/>
      </c>
      <c r="AR333" s="416" t="str">
        <f t="shared" si="153"/>
        <v/>
      </c>
    </row>
    <row r="334" spans="1:44" ht="14.25">
      <c r="A334" s="830"/>
      <c r="B334" s="99" t="s">
        <v>275</v>
      </c>
      <c r="C334" s="466" t="s">
        <v>186</v>
      </c>
      <c r="D334" s="125" t="s">
        <v>249</v>
      </c>
      <c r="E334" s="126">
        <v>0.375</v>
      </c>
      <c r="F334" s="126">
        <v>0.75</v>
      </c>
      <c r="G334" s="217">
        <f t="shared" si="137"/>
        <v>0.375</v>
      </c>
      <c r="H334" s="218">
        <f t="shared" si="138"/>
        <v>0</v>
      </c>
      <c r="I334" s="96">
        <f t="shared" si="139"/>
        <v>0</v>
      </c>
      <c r="J334" s="219">
        <f t="shared" si="140"/>
        <v>0</v>
      </c>
      <c r="K334" s="220">
        <f t="shared" si="141"/>
        <v>4.1666666666666685E-2</v>
      </c>
      <c r="L334" s="100">
        <f t="shared" si="142"/>
        <v>1</v>
      </c>
      <c r="M334" s="221" t="str">
        <f t="shared" si="148"/>
        <v/>
      </c>
      <c r="N334" s="222">
        <f t="shared" si="143"/>
        <v>1</v>
      </c>
      <c r="O334" s="223">
        <f>IF(N334=0,0,IF(SUM($N$5:N334)&gt;251,1,0))</f>
        <v>0</v>
      </c>
      <c r="P334" s="408">
        <v>5</v>
      </c>
      <c r="Q334" s="409">
        <v>1</v>
      </c>
      <c r="R334" s="224"/>
      <c r="S334" s="411" t="s">
        <v>672</v>
      </c>
      <c r="T334" s="225" t="s">
        <v>697</v>
      </c>
      <c r="U334" s="226" t="s">
        <v>698</v>
      </c>
      <c r="V334" s="413" t="s">
        <v>695</v>
      </c>
      <c r="W334" s="225" t="s">
        <v>697</v>
      </c>
      <c r="X334" s="226" t="s">
        <v>698</v>
      </c>
      <c r="Y334" s="413" t="s">
        <v>696</v>
      </c>
      <c r="Z334" s="225" t="s">
        <v>699</v>
      </c>
      <c r="AA334" s="226" t="s">
        <v>698</v>
      </c>
      <c r="AB334" s="413"/>
      <c r="AC334" s="225">
        <f t="shared" si="160"/>
        <v>0</v>
      </c>
      <c r="AD334" s="226">
        <f t="shared" si="149"/>
        <v>0</v>
      </c>
      <c r="AE334" s="413"/>
      <c r="AF334" s="225">
        <f t="shared" si="161"/>
        <v>0</v>
      </c>
      <c r="AG334" s="226">
        <f t="shared" si="150"/>
        <v>0</v>
      </c>
      <c r="AH334" s="413"/>
      <c r="AI334" s="225">
        <f t="shared" si="162"/>
        <v>0</v>
      </c>
      <c r="AJ334" s="226">
        <f t="shared" si="151"/>
        <v>0</v>
      </c>
      <c r="AK334" s="413"/>
      <c r="AL334" s="225">
        <f t="shared" si="163"/>
        <v>0</v>
      </c>
      <c r="AM334" s="226">
        <f t="shared" si="152"/>
        <v>0</v>
      </c>
      <c r="AN334" s="462" t="str">
        <f t="shared" si="144"/>
        <v/>
      </c>
      <c r="AO334" s="416" t="str">
        <f t="shared" si="145"/>
        <v/>
      </c>
      <c r="AP334" s="416" t="str">
        <f t="shared" si="146"/>
        <v/>
      </c>
      <c r="AQ334" s="416" t="str">
        <f t="shared" si="147"/>
        <v/>
      </c>
      <c r="AR334" s="416" t="str">
        <f t="shared" si="153"/>
        <v/>
      </c>
    </row>
    <row r="335" spans="1:44" ht="14.25">
      <c r="A335" s="830"/>
      <c r="B335" s="99" t="s">
        <v>276</v>
      </c>
      <c r="C335" s="466" t="s">
        <v>262</v>
      </c>
      <c r="D335" s="125" t="s">
        <v>251</v>
      </c>
      <c r="E335" s="126"/>
      <c r="F335" s="126"/>
      <c r="G335" s="217">
        <f t="shared" si="137"/>
        <v>0</v>
      </c>
      <c r="H335" s="218">
        <f t="shared" si="138"/>
        <v>0</v>
      </c>
      <c r="I335" s="96">
        <f t="shared" si="139"/>
        <v>0</v>
      </c>
      <c r="J335" s="219">
        <f t="shared" si="140"/>
        <v>0</v>
      </c>
      <c r="K335" s="220">
        <f t="shared" si="141"/>
        <v>0</v>
      </c>
      <c r="L335" s="100">
        <f t="shared" si="142"/>
        <v>0</v>
      </c>
      <c r="M335" s="221" t="str">
        <f t="shared" si="148"/>
        <v/>
      </c>
      <c r="N335" s="222">
        <f t="shared" si="143"/>
        <v>0</v>
      </c>
      <c r="O335" s="223">
        <f>IF(N335=0,0,IF(SUM($N$5:N335)&gt;251,1,0))</f>
        <v>0</v>
      </c>
      <c r="P335" s="408"/>
      <c r="Q335" s="409"/>
      <c r="R335" s="224"/>
      <c r="S335" s="411"/>
      <c r="T335" s="225">
        <f t="shared" si="154"/>
        <v>0</v>
      </c>
      <c r="U335" s="226">
        <f t="shared" si="155"/>
        <v>0</v>
      </c>
      <c r="V335" s="413"/>
      <c r="W335" s="225">
        <f t="shared" si="156"/>
        <v>0</v>
      </c>
      <c r="X335" s="226">
        <f t="shared" si="157"/>
        <v>0</v>
      </c>
      <c r="Y335" s="413"/>
      <c r="Z335" s="225">
        <f t="shared" si="158"/>
        <v>0</v>
      </c>
      <c r="AA335" s="226">
        <f t="shared" si="159"/>
        <v>0</v>
      </c>
      <c r="AB335" s="413"/>
      <c r="AC335" s="225">
        <f t="shared" si="160"/>
        <v>0</v>
      </c>
      <c r="AD335" s="226">
        <f t="shared" si="149"/>
        <v>0</v>
      </c>
      <c r="AE335" s="413"/>
      <c r="AF335" s="225">
        <f t="shared" si="161"/>
        <v>0</v>
      </c>
      <c r="AG335" s="226">
        <f t="shared" si="150"/>
        <v>0</v>
      </c>
      <c r="AH335" s="413"/>
      <c r="AI335" s="225">
        <f t="shared" si="162"/>
        <v>0</v>
      </c>
      <c r="AJ335" s="226">
        <f t="shared" si="151"/>
        <v>0</v>
      </c>
      <c r="AK335" s="413"/>
      <c r="AL335" s="225">
        <f t="shared" si="163"/>
        <v>0</v>
      </c>
      <c r="AM335" s="226">
        <f t="shared" si="152"/>
        <v>0</v>
      </c>
      <c r="AN335" s="462" t="str">
        <f t="shared" si="144"/>
        <v/>
      </c>
      <c r="AO335" s="416" t="str">
        <f t="shared" si="145"/>
        <v/>
      </c>
      <c r="AP335" s="416" t="str">
        <f t="shared" si="146"/>
        <v/>
      </c>
      <c r="AQ335" s="416" t="str">
        <f>IF(OR(D335=$AS$6,D335=$AQS338,D335=$AS$8),"",IF(Q335&gt;2,IF(COUNTIF(S335:AM335,"対象")&gt;1,IF(AB335&lt;&gt;"","","障害児3人以上の場合は４名以上の配置")),""))</f>
        <v/>
      </c>
      <c r="AR335" s="416" t="str">
        <f t="shared" si="153"/>
        <v/>
      </c>
    </row>
    <row r="336" spans="1:44" ht="14.25">
      <c r="A336" s="830"/>
      <c r="B336" s="99" t="s">
        <v>277</v>
      </c>
      <c r="C336" s="466" t="s">
        <v>182</v>
      </c>
      <c r="D336" s="125" t="s">
        <v>24</v>
      </c>
      <c r="E336" s="126">
        <v>0.58333333333333337</v>
      </c>
      <c r="F336" s="126">
        <v>0.79166666666666663</v>
      </c>
      <c r="G336" s="217">
        <f t="shared" si="137"/>
        <v>0.20833333333333326</v>
      </c>
      <c r="H336" s="218">
        <f t="shared" si="138"/>
        <v>0</v>
      </c>
      <c r="I336" s="96">
        <f t="shared" si="139"/>
        <v>0</v>
      </c>
      <c r="J336" s="219">
        <f t="shared" si="140"/>
        <v>0</v>
      </c>
      <c r="K336" s="220">
        <f t="shared" si="141"/>
        <v>0</v>
      </c>
      <c r="L336" s="100">
        <f t="shared" si="142"/>
        <v>0</v>
      </c>
      <c r="M336" s="221" t="str">
        <f t="shared" si="148"/>
        <v/>
      </c>
      <c r="N336" s="222">
        <f t="shared" si="143"/>
        <v>0</v>
      </c>
      <c r="O336" s="223">
        <f>IF(N336=0,0,IF(SUM($N$5:N336)&gt;251,1,0))</f>
        <v>0</v>
      </c>
      <c r="P336" s="408">
        <v>26</v>
      </c>
      <c r="Q336" s="409">
        <v>0</v>
      </c>
      <c r="R336" s="224"/>
      <c r="S336" s="411" t="s">
        <v>672</v>
      </c>
      <c r="T336" s="225" t="s">
        <v>697</v>
      </c>
      <c r="U336" s="226" t="s">
        <v>698</v>
      </c>
      <c r="V336" s="413" t="s">
        <v>695</v>
      </c>
      <c r="W336" s="225" t="s">
        <v>697</v>
      </c>
      <c r="X336" s="226" t="s">
        <v>698</v>
      </c>
      <c r="Y336" s="413" t="s">
        <v>696</v>
      </c>
      <c r="Z336" s="225" t="s">
        <v>699</v>
      </c>
      <c r="AA336" s="226" t="s">
        <v>698</v>
      </c>
      <c r="AB336" s="413"/>
      <c r="AC336" s="225">
        <f t="shared" si="160"/>
        <v>0</v>
      </c>
      <c r="AD336" s="226">
        <f t="shared" si="149"/>
        <v>0</v>
      </c>
      <c r="AE336" s="413"/>
      <c r="AF336" s="225">
        <f t="shared" si="161"/>
        <v>0</v>
      </c>
      <c r="AG336" s="226">
        <f t="shared" si="150"/>
        <v>0</v>
      </c>
      <c r="AH336" s="413"/>
      <c r="AI336" s="225">
        <f t="shared" si="162"/>
        <v>0</v>
      </c>
      <c r="AJ336" s="226">
        <f t="shared" si="151"/>
        <v>0</v>
      </c>
      <c r="AK336" s="413"/>
      <c r="AL336" s="225">
        <f t="shared" si="163"/>
        <v>0</v>
      </c>
      <c r="AM336" s="226">
        <f t="shared" si="152"/>
        <v>0</v>
      </c>
      <c r="AN336" s="462" t="str">
        <f t="shared" si="144"/>
        <v/>
      </c>
      <c r="AO336" s="416" t="str">
        <f t="shared" si="145"/>
        <v/>
      </c>
      <c r="AP336" s="416" t="str">
        <f t="shared" si="146"/>
        <v/>
      </c>
      <c r="AQ336" s="416" t="str">
        <f>IF(OR(D336=$AS$6,D336=$AQS339,D336=$AS$8),"",IF(Q336&gt;2,IF(COUNTIF(S336:AM336,"対象")&gt;1,IF(AB336&lt;&gt;"","","障害児3人以上の場合は４名以上の配置")),""))</f>
        <v/>
      </c>
      <c r="AR336" s="416" t="str">
        <f t="shared" si="153"/>
        <v/>
      </c>
    </row>
    <row r="337" spans="1:44" ht="14.25">
      <c r="A337" s="830"/>
      <c r="B337" s="99" t="s">
        <v>278</v>
      </c>
      <c r="C337" s="466" t="s">
        <v>187</v>
      </c>
      <c r="D337" s="125" t="s">
        <v>24</v>
      </c>
      <c r="E337" s="126">
        <v>0.58333333333333337</v>
      </c>
      <c r="F337" s="126">
        <v>0.79166666666666663</v>
      </c>
      <c r="G337" s="217">
        <f t="shared" ref="G337" si="164">F337-E337</f>
        <v>0.20833333333333326</v>
      </c>
      <c r="H337" s="218">
        <f t="shared" ref="H337" si="165">IF(D337="平日",IF(E337+TIME(6,0,0)&lt;TIME(17,59,59),F337-TIME(18,0,0),0),0)</f>
        <v>0</v>
      </c>
      <c r="I337" s="96">
        <f t="shared" ref="I337" si="166">IF(D337="平日",IF(E337+TIME(6,0,0)&gt;TIME(17,59,59),MAX(F337-(E337+TIME(6,0,0)),0),0),0)</f>
        <v>0</v>
      </c>
      <c r="J337" s="219">
        <f t="shared" ref="J337" si="167">IF(AND(H337=0,I337=0),0,1)</f>
        <v>0</v>
      </c>
      <c r="K337" s="220">
        <f t="shared" ref="K337" si="168">IF(D337="土・日・祝・長期休暇",MAX(G337-TIME(8,0,0),0),0)</f>
        <v>0</v>
      </c>
      <c r="L337" s="100">
        <f t="shared" ref="L337" si="169">IF(K337&gt;=TIME(0,0,1),1,0)</f>
        <v>0</v>
      </c>
      <c r="M337" s="221" t="str">
        <f t="shared" ref="M337" si="170">IF(D337="休所",IF(E337&lt;&gt;"","入力にエラーがあります",""),"")</f>
        <v/>
      </c>
      <c r="N337" s="222">
        <f t="shared" ref="N337" si="171">IF(OR(D337="休所",D337="",D337="平日：開所とみなす閉所"),0,IF(OR(G337-TIME(7,59,59)&gt;0,D337="土日祝長期：開所とみなす閉所"),1,0))</f>
        <v>0</v>
      </c>
      <c r="O337" s="223">
        <f>IF(N337=0,0,IF(SUM($N$5:N337)&gt;251,1,0))</f>
        <v>0</v>
      </c>
      <c r="P337" s="408">
        <v>27</v>
      </c>
      <c r="Q337" s="409">
        <v>0</v>
      </c>
      <c r="R337" s="224"/>
      <c r="S337" s="411" t="s">
        <v>672</v>
      </c>
      <c r="T337" s="225" t="s">
        <v>697</v>
      </c>
      <c r="U337" s="226" t="s">
        <v>698</v>
      </c>
      <c r="V337" s="413" t="s">
        <v>695</v>
      </c>
      <c r="W337" s="225" t="s">
        <v>697</v>
      </c>
      <c r="X337" s="226" t="s">
        <v>698</v>
      </c>
      <c r="Y337" s="413" t="s">
        <v>696</v>
      </c>
      <c r="Z337" s="225" t="s">
        <v>699</v>
      </c>
      <c r="AA337" s="226" t="s">
        <v>698</v>
      </c>
      <c r="AB337" s="413"/>
      <c r="AC337" s="225">
        <f t="shared" si="160"/>
        <v>0</v>
      </c>
      <c r="AD337" s="226">
        <f t="shared" si="149"/>
        <v>0</v>
      </c>
      <c r="AE337" s="413"/>
      <c r="AF337" s="225">
        <f t="shared" si="161"/>
        <v>0</v>
      </c>
      <c r="AG337" s="226">
        <f t="shared" si="150"/>
        <v>0</v>
      </c>
      <c r="AH337" s="413"/>
      <c r="AI337" s="225">
        <f t="shared" si="162"/>
        <v>0</v>
      </c>
      <c r="AJ337" s="226">
        <f t="shared" si="151"/>
        <v>0</v>
      </c>
      <c r="AK337" s="413"/>
      <c r="AL337" s="225">
        <f t="shared" si="163"/>
        <v>0</v>
      </c>
      <c r="AM337" s="226">
        <f t="shared" si="152"/>
        <v>0</v>
      </c>
      <c r="AN337" s="462" t="str">
        <f t="shared" ref="AN337" si="172">IF(OR(D337=$AS$6,D337=$AS$7,D337=$AS$8,D337=""),"",IF(COUNTIF(S337:AL337,"支援員")&gt;0,"","支援員がいません！"))</f>
        <v/>
      </c>
      <c r="AO337" s="416" t="str">
        <f t="shared" ref="AO337" si="173">IF(OR(D337=$AS$6,D337=$AS$7,D337=$AS$8),"",IF(Q337&gt;0,IF(COUNTIF(S337:AM337,"対象")&gt;0,"","障害児加配対象職員がいません"),""))</f>
        <v/>
      </c>
      <c r="AP337" s="416" t="str">
        <f t="shared" ref="AP337" si="174">IF(OR(D337=$AS$6,D337=$AS$7,D337=$AS$8),"",IF(Q337&gt;0,IF(COUNTA(S337:AM337)&gt;16,"","障害児加配の場合は３名以上の配置"),""))</f>
        <v/>
      </c>
      <c r="AQ337" s="416" t="str">
        <f t="shared" ref="AQ337" si="175">IF(OR(D337=$AS$6,D337=$AQS339,D337=$AS$8),"",IF(Q337&gt;2,IF(COUNTIF(S337:AM337,"対象")&gt;1,IF(AB337&lt;&gt;"","","障害児3人以上の場合は４名以上の配置")),""))</f>
        <v/>
      </c>
      <c r="AR337" s="416" t="str">
        <f t="shared" ref="AR337" si="176">IF(AND(OR(D337="平日", D337="土・日・祝・長期休暇"), OR(P337=0, P337="")), "児童数が入力されていません！", "")</f>
        <v/>
      </c>
    </row>
    <row r="338" spans="1:44" ht="14.25">
      <c r="A338" s="830"/>
      <c r="B338" s="99" t="s">
        <v>279</v>
      </c>
      <c r="C338" s="466" t="s">
        <v>183</v>
      </c>
      <c r="D338" s="125" t="s">
        <v>24</v>
      </c>
      <c r="E338" s="126">
        <v>0.58333333333333337</v>
      </c>
      <c r="F338" s="126">
        <v>0.79166666666666663</v>
      </c>
      <c r="G338" s="217">
        <f t="shared" si="137"/>
        <v>0.20833333333333326</v>
      </c>
      <c r="H338" s="218">
        <f t="shared" si="138"/>
        <v>0</v>
      </c>
      <c r="I338" s="96">
        <f t="shared" si="139"/>
        <v>0</v>
      </c>
      <c r="J338" s="219">
        <f t="shared" si="140"/>
        <v>0</v>
      </c>
      <c r="K338" s="220">
        <f t="shared" si="141"/>
        <v>0</v>
      </c>
      <c r="L338" s="100">
        <f t="shared" si="142"/>
        <v>0</v>
      </c>
      <c r="M338" s="221" t="str">
        <f t="shared" si="148"/>
        <v/>
      </c>
      <c r="N338" s="222">
        <f t="shared" si="143"/>
        <v>0</v>
      </c>
      <c r="O338" s="223">
        <f>IF(N338=0,0,IF(SUM($N$5:N338)&gt;251,1,0))</f>
        <v>0</v>
      </c>
      <c r="P338" s="408">
        <v>25</v>
      </c>
      <c r="Q338" s="409">
        <v>0</v>
      </c>
      <c r="R338" s="224"/>
      <c r="S338" s="411" t="s">
        <v>672</v>
      </c>
      <c r="T338" s="225" t="s">
        <v>697</v>
      </c>
      <c r="U338" s="226" t="s">
        <v>698</v>
      </c>
      <c r="V338" s="413" t="s">
        <v>695</v>
      </c>
      <c r="W338" s="225" t="s">
        <v>697</v>
      </c>
      <c r="X338" s="226" t="s">
        <v>698</v>
      </c>
      <c r="Y338" s="413" t="s">
        <v>696</v>
      </c>
      <c r="Z338" s="225" t="s">
        <v>699</v>
      </c>
      <c r="AA338" s="226" t="s">
        <v>698</v>
      </c>
      <c r="AB338" s="413"/>
      <c r="AC338" s="225">
        <f t="shared" si="160"/>
        <v>0</v>
      </c>
      <c r="AD338" s="226">
        <f t="shared" si="149"/>
        <v>0</v>
      </c>
      <c r="AE338" s="413"/>
      <c r="AF338" s="225">
        <f t="shared" si="161"/>
        <v>0</v>
      </c>
      <c r="AG338" s="226">
        <f t="shared" si="150"/>
        <v>0</v>
      </c>
      <c r="AH338" s="413"/>
      <c r="AI338" s="225">
        <f t="shared" si="162"/>
        <v>0</v>
      </c>
      <c r="AJ338" s="226">
        <f t="shared" si="151"/>
        <v>0</v>
      </c>
      <c r="AK338" s="413"/>
      <c r="AL338" s="225">
        <f t="shared" si="163"/>
        <v>0</v>
      </c>
      <c r="AM338" s="226">
        <f t="shared" si="152"/>
        <v>0</v>
      </c>
      <c r="AN338" s="462" t="str">
        <f t="shared" si="144"/>
        <v/>
      </c>
      <c r="AO338" s="416" t="str">
        <f t="shared" si="145"/>
        <v/>
      </c>
      <c r="AP338" s="416" t="str">
        <f t="shared" si="146"/>
        <v/>
      </c>
      <c r="AQ338" s="416" t="str">
        <f t="shared" si="147"/>
        <v/>
      </c>
      <c r="AR338" s="416" t="str">
        <f t="shared" si="153"/>
        <v/>
      </c>
    </row>
    <row r="339" spans="1:44" ht="15" thickBot="1">
      <c r="A339" s="831"/>
      <c r="B339" s="101" t="s">
        <v>280</v>
      </c>
      <c r="C339" s="102" t="s">
        <v>184</v>
      </c>
      <c r="D339" s="125" t="s">
        <v>24</v>
      </c>
      <c r="E339" s="126">
        <v>0.58333333333333337</v>
      </c>
      <c r="F339" s="126">
        <v>0.79166666666666663</v>
      </c>
      <c r="G339" s="227">
        <f t="shared" si="137"/>
        <v>0.20833333333333326</v>
      </c>
      <c r="H339" s="228">
        <f t="shared" si="138"/>
        <v>0</v>
      </c>
      <c r="I339" s="103">
        <f t="shared" si="139"/>
        <v>0</v>
      </c>
      <c r="J339" s="229">
        <f t="shared" si="140"/>
        <v>0</v>
      </c>
      <c r="K339" s="230">
        <f t="shared" si="141"/>
        <v>0</v>
      </c>
      <c r="L339" s="104">
        <f t="shared" si="142"/>
        <v>0</v>
      </c>
      <c r="M339" s="231" t="str">
        <f t="shared" si="148"/>
        <v/>
      </c>
      <c r="N339" s="232">
        <f t="shared" si="143"/>
        <v>0</v>
      </c>
      <c r="O339" s="233">
        <f>IF(N339=0,0,IF(SUM($N$5:N339)&gt;251,1,0))</f>
        <v>0</v>
      </c>
      <c r="P339" s="408">
        <v>24</v>
      </c>
      <c r="Q339" s="409">
        <v>1</v>
      </c>
      <c r="R339" s="236">
        <f>SUM(P311:P339)</f>
        <v>469</v>
      </c>
      <c r="S339" s="411" t="s">
        <v>672</v>
      </c>
      <c r="T339" s="225" t="s">
        <v>697</v>
      </c>
      <c r="U339" s="235" t="s">
        <v>698</v>
      </c>
      <c r="V339" s="414" t="s">
        <v>695</v>
      </c>
      <c r="W339" s="225" t="s">
        <v>697</v>
      </c>
      <c r="X339" s="235" t="s">
        <v>698</v>
      </c>
      <c r="Y339" s="414" t="s">
        <v>696</v>
      </c>
      <c r="Z339" s="225" t="s">
        <v>699</v>
      </c>
      <c r="AA339" s="235" t="s">
        <v>698</v>
      </c>
      <c r="AB339" s="414"/>
      <c r="AC339" s="225">
        <f t="shared" si="160"/>
        <v>0</v>
      </c>
      <c r="AD339" s="235">
        <f t="shared" si="149"/>
        <v>0</v>
      </c>
      <c r="AE339" s="414"/>
      <c r="AF339" s="225">
        <f t="shared" si="161"/>
        <v>0</v>
      </c>
      <c r="AG339" s="235">
        <f t="shared" si="150"/>
        <v>0</v>
      </c>
      <c r="AH339" s="414"/>
      <c r="AI339" s="225">
        <f t="shared" si="162"/>
        <v>0</v>
      </c>
      <c r="AJ339" s="235">
        <f t="shared" si="151"/>
        <v>0</v>
      </c>
      <c r="AK339" s="414"/>
      <c r="AL339" s="225">
        <f t="shared" si="163"/>
        <v>0</v>
      </c>
      <c r="AM339" s="235">
        <f t="shared" si="152"/>
        <v>0</v>
      </c>
      <c r="AN339" s="463" t="str">
        <f t="shared" si="144"/>
        <v/>
      </c>
      <c r="AO339" s="417" t="str">
        <f t="shared" si="145"/>
        <v/>
      </c>
      <c r="AP339" s="417" t="str">
        <f t="shared" si="146"/>
        <v/>
      </c>
      <c r="AQ339" s="417" t="str">
        <f t="shared" si="147"/>
        <v/>
      </c>
      <c r="AR339" s="416" t="str">
        <f t="shared" si="153"/>
        <v/>
      </c>
    </row>
    <row r="340" spans="1:44" ht="14.25">
      <c r="A340" s="829" t="s">
        <v>291</v>
      </c>
      <c r="B340" s="467" t="s">
        <v>248</v>
      </c>
      <c r="C340" s="468" t="s">
        <v>185</v>
      </c>
      <c r="D340" s="125" t="s">
        <v>24</v>
      </c>
      <c r="E340" s="126">
        <v>0.58333333333333337</v>
      </c>
      <c r="F340" s="126">
        <v>0.79166666666666663</v>
      </c>
      <c r="G340" s="207">
        <f t="shared" si="137"/>
        <v>0.20833333333333326</v>
      </c>
      <c r="H340" s="208">
        <f t="shared" si="138"/>
        <v>0</v>
      </c>
      <c r="I340" s="95">
        <f t="shared" si="139"/>
        <v>0</v>
      </c>
      <c r="J340" s="209">
        <f t="shared" si="140"/>
        <v>0</v>
      </c>
      <c r="K340" s="210">
        <f t="shared" si="141"/>
        <v>0</v>
      </c>
      <c r="L340" s="97">
        <f t="shared" si="142"/>
        <v>0</v>
      </c>
      <c r="M340" s="211" t="str">
        <f t="shared" si="148"/>
        <v/>
      </c>
      <c r="N340" s="212">
        <f t="shared" si="143"/>
        <v>0</v>
      </c>
      <c r="O340" s="213">
        <f>IF(N340=0,0,IF(SUM($N$5:N340)&gt;251,1,0))</f>
        <v>0</v>
      </c>
      <c r="P340" s="408">
        <v>25</v>
      </c>
      <c r="Q340" s="409">
        <v>0</v>
      </c>
      <c r="R340" s="214"/>
      <c r="S340" s="411" t="s">
        <v>672</v>
      </c>
      <c r="T340" s="225" t="s">
        <v>697</v>
      </c>
      <c r="U340" s="216" t="s">
        <v>698</v>
      </c>
      <c r="V340" s="412" t="s">
        <v>695</v>
      </c>
      <c r="W340" s="225" t="s">
        <v>697</v>
      </c>
      <c r="X340" s="216" t="s">
        <v>698</v>
      </c>
      <c r="Y340" s="412" t="s">
        <v>696</v>
      </c>
      <c r="Z340" s="225" t="s">
        <v>699</v>
      </c>
      <c r="AA340" s="216" t="s">
        <v>698</v>
      </c>
      <c r="AB340" s="412"/>
      <c r="AC340" s="225">
        <f t="shared" si="160"/>
        <v>0</v>
      </c>
      <c r="AD340" s="216">
        <f t="shared" si="149"/>
        <v>0</v>
      </c>
      <c r="AE340" s="412"/>
      <c r="AF340" s="225">
        <f t="shared" si="161"/>
        <v>0</v>
      </c>
      <c r="AG340" s="216">
        <f t="shared" si="150"/>
        <v>0</v>
      </c>
      <c r="AH340" s="412"/>
      <c r="AI340" s="225">
        <f t="shared" si="162"/>
        <v>0</v>
      </c>
      <c r="AJ340" s="216">
        <f t="shared" si="151"/>
        <v>0</v>
      </c>
      <c r="AK340" s="412"/>
      <c r="AL340" s="225">
        <f t="shared" si="163"/>
        <v>0</v>
      </c>
      <c r="AM340" s="216">
        <f t="shared" si="152"/>
        <v>0</v>
      </c>
      <c r="AN340" s="461" t="str">
        <f t="shared" si="144"/>
        <v/>
      </c>
      <c r="AO340" s="418" t="str">
        <f t="shared" si="145"/>
        <v/>
      </c>
      <c r="AP340" s="418" t="str">
        <f t="shared" si="146"/>
        <v/>
      </c>
      <c r="AQ340" s="415" t="str">
        <f t="shared" si="147"/>
        <v/>
      </c>
      <c r="AR340" s="416" t="str">
        <f t="shared" si="153"/>
        <v/>
      </c>
    </row>
    <row r="341" spans="1:44" ht="14.25">
      <c r="A341" s="830"/>
      <c r="B341" s="99" t="s">
        <v>250</v>
      </c>
      <c r="C341" s="466" t="s">
        <v>186</v>
      </c>
      <c r="D341" s="125" t="s">
        <v>249</v>
      </c>
      <c r="E341" s="126">
        <v>0.375</v>
      </c>
      <c r="F341" s="126">
        <v>0.75</v>
      </c>
      <c r="G341" s="217">
        <f t="shared" si="137"/>
        <v>0.375</v>
      </c>
      <c r="H341" s="218">
        <f t="shared" si="138"/>
        <v>0</v>
      </c>
      <c r="I341" s="96">
        <f t="shared" si="139"/>
        <v>0</v>
      </c>
      <c r="J341" s="219">
        <f t="shared" si="140"/>
        <v>0</v>
      </c>
      <c r="K341" s="220">
        <f t="shared" si="141"/>
        <v>4.1666666666666685E-2</v>
      </c>
      <c r="L341" s="100">
        <f t="shared" si="142"/>
        <v>1</v>
      </c>
      <c r="M341" s="221" t="str">
        <f t="shared" si="148"/>
        <v/>
      </c>
      <c r="N341" s="222">
        <f t="shared" si="143"/>
        <v>1</v>
      </c>
      <c r="O341" s="223">
        <f>IF(N341=0,0,IF(SUM($N$5:N341)&gt;251,1,0))</f>
        <v>0</v>
      </c>
      <c r="P341" s="408">
        <v>2</v>
      </c>
      <c r="Q341" s="409">
        <v>0</v>
      </c>
      <c r="R341" s="224"/>
      <c r="S341" s="411" t="s">
        <v>672</v>
      </c>
      <c r="T341" s="225" t="s">
        <v>697</v>
      </c>
      <c r="U341" s="226" t="s">
        <v>698</v>
      </c>
      <c r="V341" s="413" t="s">
        <v>695</v>
      </c>
      <c r="W341" s="225" t="s">
        <v>697</v>
      </c>
      <c r="X341" s="226" t="s">
        <v>698</v>
      </c>
      <c r="Y341" s="413" t="s">
        <v>696</v>
      </c>
      <c r="Z341" s="225" t="s">
        <v>699</v>
      </c>
      <c r="AA341" s="226" t="s">
        <v>698</v>
      </c>
      <c r="AB341" s="413"/>
      <c r="AC341" s="225">
        <f t="shared" si="160"/>
        <v>0</v>
      </c>
      <c r="AD341" s="226">
        <f t="shared" si="149"/>
        <v>0</v>
      </c>
      <c r="AE341" s="413"/>
      <c r="AF341" s="225">
        <f t="shared" si="161"/>
        <v>0</v>
      </c>
      <c r="AG341" s="226">
        <f t="shared" si="150"/>
        <v>0</v>
      </c>
      <c r="AH341" s="413"/>
      <c r="AI341" s="225">
        <f t="shared" si="162"/>
        <v>0</v>
      </c>
      <c r="AJ341" s="226">
        <f t="shared" si="151"/>
        <v>0</v>
      </c>
      <c r="AK341" s="413"/>
      <c r="AL341" s="225">
        <f t="shared" si="163"/>
        <v>0</v>
      </c>
      <c r="AM341" s="226">
        <f t="shared" si="152"/>
        <v>0</v>
      </c>
      <c r="AN341" s="462" t="str">
        <f t="shared" si="144"/>
        <v/>
      </c>
      <c r="AO341" s="416" t="str">
        <f t="shared" si="145"/>
        <v/>
      </c>
      <c r="AP341" s="416" t="str">
        <f t="shared" si="146"/>
        <v/>
      </c>
      <c r="AQ341" s="416" t="str">
        <f t="shared" si="147"/>
        <v/>
      </c>
      <c r="AR341" s="416" t="str">
        <f t="shared" si="153"/>
        <v/>
      </c>
    </row>
    <row r="342" spans="1:44" ht="14.25">
      <c r="A342" s="830"/>
      <c r="B342" s="99" t="s">
        <v>252</v>
      </c>
      <c r="C342" s="466" t="s">
        <v>262</v>
      </c>
      <c r="D342" s="125" t="s">
        <v>251</v>
      </c>
      <c r="E342" s="126"/>
      <c r="F342" s="126"/>
      <c r="G342" s="217">
        <f t="shared" si="137"/>
        <v>0</v>
      </c>
      <c r="H342" s="218">
        <f t="shared" si="138"/>
        <v>0</v>
      </c>
      <c r="I342" s="96">
        <f t="shared" si="139"/>
        <v>0</v>
      </c>
      <c r="J342" s="219">
        <f t="shared" si="140"/>
        <v>0</v>
      </c>
      <c r="K342" s="220">
        <f t="shared" si="141"/>
        <v>0</v>
      </c>
      <c r="L342" s="100">
        <f t="shared" si="142"/>
        <v>0</v>
      </c>
      <c r="M342" s="221" t="str">
        <f t="shared" si="148"/>
        <v/>
      </c>
      <c r="N342" s="222">
        <f t="shared" si="143"/>
        <v>0</v>
      </c>
      <c r="O342" s="223">
        <f>IF(N342=0,0,IF(SUM($N$5:N342)&gt;251,1,0))</f>
        <v>0</v>
      </c>
      <c r="P342" s="408"/>
      <c r="Q342" s="409"/>
      <c r="R342" s="224"/>
      <c r="S342" s="411"/>
      <c r="T342" s="225">
        <f t="shared" si="154"/>
        <v>0</v>
      </c>
      <c r="U342" s="226">
        <f t="shared" si="155"/>
        <v>0</v>
      </c>
      <c r="V342" s="413"/>
      <c r="W342" s="225">
        <f t="shared" si="156"/>
        <v>0</v>
      </c>
      <c r="X342" s="226">
        <f t="shared" si="157"/>
        <v>0</v>
      </c>
      <c r="Y342" s="413"/>
      <c r="Z342" s="225">
        <f t="shared" si="158"/>
        <v>0</v>
      </c>
      <c r="AA342" s="226">
        <f t="shared" si="159"/>
        <v>0</v>
      </c>
      <c r="AB342" s="413"/>
      <c r="AC342" s="225">
        <f t="shared" si="160"/>
        <v>0</v>
      </c>
      <c r="AD342" s="226">
        <f t="shared" si="149"/>
        <v>0</v>
      </c>
      <c r="AE342" s="413"/>
      <c r="AF342" s="225">
        <f t="shared" si="161"/>
        <v>0</v>
      </c>
      <c r="AG342" s="226">
        <f t="shared" si="150"/>
        <v>0</v>
      </c>
      <c r="AH342" s="413"/>
      <c r="AI342" s="225">
        <f t="shared" si="162"/>
        <v>0</v>
      </c>
      <c r="AJ342" s="226">
        <f t="shared" si="151"/>
        <v>0</v>
      </c>
      <c r="AK342" s="413"/>
      <c r="AL342" s="225">
        <f t="shared" si="163"/>
        <v>0</v>
      </c>
      <c r="AM342" s="226">
        <f t="shared" si="152"/>
        <v>0</v>
      </c>
      <c r="AN342" s="462" t="str">
        <f t="shared" si="144"/>
        <v/>
      </c>
      <c r="AO342" s="416" t="str">
        <f t="shared" si="145"/>
        <v/>
      </c>
      <c r="AP342" s="416" t="str">
        <f t="shared" si="146"/>
        <v/>
      </c>
      <c r="AQ342" s="416" t="str">
        <f t="shared" si="147"/>
        <v/>
      </c>
      <c r="AR342" s="416" t="str">
        <f t="shared" si="153"/>
        <v/>
      </c>
    </row>
    <row r="343" spans="1:44" ht="14.25">
      <c r="A343" s="830"/>
      <c r="B343" s="99" t="s">
        <v>254</v>
      </c>
      <c r="C343" s="466" t="s">
        <v>182</v>
      </c>
      <c r="D343" s="125" t="s">
        <v>24</v>
      </c>
      <c r="E343" s="126">
        <v>0.58333333333333337</v>
      </c>
      <c r="F343" s="126">
        <v>0.79166666666666663</v>
      </c>
      <c r="G343" s="217">
        <f t="shared" si="137"/>
        <v>0.20833333333333326</v>
      </c>
      <c r="H343" s="218">
        <f t="shared" si="138"/>
        <v>0</v>
      </c>
      <c r="I343" s="96">
        <f t="shared" si="139"/>
        <v>0</v>
      </c>
      <c r="J343" s="219">
        <f t="shared" si="140"/>
        <v>0</v>
      </c>
      <c r="K343" s="220">
        <f t="shared" si="141"/>
        <v>0</v>
      </c>
      <c r="L343" s="100">
        <f t="shared" si="142"/>
        <v>0</v>
      </c>
      <c r="M343" s="221" t="str">
        <f t="shared" si="148"/>
        <v/>
      </c>
      <c r="N343" s="222">
        <f t="shared" si="143"/>
        <v>0</v>
      </c>
      <c r="O343" s="223">
        <f>IF(N343=0,0,IF(SUM($N$5:N343)&gt;251,1,0))</f>
        <v>0</v>
      </c>
      <c r="P343" s="408">
        <v>20</v>
      </c>
      <c r="Q343" s="409">
        <v>0</v>
      </c>
      <c r="R343" s="224"/>
      <c r="S343" s="411" t="s">
        <v>672</v>
      </c>
      <c r="T343" s="225" t="s">
        <v>697</v>
      </c>
      <c r="U343" s="226" t="s">
        <v>698</v>
      </c>
      <c r="V343" s="413" t="s">
        <v>695</v>
      </c>
      <c r="W343" s="225" t="s">
        <v>697</v>
      </c>
      <c r="X343" s="226" t="s">
        <v>698</v>
      </c>
      <c r="Y343" s="413" t="s">
        <v>696</v>
      </c>
      <c r="Z343" s="225" t="s">
        <v>699</v>
      </c>
      <c r="AA343" s="226" t="s">
        <v>698</v>
      </c>
      <c r="AB343" s="413"/>
      <c r="AC343" s="225">
        <f t="shared" si="160"/>
        <v>0</v>
      </c>
      <c r="AD343" s="226">
        <f t="shared" si="149"/>
        <v>0</v>
      </c>
      <c r="AE343" s="413"/>
      <c r="AF343" s="225">
        <f t="shared" si="161"/>
        <v>0</v>
      </c>
      <c r="AG343" s="226">
        <f t="shared" si="150"/>
        <v>0</v>
      </c>
      <c r="AH343" s="413"/>
      <c r="AI343" s="225">
        <f t="shared" si="162"/>
        <v>0</v>
      </c>
      <c r="AJ343" s="226">
        <f t="shared" si="151"/>
        <v>0</v>
      </c>
      <c r="AK343" s="413"/>
      <c r="AL343" s="225">
        <f t="shared" si="163"/>
        <v>0</v>
      </c>
      <c r="AM343" s="226">
        <f t="shared" si="152"/>
        <v>0</v>
      </c>
      <c r="AN343" s="462" t="str">
        <f t="shared" si="144"/>
        <v/>
      </c>
      <c r="AO343" s="416" t="str">
        <f t="shared" si="145"/>
        <v/>
      </c>
      <c r="AP343" s="416" t="str">
        <f t="shared" si="146"/>
        <v/>
      </c>
      <c r="AQ343" s="416" t="str">
        <f t="shared" si="147"/>
        <v/>
      </c>
      <c r="AR343" s="416" t="str">
        <f t="shared" si="153"/>
        <v/>
      </c>
    </row>
    <row r="344" spans="1:44" ht="14.25">
      <c r="A344" s="830"/>
      <c r="B344" s="99" t="s">
        <v>255</v>
      </c>
      <c r="C344" s="466" t="s">
        <v>187</v>
      </c>
      <c r="D344" s="125" t="s">
        <v>24</v>
      </c>
      <c r="E344" s="126">
        <v>0.58333333333333337</v>
      </c>
      <c r="F344" s="126">
        <v>0.79166666666666663</v>
      </c>
      <c r="G344" s="217">
        <f t="shared" si="137"/>
        <v>0.20833333333333326</v>
      </c>
      <c r="H344" s="218">
        <f t="shared" si="138"/>
        <v>0</v>
      </c>
      <c r="I344" s="96">
        <f t="shared" si="139"/>
        <v>0</v>
      </c>
      <c r="J344" s="219">
        <f t="shared" si="140"/>
        <v>0</v>
      </c>
      <c r="K344" s="220">
        <f t="shared" si="141"/>
        <v>0</v>
      </c>
      <c r="L344" s="100">
        <f t="shared" si="142"/>
        <v>0</v>
      </c>
      <c r="M344" s="221" t="str">
        <f t="shared" si="148"/>
        <v/>
      </c>
      <c r="N344" s="222">
        <f t="shared" si="143"/>
        <v>0</v>
      </c>
      <c r="O344" s="223">
        <f>IF(N344=0,0,IF(SUM($N$5:N344)&gt;251,1,0))</f>
        <v>0</v>
      </c>
      <c r="P344" s="408">
        <v>23</v>
      </c>
      <c r="Q344" s="409">
        <v>0</v>
      </c>
      <c r="R344" s="224"/>
      <c r="S344" s="411" t="s">
        <v>672</v>
      </c>
      <c r="T344" s="225" t="s">
        <v>697</v>
      </c>
      <c r="U344" s="226" t="s">
        <v>698</v>
      </c>
      <c r="V344" s="413" t="s">
        <v>695</v>
      </c>
      <c r="W344" s="225" t="s">
        <v>697</v>
      </c>
      <c r="X344" s="226" t="s">
        <v>698</v>
      </c>
      <c r="Y344" s="413" t="s">
        <v>696</v>
      </c>
      <c r="Z344" s="225" t="s">
        <v>699</v>
      </c>
      <c r="AA344" s="226" t="s">
        <v>698</v>
      </c>
      <c r="AB344" s="413"/>
      <c r="AC344" s="225">
        <f t="shared" si="160"/>
        <v>0</v>
      </c>
      <c r="AD344" s="226">
        <f t="shared" si="149"/>
        <v>0</v>
      </c>
      <c r="AE344" s="413"/>
      <c r="AF344" s="225">
        <f t="shared" si="161"/>
        <v>0</v>
      </c>
      <c r="AG344" s="226">
        <f t="shared" si="150"/>
        <v>0</v>
      </c>
      <c r="AH344" s="413"/>
      <c r="AI344" s="225">
        <f t="shared" si="162"/>
        <v>0</v>
      </c>
      <c r="AJ344" s="226">
        <f t="shared" si="151"/>
        <v>0</v>
      </c>
      <c r="AK344" s="413"/>
      <c r="AL344" s="225">
        <f t="shared" si="163"/>
        <v>0</v>
      </c>
      <c r="AM344" s="226">
        <f t="shared" si="152"/>
        <v>0</v>
      </c>
      <c r="AN344" s="462" t="str">
        <f t="shared" si="144"/>
        <v/>
      </c>
      <c r="AO344" s="416" t="str">
        <f t="shared" si="145"/>
        <v/>
      </c>
      <c r="AP344" s="416" t="str">
        <f t="shared" si="146"/>
        <v/>
      </c>
      <c r="AQ344" s="416" t="str">
        <f t="shared" si="147"/>
        <v/>
      </c>
      <c r="AR344" s="416" t="str">
        <f t="shared" si="153"/>
        <v/>
      </c>
    </row>
    <row r="345" spans="1:44" ht="14.25">
      <c r="A345" s="830"/>
      <c r="B345" s="99" t="s">
        <v>256</v>
      </c>
      <c r="C345" s="466" t="s">
        <v>183</v>
      </c>
      <c r="D345" s="125" t="s">
        <v>24</v>
      </c>
      <c r="E345" s="126">
        <v>0.58333333333333337</v>
      </c>
      <c r="F345" s="126">
        <v>0.79166666666666663</v>
      </c>
      <c r="G345" s="217">
        <f t="shared" si="137"/>
        <v>0.20833333333333326</v>
      </c>
      <c r="H345" s="218">
        <f t="shared" si="138"/>
        <v>0</v>
      </c>
      <c r="I345" s="96">
        <f t="shared" si="139"/>
        <v>0</v>
      </c>
      <c r="J345" s="219">
        <f t="shared" si="140"/>
        <v>0</v>
      </c>
      <c r="K345" s="220">
        <f t="shared" si="141"/>
        <v>0</v>
      </c>
      <c r="L345" s="100">
        <f t="shared" si="142"/>
        <v>0</v>
      </c>
      <c r="M345" s="221" t="str">
        <f t="shared" si="148"/>
        <v/>
      </c>
      <c r="N345" s="222">
        <f t="shared" si="143"/>
        <v>0</v>
      </c>
      <c r="O345" s="223">
        <f>IF(N345=0,0,IF(SUM($N$5:N345)&gt;251,1,0))</f>
        <v>0</v>
      </c>
      <c r="P345" s="408">
        <v>29</v>
      </c>
      <c r="Q345" s="409">
        <v>1</v>
      </c>
      <c r="R345" s="224"/>
      <c r="S345" s="411" t="s">
        <v>672</v>
      </c>
      <c r="T345" s="225" t="s">
        <v>697</v>
      </c>
      <c r="U345" s="226" t="s">
        <v>698</v>
      </c>
      <c r="V345" s="413" t="s">
        <v>695</v>
      </c>
      <c r="W345" s="225" t="s">
        <v>697</v>
      </c>
      <c r="X345" s="226" t="s">
        <v>698</v>
      </c>
      <c r="Y345" s="413" t="s">
        <v>696</v>
      </c>
      <c r="Z345" s="225" t="s">
        <v>699</v>
      </c>
      <c r="AA345" s="226" t="s">
        <v>698</v>
      </c>
      <c r="AB345" s="413"/>
      <c r="AC345" s="225">
        <f t="shared" si="160"/>
        <v>0</v>
      </c>
      <c r="AD345" s="226">
        <f t="shared" si="149"/>
        <v>0</v>
      </c>
      <c r="AE345" s="413"/>
      <c r="AF345" s="225">
        <f t="shared" si="161"/>
        <v>0</v>
      </c>
      <c r="AG345" s="226">
        <f t="shared" si="150"/>
        <v>0</v>
      </c>
      <c r="AH345" s="413"/>
      <c r="AI345" s="225">
        <f t="shared" si="162"/>
        <v>0</v>
      </c>
      <c r="AJ345" s="226">
        <f t="shared" si="151"/>
        <v>0</v>
      </c>
      <c r="AK345" s="413"/>
      <c r="AL345" s="225">
        <f t="shared" si="163"/>
        <v>0</v>
      </c>
      <c r="AM345" s="226">
        <f t="shared" si="152"/>
        <v>0</v>
      </c>
      <c r="AN345" s="462" t="str">
        <f t="shared" si="144"/>
        <v/>
      </c>
      <c r="AO345" s="416" t="str">
        <f t="shared" si="145"/>
        <v/>
      </c>
      <c r="AP345" s="416" t="str">
        <f t="shared" si="146"/>
        <v/>
      </c>
      <c r="AQ345" s="416" t="str">
        <f t="shared" si="147"/>
        <v/>
      </c>
      <c r="AR345" s="416" t="str">
        <f t="shared" si="153"/>
        <v/>
      </c>
    </row>
    <row r="346" spans="1:44" ht="14.25">
      <c r="A346" s="830"/>
      <c r="B346" s="99" t="s">
        <v>257</v>
      </c>
      <c r="C346" s="466" t="s">
        <v>184</v>
      </c>
      <c r="D346" s="125" t="s">
        <v>24</v>
      </c>
      <c r="E346" s="126">
        <v>0.58333333333333337</v>
      </c>
      <c r="F346" s="126">
        <v>0.79166666666666663</v>
      </c>
      <c r="G346" s="217">
        <f t="shared" si="137"/>
        <v>0.20833333333333326</v>
      </c>
      <c r="H346" s="218">
        <f t="shared" si="138"/>
        <v>0</v>
      </c>
      <c r="I346" s="96">
        <f t="shared" si="139"/>
        <v>0</v>
      </c>
      <c r="J346" s="219">
        <f t="shared" si="140"/>
        <v>0</v>
      </c>
      <c r="K346" s="220">
        <f t="shared" si="141"/>
        <v>0</v>
      </c>
      <c r="L346" s="100">
        <f t="shared" si="142"/>
        <v>0</v>
      </c>
      <c r="M346" s="221" t="str">
        <f t="shared" si="148"/>
        <v/>
      </c>
      <c r="N346" s="222">
        <f t="shared" si="143"/>
        <v>0</v>
      </c>
      <c r="O346" s="223">
        <f>IF(N346=0,0,IF(SUM($N$5:N346)&gt;251,1,0))</f>
        <v>0</v>
      </c>
      <c r="P346" s="408">
        <v>27</v>
      </c>
      <c r="Q346" s="409">
        <v>0</v>
      </c>
      <c r="R346" s="224"/>
      <c r="S346" s="411" t="s">
        <v>672</v>
      </c>
      <c r="T346" s="225" t="s">
        <v>697</v>
      </c>
      <c r="U346" s="226" t="s">
        <v>698</v>
      </c>
      <c r="V346" s="413" t="s">
        <v>695</v>
      </c>
      <c r="W346" s="225" t="s">
        <v>697</v>
      </c>
      <c r="X346" s="226" t="s">
        <v>698</v>
      </c>
      <c r="Y346" s="413" t="s">
        <v>696</v>
      </c>
      <c r="Z346" s="225" t="s">
        <v>699</v>
      </c>
      <c r="AA346" s="226" t="s">
        <v>698</v>
      </c>
      <c r="AB346" s="413"/>
      <c r="AC346" s="225">
        <f t="shared" si="160"/>
        <v>0</v>
      </c>
      <c r="AD346" s="226">
        <f t="shared" si="149"/>
        <v>0</v>
      </c>
      <c r="AE346" s="413"/>
      <c r="AF346" s="225">
        <f t="shared" si="161"/>
        <v>0</v>
      </c>
      <c r="AG346" s="226">
        <f t="shared" si="150"/>
        <v>0</v>
      </c>
      <c r="AH346" s="413"/>
      <c r="AI346" s="225">
        <f t="shared" si="162"/>
        <v>0</v>
      </c>
      <c r="AJ346" s="226">
        <f t="shared" si="151"/>
        <v>0</v>
      </c>
      <c r="AK346" s="413"/>
      <c r="AL346" s="225">
        <f t="shared" si="163"/>
        <v>0</v>
      </c>
      <c r="AM346" s="226">
        <f t="shared" si="152"/>
        <v>0</v>
      </c>
      <c r="AN346" s="462" t="str">
        <f t="shared" si="144"/>
        <v/>
      </c>
      <c r="AO346" s="416" t="str">
        <f t="shared" si="145"/>
        <v/>
      </c>
      <c r="AP346" s="416" t="str">
        <f t="shared" si="146"/>
        <v/>
      </c>
      <c r="AQ346" s="416" t="str">
        <f t="shared" si="147"/>
        <v/>
      </c>
      <c r="AR346" s="416" t="str">
        <f t="shared" si="153"/>
        <v/>
      </c>
    </row>
    <row r="347" spans="1:44" ht="14.25">
      <c r="A347" s="830"/>
      <c r="B347" s="99" t="s">
        <v>258</v>
      </c>
      <c r="C347" s="466" t="s">
        <v>185</v>
      </c>
      <c r="D347" s="125" t="s">
        <v>24</v>
      </c>
      <c r="E347" s="126">
        <v>0.58333333333333337</v>
      </c>
      <c r="F347" s="126">
        <v>0.79166666666666663</v>
      </c>
      <c r="G347" s="217">
        <f t="shared" si="137"/>
        <v>0.20833333333333326</v>
      </c>
      <c r="H347" s="218">
        <f t="shared" si="138"/>
        <v>0</v>
      </c>
      <c r="I347" s="96">
        <f t="shared" si="139"/>
        <v>0</v>
      </c>
      <c r="J347" s="219">
        <f t="shared" si="140"/>
        <v>0</v>
      </c>
      <c r="K347" s="220">
        <f t="shared" si="141"/>
        <v>0</v>
      </c>
      <c r="L347" s="100">
        <f t="shared" si="142"/>
        <v>0</v>
      </c>
      <c r="M347" s="221" t="str">
        <f t="shared" si="148"/>
        <v/>
      </c>
      <c r="N347" s="222">
        <f t="shared" si="143"/>
        <v>0</v>
      </c>
      <c r="O347" s="223">
        <f>IF(N347=0,0,IF(SUM($N$5:N347)&gt;251,1,0))</f>
        <v>0</v>
      </c>
      <c r="P347" s="408">
        <v>21</v>
      </c>
      <c r="Q347" s="409">
        <v>1</v>
      </c>
      <c r="R347" s="224"/>
      <c r="S347" s="411" t="s">
        <v>672</v>
      </c>
      <c r="T347" s="225" t="s">
        <v>697</v>
      </c>
      <c r="U347" s="226" t="s">
        <v>698</v>
      </c>
      <c r="V347" s="413" t="s">
        <v>695</v>
      </c>
      <c r="W347" s="225" t="s">
        <v>697</v>
      </c>
      <c r="X347" s="226" t="s">
        <v>698</v>
      </c>
      <c r="Y347" s="413" t="s">
        <v>696</v>
      </c>
      <c r="Z347" s="225" t="s">
        <v>699</v>
      </c>
      <c r="AA347" s="226" t="s">
        <v>698</v>
      </c>
      <c r="AB347" s="413"/>
      <c r="AC347" s="225">
        <f t="shared" si="160"/>
        <v>0</v>
      </c>
      <c r="AD347" s="226">
        <f t="shared" si="149"/>
        <v>0</v>
      </c>
      <c r="AE347" s="413"/>
      <c r="AF347" s="225">
        <f t="shared" si="161"/>
        <v>0</v>
      </c>
      <c r="AG347" s="226">
        <f t="shared" si="150"/>
        <v>0</v>
      </c>
      <c r="AH347" s="413"/>
      <c r="AI347" s="225">
        <f t="shared" si="162"/>
        <v>0</v>
      </c>
      <c r="AJ347" s="226">
        <f t="shared" si="151"/>
        <v>0</v>
      </c>
      <c r="AK347" s="413"/>
      <c r="AL347" s="225">
        <f t="shared" si="163"/>
        <v>0</v>
      </c>
      <c r="AM347" s="226">
        <f t="shared" si="152"/>
        <v>0</v>
      </c>
      <c r="AN347" s="462" t="str">
        <f t="shared" si="144"/>
        <v/>
      </c>
      <c r="AO347" s="416" t="str">
        <f t="shared" si="145"/>
        <v/>
      </c>
      <c r="AP347" s="416" t="str">
        <f t="shared" si="146"/>
        <v/>
      </c>
      <c r="AQ347" s="416" t="str">
        <f t="shared" si="147"/>
        <v/>
      </c>
      <c r="AR347" s="416" t="str">
        <f t="shared" si="153"/>
        <v/>
      </c>
    </row>
    <row r="348" spans="1:44" ht="14.25">
      <c r="A348" s="830"/>
      <c r="B348" s="99" t="s">
        <v>259</v>
      </c>
      <c r="C348" s="466" t="s">
        <v>186</v>
      </c>
      <c r="D348" s="125" t="s">
        <v>249</v>
      </c>
      <c r="E348" s="126">
        <v>0.375</v>
      </c>
      <c r="F348" s="126">
        <v>0.75</v>
      </c>
      <c r="G348" s="217">
        <f t="shared" si="137"/>
        <v>0.375</v>
      </c>
      <c r="H348" s="218">
        <f t="shared" si="138"/>
        <v>0</v>
      </c>
      <c r="I348" s="96">
        <f t="shared" si="139"/>
        <v>0</v>
      </c>
      <c r="J348" s="219">
        <f t="shared" si="140"/>
        <v>0</v>
      </c>
      <c r="K348" s="220">
        <f t="shared" si="141"/>
        <v>4.1666666666666685E-2</v>
      </c>
      <c r="L348" s="100">
        <f t="shared" si="142"/>
        <v>1</v>
      </c>
      <c r="M348" s="221" t="str">
        <f t="shared" si="148"/>
        <v/>
      </c>
      <c r="N348" s="222">
        <f t="shared" si="143"/>
        <v>1</v>
      </c>
      <c r="O348" s="223">
        <f>IF(N348=0,0,IF(SUM($N$5:N348)&gt;251,1,0))</f>
        <v>0</v>
      </c>
      <c r="P348" s="408">
        <v>5</v>
      </c>
      <c r="Q348" s="409">
        <v>1</v>
      </c>
      <c r="R348" s="224"/>
      <c r="S348" s="411" t="s">
        <v>672</v>
      </c>
      <c r="T348" s="225" t="s">
        <v>697</v>
      </c>
      <c r="U348" s="226" t="s">
        <v>698</v>
      </c>
      <c r="V348" s="413" t="s">
        <v>695</v>
      </c>
      <c r="W348" s="225" t="s">
        <v>697</v>
      </c>
      <c r="X348" s="226" t="s">
        <v>698</v>
      </c>
      <c r="Y348" s="413" t="s">
        <v>696</v>
      </c>
      <c r="Z348" s="225" t="s">
        <v>699</v>
      </c>
      <c r="AA348" s="226" t="s">
        <v>698</v>
      </c>
      <c r="AB348" s="413"/>
      <c r="AC348" s="225">
        <f t="shared" si="160"/>
        <v>0</v>
      </c>
      <c r="AD348" s="226">
        <f t="shared" si="149"/>
        <v>0</v>
      </c>
      <c r="AE348" s="413"/>
      <c r="AF348" s="225">
        <f t="shared" si="161"/>
        <v>0</v>
      </c>
      <c r="AG348" s="226">
        <f t="shared" si="150"/>
        <v>0</v>
      </c>
      <c r="AH348" s="413"/>
      <c r="AI348" s="225">
        <f t="shared" si="162"/>
        <v>0</v>
      </c>
      <c r="AJ348" s="226">
        <f t="shared" si="151"/>
        <v>0</v>
      </c>
      <c r="AK348" s="413"/>
      <c r="AL348" s="225">
        <f t="shared" si="163"/>
        <v>0</v>
      </c>
      <c r="AM348" s="226">
        <f t="shared" si="152"/>
        <v>0</v>
      </c>
      <c r="AN348" s="462" t="str">
        <f t="shared" si="144"/>
        <v/>
      </c>
      <c r="AO348" s="416" t="str">
        <f t="shared" si="145"/>
        <v/>
      </c>
      <c r="AP348" s="416" t="str">
        <f t="shared" si="146"/>
        <v/>
      </c>
      <c r="AQ348" s="416" t="str">
        <f t="shared" si="147"/>
        <v/>
      </c>
      <c r="AR348" s="416" t="str">
        <f t="shared" si="153"/>
        <v/>
      </c>
    </row>
    <row r="349" spans="1:44" ht="14.25">
      <c r="A349" s="830"/>
      <c r="B349" s="99" t="s">
        <v>260</v>
      </c>
      <c r="C349" s="466" t="s">
        <v>262</v>
      </c>
      <c r="D349" s="125" t="s">
        <v>251</v>
      </c>
      <c r="E349" s="126"/>
      <c r="F349" s="126"/>
      <c r="G349" s="217">
        <f t="shared" si="137"/>
        <v>0</v>
      </c>
      <c r="H349" s="218">
        <f t="shared" si="138"/>
        <v>0</v>
      </c>
      <c r="I349" s="96">
        <f t="shared" si="139"/>
        <v>0</v>
      </c>
      <c r="J349" s="219">
        <f t="shared" si="140"/>
        <v>0</v>
      </c>
      <c r="K349" s="220">
        <f t="shared" si="141"/>
        <v>0</v>
      </c>
      <c r="L349" s="100">
        <f t="shared" si="142"/>
        <v>0</v>
      </c>
      <c r="M349" s="221" t="str">
        <f t="shared" si="148"/>
        <v/>
      </c>
      <c r="N349" s="222">
        <f t="shared" si="143"/>
        <v>0</v>
      </c>
      <c r="O349" s="223">
        <f>IF(N349=0,0,IF(SUM($N$5:N349)&gt;251,1,0))</f>
        <v>0</v>
      </c>
      <c r="P349" s="408"/>
      <c r="Q349" s="409"/>
      <c r="R349" s="224"/>
      <c r="S349" s="411"/>
      <c r="T349" s="225">
        <f t="shared" si="154"/>
        <v>0</v>
      </c>
      <c r="U349" s="226">
        <f t="shared" si="155"/>
        <v>0</v>
      </c>
      <c r="V349" s="413"/>
      <c r="W349" s="225">
        <f t="shared" si="156"/>
        <v>0</v>
      </c>
      <c r="X349" s="226">
        <f t="shared" si="157"/>
        <v>0</v>
      </c>
      <c r="Y349" s="413"/>
      <c r="Z349" s="225">
        <f t="shared" si="158"/>
        <v>0</v>
      </c>
      <c r="AA349" s="226">
        <f t="shared" si="159"/>
        <v>0</v>
      </c>
      <c r="AB349" s="413"/>
      <c r="AC349" s="225">
        <f t="shared" si="160"/>
        <v>0</v>
      </c>
      <c r="AD349" s="226">
        <f t="shared" si="149"/>
        <v>0</v>
      </c>
      <c r="AE349" s="413"/>
      <c r="AF349" s="225">
        <f t="shared" si="161"/>
        <v>0</v>
      </c>
      <c r="AG349" s="226">
        <f t="shared" si="150"/>
        <v>0</v>
      </c>
      <c r="AH349" s="413"/>
      <c r="AI349" s="225">
        <f t="shared" si="162"/>
        <v>0</v>
      </c>
      <c r="AJ349" s="226">
        <f t="shared" si="151"/>
        <v>0</v>
      </c>
      <c r="AK349" s="413"/>
      <c r="AL349" s="225">
        <f t="shared" si="163"/>
        <v>0</v>
      </c>
      <c r="AM349" s="226">
        <f t="shared" si="152"/>
        <v>0</v>
      </c>
      <c r="AN349" s="462" t="str">
        <f t="shared" si="144"/>
        <v/>
      </c>
      <c r="AO349" s="416" t="str">
        <f t="shared" si="145"/>
        <v/>
      </c>
      <c r="AP349" s="416" t="str">
        <f t="shared" si="146"/>
        <v/>
      </c>
      <c r="AQ349" s="416" t="str">
        <f t="shared" si="147"/>
        <v/>
      </c>
      <c r="AR349" s="416" t="str">
        <f t="shared" si="153"/>
        <v/>
      </c>
    </row>
    <row r="350" spans="1:44" ht="14.25">
      <c r="A350" s="830"/>
      <c r="B350" s="99" t="s">
        <v>261</v>
      </c>
      <c r="C350" s="466" t="s">
        <v>182</v>
      </c>
      <c r="D350" s="125" t="s">
        <v>24</v>
      </c>
      <c r="E350" s="126">
        <v>0.58333333333333337</v>
      </c>
      <c r="F350" s="126">
        <v>0.79166666666666663</v>
      </c>
      <c r="G350" s="217">
        <f t="shared" si="137"/>
        <v>0.20833333333333326</v>
      </c>
      <c r="H350" s="218">
        <f t="shared" si="138"/>
        <v>0</v>
      </c>
      <c r="I350" s="96">
        <f t="shared" si="139"/>
        <v>0</v>
      </c>
      <c r="J350" s="219">
        <f t="shared" si="140"/>
        <v>0</v>
      </c>
      <c r="K350" s="220">
        <f t="shared" si="141"/>
        <v>0</v>
      </c>
      <c r="L350" s="100">
        <f t="shared" si="142"/>
        <v>0</v>
      </c>
      <c r="M350" s="221" t="str">
        <f t="shared" si="148"/>
        <v/>
      </c>
      <c r="N350" s="222">
        <f t="shared" si="143"/>
        <v>0</v>
      </c>
      <c r="O350" s="223">
        <f>IF(N350=0,0,IF(SUM($N$5:N350)&gt;251,1,0))</f>
        <v>0</v>
      </c>
      <c r="P350" s="408">
        <v>26</v>
      </c>
      <c r="Q350" s="409">
        <v>0</v>
      </c>
      <c r="R350" s="224"/>
      <c r="S350" s="411" t="s">
        <v>672</v>
      </c>
      <c r="T350" s="225" t="s">
        <v>697</v>
      </c>
      <c r="U350" s="226" t="s">
        <v>698</v>
      </c>
      <c r="V350" s="413" t="s">
        <v>695</v>
      </c>
      <c r="W350" s="225" t="s">
        <v>697</v>
      </c>
      <c r="X350" s="226" t="s">
        <v>698</v>
      </c>
      <c r="Y350" s="413" t="s">
        <v>696</v>
      </c>
      <c r="Z350" s="225" t="s">
        <v>699</v>
      </c>
      <c r="AA350" s="226" t="s">
        <v>698</v>
      </c>
      <c r="AB350" s="413"/>
      <c r="AC350" s="225">
        <f t="shared" si="160"/>
        <v>0</v>
      </c>
      <c r="AD350" s="226">
        <f t="shared" si="149"/>
        <v>0</v>
      </c>
      <c r="AE350" s="413"/>
      <c r="AF350" s="225">
        <f t="shared" si="161"/>
        <v>0</v>
      </c>
      <c r="AG350" s="226">
        <f t="shared" si="150"/>
        <v>0</v>
      </c>
      <c r="AH350" s="413"/>
      <c r="AI350" s="225">
        <f t="shared" si="162"/>
        <v>0</v>
      </c>
      <c r="AJ350" s="226">
        <f t="shared" si="151"/>
        <v>0</v>
      </c>
      <c r="AK350" s="413"/>
      <c r="AL350" s="225">
        <f t="shared" si="163"/>
        <v>0</v>
      </c>
      <c r="AM350" s="226">
        <f t="shared" si="152"/>
        <v>0</v>
      </c>
      <c r="AN350" s="462" t="str">
        <f t="shared" si="144"/>
        <v/>
      </c>
      <c r="AO350" s="416" t="str">
        <f t="shared" si="145"/>
        <v/>
      </c>
      <c r="AP350" s="416" t="str">
        <f t="shared" si="146"/>
        <v/>
      </c>
      <c r="AQ350" s="416" t="str">
        <f t="shared" si="147"/>
        <v/>
      </c>
      <c r="AR350" s="416" t="str">
        <f t="shared" si="153"/>
        <v/>
      </c>
    </row>
    <row r="351" spans="1:44" ht="14.25">
      <c r="A351" s="830"/>
      <c r="B351" s="99" t="s">
        <v>263</v>
      </c>
      <c r="C351" s="466" t="s">
        <v>187</v>
      </c>
      <c r="D351" s="125" t="s">
        <v>24</v>
      </c>
      <c r="E351" s="126">
        <v>0.58333333333333337</v>
      </c>
      <c r="F351" s="126">
        <v>0.79166666666666663</v>
      </c>
      <c r="G351" s="217">
        <f t="shared" si="137"/>
        <v>0.20833333333333326</v>
      </c>
      <c r="H351" s="218">
        <f t="shared" si="138"/>
        <v>0</v>
      </c>
      <c r="I351" s="96">
        <f t="shared" si="139"/>
        <v>0</v>
      </c>
      <c r="J351" s="219">
        <f t="shared" si="140"/>
        <v>0</v>
      </c>
      <c r="K351" s="220">
        <f t="shared" si="141"/>
        <v>0</v>
      </c>
      <c r="L351" s="100">
        <f t="shared" si="142"/>
        <v>0</v>
      </c>
      <c r="M351" s="221" t="str">
        <f t="shared" si="148"/>
        <v/>
      </c>
      <c r="N351" s="222">
        <f t="shared" si="143"/>
        <v>0</v>
      </c>
      <c r="O351" s="223">
        <f>IF(N351=0,0,IF(SUM($N$5:N351)&gt;251,1,0))</f>
        <v>0</v>
      </c>
      <c r="P351" s="408">
        <v>27</v>
      </c>
      <c r="Q351" s="409">
        <v>0</v>
      </c>
      <c r="R351" s="224"/>
      <c r="S351" s="411" t="s">
        <v>672</v>
      </c>
      <c r="T351" s="225" t="s">
        <v>697</v>
      </c>
      <c r="U351" s="226" t="s">
        <v>698</v>
      </c>
      <c r="V351" s="413" t="s">
        <v>695</v>
      </c>
      <c r="W351" s="225" t="s">
        <v>697</v>
      </c>
      <c r="X351" s="226" t="s">
        <v>698</v>
      </c>
      <c r="Y351" s="413" t="s">
        <v>696</v>
      </c>
      <c r="Z351" s="225" t="s">
        <v>699</v>
      </c>
      <c r="AA351" s="226" t="s">
        <v>698</v>
      </c>
      <c r="AB351" s="413"/>
      <c r="AC351" s="225">
        <f t="shared" si="160"/>
        <v>0</v>
      </c>
      <c r="AD351" s="226">
        <f t="shared" si="149"/>
        <v>0</v>
      </c>
      <c r="AE351" s="413"/>
      <c r="AF351" s="225">
        <f t="shared" si="161"/>
        <v>0</v>
      </c>
      <c r="AG351" s="226">
        <f t="shared" si="150"/>
        <v>0</v>
      </c>
      <c r="AH351" s="413"/>
      <c r="AI351" s="225">
        <f t="shared" si="162"/>
        <v>0</v>
      </c>
      <c r="AJ351" s="226">
        <f t="shared" si="151"/>
        <v>0</v>
      </c>
      <c r="AK351" s="413"/>
      <c r="AL351" s="225">
        <f t="shared" si="163"/>
        <v>0</v>
      </c>
      <c r="AM351" s="226">
        <f t="shared" si="152"/>
        <v>0</v>
      </c>
      <c r="AN351" s="462" t="str">
        <f t="shared" si="144"/>
        <v/>
      </c>
      <c r="AO351" s="416" t="str">
        <f t="shared" si="145"/>
        <v/>
      </c>
      <c r="AP351" s="416" t="str">
        <f t="shared" si="146"/>
        <v/>
      </c>
      <c r="AQ351" s="416" t="str">
        <f t="shared" si="147"/>
        <v/>
      </c>
      <c r="AR351" s="416" t="str">
        <f t="shared" si="153"/>
        <v/>
      </c>
    </row>
    <row r="352" spans="1:44" ht="14.25">
      <c r="A352" s="830"/>
      <c r="B352" s="99" t="s">
        <v>264</v>
      </c>
      <c r="C352" s="466" t="s">
        <v>183</v>
      </c>
      <c r="D352" s="125" t="s">
        <v>24</v>
      </c>
      <c r="E352" s="126">
        <v>0.58333333333333337</v>
      </c>
      <c r="F352" s="126">
        <v>0.79166666666666663</v>
      </c>
      <c r="G352" s="217">
        <f t="shared" si="137"/>
        <v>0.20833333333333326</v>
      </c>
      <c r="H352" s="218">
        <f t="shared" si="138"/>
        <v>0</v>
      </c>
      <c r="I352" s="96">
        <f t="shared" si="139"/>
        <v>0</v>
      </c>
      <c r="J352" s="219">
        <f t="shared" si="140"/>
        <v>0</v>
      </c>
      <c r="K352" s="220">
        <f t="shared" si="141"/>
        <v>0</v>
      </c>
      <c r="L352" s="100">
        <f t="shared" si="142"/>
        <v>0</v>
      </c>
      <c r="M352" s="221" t="str">
        <f t="shared" si="148"/>
        <v/>
      </c>
      <c r="N352" s="222">
        <f t="shared" si="143"/>
        <v>0</v>
      </c>
      <c r="O352" s="223">
        <f>IF(N352=0,0,IF(SUM($N$5:N352)&gt;251,1,0))</f>
        <v>0</v>
      </c>
      <c r="P352" s="408">
        <v>25</v>
      </c>
      <c r="Q352" s="409">
        <v>0</v>
      </c>
      <c r="R352" s="224"/>
      <c r="S352" s="411" t="s">
        <v>672</v>
      </c>
      <c r="T352" s="225" t="s">
        <v>697</v>
      </c>
      <c r="U352" s="226" t="s">
        <v>698</v>
      </c>
      <c r="V352" s="413" t="s">
        <v>695</v>
      </c>
      <c r="W352" s="225" t="s">
        <v>697</v>
      </c>
      <c r="X352" s="226" t="s">
        <v>698</v>
      </c>
      <c r="Y352" s="413" t="s">
        <v>696</v>
      </c>
      <c r="Z352" s="225" t="s">
        <v>699</v>
      </c>
      <c r="AA352" s="226" t="s">
        <v>698</v>
      </c>
      <c r="AB352" s="413"/>
      <c r="AC352" s="225">
        <f t="shared" si="160"/>
        <v>0</v>
      </c>
      <c r="AD352" s="226">
        <f t="shared" si="149"/>
        <v>0</v>
      </c>
      <c r="AE352" s="413"/>
      <c r="AF352" s="225">
        <f t="shared" si="161"/>
        <v>0</v>
      </c>
      <c r="AG352" s="226">
        <f t="shared" si="150"/>
        <v>0</v>
      </c>
      <c r="AH352" s="413"/>
      <c r="AI352" s="225">
        <f t="shared" si="162"/>
        <v>0</v>
      </c>
      <c r="AJ352" s="226">
        <f t="shared" si="151"/>
        <v>0</v>
      </c>
      <c r="AK352" s="413"/>
      <c r="AL352" s="225">
        <f t="shared" si="163"/>
        <v>0</v>
      </c>
      <c r="AM352" s="226">
        <f t="shared" si="152"/>
        <v>0</v>
      </c>
      <c r="AN352" s="462" t="str">
        <f t="shared" si="144"/>
        <v/>
      </c>
      <c r="AO352" s="416" t="str">
        <f t="shared" si="145"/>
        <v/>
      </c>
      <c r="AP352" s="416" t="str">
        <f t="shared" si="146"/>
        <v/>
      </c>
      <c r="AQ352" s="416" t="str">
        <f t="shared" si="147"/>
        <v/>
      </c>
      <c r="AR352" s="416" t="str">
        <f t="shared" si="153"/>
        <v/>
      </c>
    </row>
    <row r="353" spans="1:46" ht="14.25">
      <c r="A353" s="830"/>
      <c r="B353" s="99" t="s">
        <v>265</v>
      </c>
      <c r="C353" s="466" t="s">
        <v>184</v>
      </c>
      <c r="D353" s="125" t="s">
        <v>24</v>
      </c>
      <c r="E353" s="126">
        <v>0.58333333333333337</v>
      </c>
      <c r="F353" s="126">
        <v>0.79166666666666663</v>
      </c>
      <c r="G353" s="217">
        <f t="shared" si="137"/>
        <v>0.20833333333333326</v>
      </c>
      <c r="H353" s="218">
        <f t="shared" si="138"/>
        <v>0</v>
      </c>
      <c r="I353" s="96">
        <f t="shared" si="139"/>
        <v>0</v>
      </c>
      <c r="J353" s="219">
        <f t="shared" si="140"/>
        <v>0</v>
      </c>
      <c r="K353" s="220">
        <f t="shared" si="141"/>
        <v>0</v>
      </c>
      <c r="L353" s="100">
        <f t="shared" si="142"/>
        <v>0</v>
      </c>
      <c r="M353" s="221" t="str">
        <f t="shared" si="148"/>
        <v/>
      </c>
      <c r="N353" s="222">
        <f t="shared" si="143"/>
        <v>0</v>
      </c>
      <c r="O353" s="223">
        <f>IF(N353=0,0,IF(SUM($N$5:N353)&gt;251,1,0))</f>
        <v>0</v>
      </c>
      <c r="P353" s="408">
        <v>24</v>
      </c>
      <c r="Q353" s="409">
        <v>1</v>
      </c>
      <c r="R353" s="224"/>
      <c r="S353" s="411" t="s">
        <v>672</v>
      </c>
      <c r="T353" s="225" t="s">
        <v>697</v>
      </c>
      <c r="U353" s="226" t="s">
        <v>698</v>
      </c>
      <c r="V353" s="413" t="s">
        <v>695</v>
      </c>
      <c r="W353" s="225" t="s">
        <v>697</v>
      </c>
      <c r="X353" s="226" t="s">
        <v>698</v>
      </c>
      <c r="Y353" s="413" t="s">
        <v>696</v>
      </c>
      <c r="Z353" s="225" t="s">
        <v>699</v>
      </c>
      <c r="AA353" s="226" t="s">
        <v>698</v>
      </c>
      <c r="AB353" s="413"/>
      <c r="AC353" s="225">
        <f t="shared" si="160"/>
        <v>0</v>
      </c>
      <c r="AD353" s="226">
        <f t="shared" si="149"/>
        <v>0</v>
      </c>
      <c r="AE353" s="413"/>
      <c r="AF353" s="225">
        <f t="shared" si="161"/>
        <v>0</v>
      </c>
      <c r="AG353" s="226">
        <f t="shared" si="150"/>
        <v>0</v>
      </c>
      <c r="AH353" s="413"/>
      <c r="AI353" s="225">
        <f t="shared" si="162"/>
        <v>0</v>
      </c>
      <c r="AJ353" s="226">
        <f t="shared" si="151"/>
        <v>0</v>
      </c>
      <c r="AK353" s="413"/>
      <c r="AL353" s="225">
        <f t="shared" si="163"/>
        <v>0</v>
      </c>
      <c r="AM353" s="226">
        <f t="shared" si="152"/>
        <v>0</v>
      </c>
      <c r="AN353" s="462" t="str">
        <f t="shared" si="144"/>
        <v/>
      </c>
      <c r="AO353" s="416" t="str">
        <f t="shared" si="145"/>
        <v/>
      </c>
      <c r="AP353" s="416" t="str">
        <f t="shared" si="146"/>
        <v/>
      </c>
      <c r="AQ353" s="416" t="str">
        <f t="shared" si="147"/>
        <v/>
      </c>
      <c r="AR353" s="416" t="str">
        <f t="shared" si="153"/>
        <v/>
      </c>
    </row>
    <row r="354" spans="1:46" ht="14.25">
      <c r="A354" s="830"/>
      <c r="B354" s="99" t="s">
        <v>266</v>
      </c>
      <c r="C354" s="466" t="s">
        <v>185</v>
      </c>
      <c r="D354" s="125" t="s">
        <v>24</v>
      </c>
      <c r="E354" s="126">
        <v>0.58333333333333337</v>
      </c>
      <c r="F354" s="126">
        <v>0.79166666666666663</v>
      </c>
      <c r="G354" s="217">
        <f t="shared" si="137"/>
        <v>0.20833333333333326</v>
      </c>
      <c r="H354" s="218">
        <f t="shared" si="138"/>
        <v>0</v>
      </c>
      <c r="I354" s="96">
        <f t="shared" si="139"/>
        <v>0</v>
      </c>
      <c r="J354" s="219">
        <f t="shared" si="140"/>
        <v>0</v>
      </c>
      <c r="K354" s="220">
        <f t="shared" si="141"/>
        <v>0</v>
      </c>
      <c r="L354" s="100">
        <f t="shared" si="142"/>
        <v>0</v>
      </c>
      <c r="M354" s="221" t="str">
        <f t="shared" si="148"/>
        <v/>
      </c>
      <c r="N354" s="222">
        <f t="shared" si="143"/>
        <v>0</v>
      </c>
      <c r="O354" s="223">
        <f>IF(N354=0,0,IF(SUM($N$5:N354)&gt;251,1,0))</f>
        <v>0</v>
      </c>
      <c r="P354" s="408">
        <v>25</v>
      </c>
      <c r="Q354" s="409">
        <v>0</v>
      </c>
      <c r="R354" s="224"/>
      <c r="S354" s="411" t="s">
        <v>672</v>
      </c>
      <c r="T354" s="225" t="s">
        <v>697</v>
      </c>
      <c r="U354" s="226" t="s">
        <v>698</v>
      </c>
      <c r="V354" s="413" t="s">
        <v>695</v>
      </c>
      <c r="W354" s="225" t="s">
        <v>697</v>
      </c>
      <c r="X354" s="226" t="s">
        <v>698</v>
      </c>
      <c r="Y354" s="413" t="s">
        <v>696</v>
      </c>
      <c r="Z354" s="225" t="s">
        <v>699</v>
      </c>
      <c r="AA354" s="226" t="s">
        <v>698</v>
      </c>
      <c r="AB354" s="413"/>
      <c r="AC354" s="225">
        <f t="shared" si="160"/>
        <v>0</v>
      </c>
      <c r="AD354" s="226">
        <f t="shared" si="149"/>
        <v>0</v>
      </c>
      <c r="AE354" s="413"/>
      <c r="AF354" s="225">
        <f t="shared" si="161"/>
        <v>0</v>
      </c>
      <c r="AG354" s="226">
        <f t="shared" si="150"/>
        <v>0</v>
      </c>
      <c r="AH354" s="413"/>
      <c r="AI354" s="225">
        <f t="shared" si="162"/>
        <v>0</v>
      </c>
      <c r="AJ354" s="226">
        <f t="shared" si="151"/>
        <v>0</v>
      </c>
      <c r="AK354" s="413"/>
      <c r="AL354" s="225">
        <f t="shared" si="163"/>
        <v>0</v>
      </c>
      <c r="AM354" s="226">
        <f t="shared" si="152"/>
        <v>0</v>
      </c>
      <c r="AN354" s="462" t="str">
        <f t="shared" si="144"/>
        <v/>
      </c>
      <c r="AO354" s="416" t="str">
        <f t="shared" si="145"/>
        <v/>
      </c>
      <c r="AP354" s="416" t="str">
        <f t="shared" si="146"/>
        <v/>
      </c>
      <c r="AQ354" s="416" t="str">
        <f t="shared" si="147"/>
        <v/>
      </c>
      <c r="AR354" s="416" t="str">
        <f t="shared" si="153"/>
        <v/>
      </c>
    </row>
    <row r="355" spans="1:46" ht="14.25">
      <c r="A355" s="830"/>
      <c r="B355" s="99" t="s">
        <v>267</v>
      </c>
      <c r="C355" s="466" t="s">
        <v>186</v>
      </c>
      <c r="D355" s="125" t="s">
        <v>249</v>
      </c>
      <c r="E355" s="126">
        <v>0.375</v>
      </c>
      <c r="F355" s="126">
        <v>0.75</v>
      </c>
      <c r="G355" s="217">
        <f t="shared" si="137"/>
        <v>0.375</v>
      </c>
      <c r="H355" s="218">
        <f t="shared" si="138"/>
        <v>0</v>
      </c>
      <c r="I355" s="96">
        <f t="shared" si="139"/>
        <v>0</v>
      </c>
      <c r="J355" s="219">
        <f t="shared" si="140"/>
        <v>0</v>
      </c>
      <c r="K355" s="220">
        <f t="shared" si="141"/>
        <v>4.1666666666666685E-2</v>
      </c>
      <c r="L355" s="100">
        <f t="shared" si="142"/>
        <v>1</v>
      </c>
      <c r="M355" s="221" t="str">
        <f t="shared" si="148"/>
        <v/>
      </c>
      <c r="N355" s="222">
        <f t="shared" si="143"/>
        <v>1</v>
      </c>
      <c r="O355" s="223">
        <f>IF(N355=0,0,IF(SUM($N$5:N355)&gt;251,1,0))</f>
        <v>0</v>
      </c>
      <c r="P355" s="408">
        <v>2</v>
      </c>
      <c r="Q355" s="409">
        <v>0</v>
      </c>
      <c r="R355" s="224"/>
      <c r="S355" s="411" t="s">
        <v>672</v>
      </c>
      <c r="T355" s="225" t="s">
        <v>697</v>
      </c>
      <c r="U355" s="226" t="s">
        <v>698</v>
      </c>
      <c r="V355" s="413" t="s">
        <v>695</v>
      </c>
      <c r="W355" s="225" t="s">
        <v>697</v>
      </c>
      <c r="X355" s="226" t="s">
        <v>698</v>
      </c>
      <c r="Y355" s="413" t="s">
        <v>696</v>
      </c>
      <c r="Z355" s="225" t="s">
        <v>699</v>
      </c>
      <c r="AA355" s="226" t="s">
        <v>698</v>
      </c>
      <c r="AB355" s="413"/>
      <c r="AC355" s="225">
        <f t="shared" si="160"/>
        <v>0</v>
      </c>
      <c r="AD355" s="226">
        <f t="shared" si="149"/>
        <v>0</v>
      </c>
      <c r="AE355" s="413"/>
      <c r="AF355" s="225">
        <f t="shared" si="161"/>
        <v>0</v>
      </c>
      <c r="AG355" s="226">
        <f t="shared" si="150"/>
        <v>0</v>
      </c>
      <c r="AH355" s="413"/>
      <c r="AI355" s="225">
        <f t="shared" si="162"/>
        <v>0</v>
      </c>
      <c r="AJ355" s="226">
        <f t="shared" si="151"/>
        <v>0</v>
      </c>
      <c r="AK355" s="413"/>
      <c r="AL355" s="225">
        <f t="shared" si="163"/>
        <v>0</v>
      </c>
      <c r="AM355" s="226">
        <f t="shared" si="152"/>
        <v>0</v>
      </c>
      <c r="AN355" s="462" t="str">
        <f t="shared" si="144"/>
        <v/>
      </c>
      <c r="AO355" s="416" t="str">
        <f t="shared" si="145"/>
        <v/>
      </c>
      <c r="AP355" s="416" t="str">
        <f t="shared" si="146"/>
        <v/>
      </c>
      <c r="AQ355" s="416" t="str">
        <f t="shared" si="147"/>
        <v/>
      </c>
      <c r="AR355" s="416" t="str">
        <f t="shared" si="153"/>
        <v/>
      </c>
    </row>
    <row r="356" spans="1:46" ht="14.25">
      <c r="A356" s="830"/>
      <c r="B356" s="99" t="s">
        <v>268</v>
      </c>
      <c r="C356" s="466" t="s">
        <v>262</v>
      </c>
      <c r="D356" s="125" t="s">
        <v>251</v>
      </c>
      <c r="E356" s="126"/>
      <c r="F356" s="126"/>
      <c r="G356" s="217">
        <f t="shared" si="137"/>
        <v>0</v>
      </c>
      <c r="H356" s="218">
        <f t="shared" si="138"/>
        <v>0</v>
      </c>
      <c r="I356" s="96">
        <f t="shared" si="139"/>
        <v>0</v>
      </c>
      <c r="J356" s="219">
        <f t="shared" si="140"/>
        <v>0</v>
      </c>
      <c r="K356" s="220">
        <f t="shared" si="141"/>
        <v>0</v>
      </c>
      <c r="L356" s="100">
        <f t="shared" si="142"/>
        <v>0</v>
      </c>
      <c r="M356" s="221" t="str">
        <f t="shared" si="148"/>
        <v/>
      </c>
      <c r="N356" s="222">
        <f t="shared" si="143"/>
        <v>0</v>
      </c>
      <c r="O356" s="223">
        <f>IF(N356=0,0,IF(SUM($N$5:N356)&gt;251,1,0))</f>
        <v>0</v>
      </c>
      <c r="P356" s="408"/>
      <c r="Q356" s="409"/>
      <c r="R356" s="224"/>
      <c r="S356" s="411"/>
      <c r="T356" s="225">
        <f t="shared" si="154"/>
        <v>0</v>
      </c>
      <c r="U356" s="226">
        <f t="shared" si="155"/>
        <v>0</v>
      </c>
      <c r="V356" s="413"/>
      <c r="W356" s="225">
        <f t="shared" si="156"/>
        <v>0</v>
      </c>
      <c r="X356" s="226">
        <f t="shared" si="157"/>
        <v>0</v>
      </c>
      <c r="Y356" s="413"/>
      <c r="Z356" s="225">
        <f t="shared" si="158"/>
        <v>0</v>
      </c>
      <c r="AA356" s="226">
        <f t="shared" si="159"/>
        <v>0</v>
      </c>
      <c r="AB356" s="413"/>
      <c r="AC356" s="225">
        <f t="shared" si="160"/>
        <v>0</v>
      </c>
      <c r="AD356" s="226">
        <f t="shared" si="149"/>
        <v>0</v>
      </c>
      <c r="AE356" s="413"/>
      <c r="AF356" s="225">
        <f t="shared" si="161"/>
        <v>0</v>
      </c>
      <c r="AG356" s="226">
        <f t="shared" si="150"/>
        <v>0</v>
      </c>
      <c r="AH356" s="413"/>
      <c r="AI356" s="225">
        <f t="shared" si="162"/>
        <v>0</v>
      </c>
      <c r="AJ356" s="226">
        <f t="shared" si="151"/>
        <v>0</v>
      </c>
      <c r="AK356" s="413"/>
      <c r="AL356" s="225">
        <f t="shared" si="163"/>
        <v>0</v>
      </c>
      <c r="AM356" s="226">
        <f t="shared" si="152"/>
        <v>0</v>
      </c>
      <c r="AN356" s="462" t="str">
        <f t="shared" si="144"/>
        <v/>
      </c>
      <c r="AO356" s="416" t="str">
        <f t="shared" si="145"/>
        <v/>
      </c>
      <c r="AP356" s="416" t="str">
        <f t="shared" si="146"/>
        <v/>
      </c>
      <c r="AQ356" s="416" t="str">
        <f t="shared" si="147"/>
        <v/>
      </c>
      <c r="AR356" s="416" t="str">
        <f t="shared" si="153"/>
        <v/>
      </c>
    </row>
    <row r="357" spans="1:46" ht="14.25">
      <c r="A357" s="830"/>
      <c r="B357" s="99" t="s">
        <v>269</v>
      </c>
      <c r="C357" s="466" t="s">
        <v>182</v>
      </c>
      <c r="D357" s="125" t="s">
        <v>24</v>
      </c>
      <c r="E357" s="126">
        <v>0.58333333333333337</v>
      </c>
      <c r="F357" s="126">
        <v>0.79166666666666663</v>
      </c>
      <c r="G357" s="217">
        <f t="shared" si="137"/>
        <v>0.20833333333333326</v>
      </c>
      <c r="H357" s="218">
        <f t="shared" si="138"/>
        <v>0</v>
      </c>
      <c r="I357" s="96">
        <f t="shared" si="139"/>
        <v>0</v>
      </c>
      <c r="J357" s="219">
        <f t="shared" si="140"/>
        <v>0</v>
      </c>
      <c r="K357" s="220">
        <f t="shared" si="141"/>
        <v>0</v>
      </c>
      <c r="L357" s="100">
        <f t="shared" si="142"/>
        <v>0</v>
      </c>
      <c r="M357" s="221" t="str">
        <f t="shared" si="148"/>
        <v/>
      </c>
      <c r="N357" s="222">
        <f t="shared" si="143"/>
        <v>0</v>
      </c>
      <c r="O357" s="223">
        <f>IF(N357=0,0,IF(SUM($N$5:N357)&gt;251,1,0))</f>
        <v>0</v>
      </c>
      <c r="P357" s="408">
        <v>4</v>
      </c>
      <c r="Q357" s="409">
        <v>0</v>
      </c>
      <c r="R357" s="224"/>
      <c r="S357" s="411" t="s">
        <v>672</v>
      </c>
      <c r="T357" s="225" t="s">
        <v>697</v>
      </c>
      <c r="U357" s="226" t="s">
        <v>698</v>
      </c>
      <c r="V357" s="413" t="s">
        <v>695</v>
      </c>
      <c r="W357" s="225" t="s">
        <v>697</v>
      </c>
      <c r="X357" s="226" t="s">
        <v>698</v>
      </c>
      <c r="Y357" s="413" t="s">
        <v>696</v>
      </c>
      <c r="Z357" s="225" t="s">
        <v>699</v>
      </c>
      <c r="AA357" s="226" t="s">
        <v>698</v>
      </c>
      <c r="AB357" s="413"/>
      <c r="AC357" s="225">
        <f t="shared" si="160"/>
        <v>0</v>
      </c>
      <c r="AD357" s="226">
        <f t="shared" si="149"/>
        <v>0</v>
      </c>
      <c r="AE357" s="413"/>
      <c r="AF357" s="225">
        <f t="shared" si="161"/>
        <v>0</v>
      </c>
      <c r="AG357" s="226">
        <f t="shared" si="150"/>
        <v>0</v>
      </c>
      <c r="AH357" s="413"/>
      <c r="AI357" s="225">
        <f t="shared" si="162"/>
        <v>0</v>
      </c>
      <c r="AJ357" s="226">
        <f t="shared" si="151"/>
        <v>0</v>
      </c>
      <c r="AK357" s="413"/>
      <c r="AL357" s="225">
        <f t="shared" si="163"/>
        <v>0</v>
      </c>
      <c r="AM357" s="226">
        <f t="shared" si="152"/>
        <v>0</v>
      </c>
      <c r="AN357" s="462" t="str">
        <f t="shared" si="144"/>
        <v/>
      </c>
      <c r="AO357" s="416" t="str">
        <f t="shared" si="145"/>
        <v/>
      </c>
      <c r="AP357" s="416" t="str">
        <f t="shared" si="146"/>
        <v/>
      </c>
      <c r="AQ357" s="416" t="str">
        <f t="shared" si="147"/>
        <v/>
      </c>
      <c r="AR357" s="416" t="str">
        <f t="shared" si="153"/>
        <v/>
      </c>
    </row>
    <row r="358" spans="1:46" ht="14.25">
      <c r="A358" s="830"/>
      <c r="B358" s="99" t="s">
        <v>270</v>
      </c>
      <c r="C358" s="466" t="s">
        <v>187</v>
      </c>
      <c r="D358" s="125" t="s">
        <v>24</v>
      </c>
      <c r="E358" s="126">
        <v>0.58333333333333337</v>
      </c>
      <c r="F358" s="126">
        <v>0.79166666666666663</v>
      </c>
      <c r="G358" s="217">
        <f t="shared" si="137"/>
        <v>0.20833333333333326</v>
      </c>
      <c r="H358" s="218">
        <f t="shared" si="138"/>
        <v>0</v>
      </c>
      <c r="I358" s="96">
        <f t="shared" si="139"/>
        <v>0</v>
      </c>
      <c r="J358" s="219">
        <f t="shared" si="140"/>
        <v>0</v>
      </c>
      <c r="K358" s="220">
        <f t="shared" si="141"/>
        <v>0</v>
      </c>
      <c r="L358" s="100">
        <f t="shared" si="142"/>
        <v>0</v>
      </c>
      <c r="M358" s="221" t="str">
        <f t="shared" si="148"/>
        <v/>
      </c>
      <c r="N358" s="222">
        <f t="shared" si="143"/>
        <v>0</v>
      </c>
      <c r="O358" s="223">
        <f>IF(N358=0,0,IF(SUM($N$5:N358)&gt;251,1,0))</f>
        <v>0</v>
      </c>
      <c r="P358" s="408">
        <v>25</v>
      </c>
      <c r="Q358" s="409">
        <v>1</v>
      </c>
      <c r="R358" s="224"/>
      <c r="S358" s="411" t="s">
        <v>672</v>
      </c>
      <c r="T358" s="225" t="s">
        <v>697</v>
      </c>
      <c r="U358" s="226" t="s">
        <v>698</v>
      </c>
      <c r="V358" s="413" t="s">
        <v>695</v>
      </c>
      <c r="W358" s="225" t="s">
        <v>697</v>
      </c>
      <c r="X358" s="226" t="s">
        <v>698</v>
      </c>
      <c r="Y358" s="413" t="s">
        <v>696</v>
      </c>
      <c r="Z358" s="225" t="s">
        <v>699</v>
      </c>
      <c r="AA358" s="226" t="s">
        <v>698</v>
      </c>
      <c r="AB358" s="413"/>
      <c r="AC358" s="225">
        <f t="shared" si="160"/>
        <v>0</v>
      </c>
      <c r="AD358" s="226">
        <f t="shared" si="149"/>
        <v>0</v>
      </c>
      <c r="AE358" s="413"/>
      <c r="AF358" s="225">
        <f t="shared" si="161"/>
        <v>0</v>
      </c>
      <c r="AG358" s="226">
        <f t="shared" si="150"/>
        <v>0</v>
      </c>
      <c r="AH358" s="413"/>
      <c r="AI358" s="225">
        <f t="shared" si="162"/>
        <v>0</v>
      </c>
      <c r="AJ358" s="226">
        <f t="shared" si="151"/>
        <v>0</v>
      </c>
      <c r="AK358" s="413"/>
      <c r="AL358" s="225">
        <f t="shared" si="163"/>
        <v>0</v>
      </c>
      <c r="AM358" s="226">
        <f t="shared" si="152"/>
        <v>0</v>
      </c>
      <c r="AN358" s="462" t="str">
        <f t="shared" si="144"/>
        <v/>
      </c>
      <c r="AO358" s="416" t="str">
        <f t="shared" si="145"/>
        <v/>
      </c>
      <c r="AP358" s="416" t="str">
        <f t="shared" si="146"/>
        <v/>
      </c>
      <c r="AQ358" s="416" t="str">
        <f t="shared" si="147"/>
        <v/>
      </c>
      <c r="AR358" s="416" t="str">
        <f>IF(AND(OR(D358="平日", D358="土・日・祝・長期休暇"), OR(P358=0, P358="")), "児童数が入力されていません！", "")</f>
        <v/>
      </c>
    </row>
    <row r="359" spans="1:46" ht="14.25">
      <c r="A359" s="830"/>
      <c r="B359" s="99" t="s">
        <v>271</v>
      </c>
      <c r="C359" s="466" t="s">
        <v>597</v>
      </c>
      <c r="D359" s="125" t="s">
        <v>249</v>
      </c>
      <c r="E359" s="126">
        <v>0.375</v>
      </c>
      <c r="F359" s="126">
        <v>0.75</v>
      </c>
      <c r="G359" s="217">
        <f t="shared" si="137"/>
        <v>0.375</v>
      </c>
      <c r="H359" s="218">
        <f t="shared" si="138"/>
        <v>0</v>
      </c>
      <c r="I359" s="96">
        <f t="shared" si="139"/>
        <v>0</v>
      </c>
      <c r="J359" s="219">
        <f t="shared" si="140"/>
        <v>0</v>
      </c>
      <c r="K359" s="220">
        <f t="shared" si="141"/>
        <v>4.1666666666666685E-2</v>
      </c>
      <c r="L359" s="100">
        <f t="shared" si="142"/>
        <v>1</v>
      </c>
      <c r="M359" s="221" t="str">
        <f t="shared" si="148"/>
        <v/>
      </c>
      <c r="N359" s="222">
        <f t="shared" si="143"/>
        <v>1</v>
      </c>
      <c r="O359" s="223">
        <f>IF(N359=0,0,IF(SUM($N$5:N359)&gt;251,1,0))</f>
        <v>0</v>
      </c>
      <c r="P359" s="408">
        <v>25</v>
      </c>
      <c r="Q359" s="409">
        <v>0</v>
      </c>
      <c r="R359" s="224"/>
      <c r="S359" s="411" t="s">
        <v>672</v>
      </c>
      <c r="T359" s="225" t="s">
        <v>697</v>
      </c>
      <c r="U359" s="226" t="s">
        <v>698</v>
      </c>
      <c r="V359" s="413" t="s">
        <v>695</v>
      </c>
      <c r="W359" s="225" t="s">
        <v>697</v>
      </c>
      <c r="X359" s="226" t="s">
        <v>698</v>
      </c>
      <c r="Y359" s="413" t="s">
        <v>696</v>
      </c>
      <c r="Z359" s="225" t="s">
        <v>699</v>
      </c>
      <c r="AA359" s="226" t="s">
        <v>698</v>
      </c>
      <c r="AB359" s="413"/>
      <c r="AC359" s="225">
        <f t="shared" si="160"/>
        <v>0</v>
      </c>
      <c r="AD359" s="226">
        <f t="shared" si="149"/>
        <v>0</v>
      </c>
      <c r="AE359" s="413"/>
      <c r="AF359" s="225">
        <f t="shared" si="161"/>
        <v>0</v>
      </c>
      <c r="AG359" s="226">
        <f t="shared" si="150"/>
        <v>0</v>
      </c>
      <c r="AH359" s="413"/>
      <c r="AI359" s="225">
        <f t="shared" si="162"/>
        <v>0</v>
      </c>
      <c r="AJ359" s="226">
        <f t="shared" si="151"/>
        <v>0</v>
      </c>
      <c r="AK359" s="413"/>
      <c r="AL359" s="225">
        <f t="shared" si="163"/>
        <v>0</v>
      </c>
      <c r="AM359" s="226">
        <f t="shared" si="152"/>
        <v>0</v>
      </c>
      <c r="AN359" s="462" t="str">
        <f t="shared" si="144"/>
        <v/>
      </c>
      <c r="AO359" s="416" t="str">
        <f t="shared" si="145"/>
        <v/>
      </c>
      <c r="AP359" s="416" t="str">
        <f t="shared" si="146"/>
        <v/>
      </c>
      <c r="AQ359" s="416" t="str">
        <f t="shared" si="147"/>
        <v/>
      </c>
      <c r="AR359" s="416" t="str">
        <f t="shared" si="153"/>
        <v/>
      </c>
    </row>
    <row r="360" spans="1:46" ht="14.25">
      <c r="A360" s="830"/>
      <c r="B360" s="99" t="s">
        <v>272</v>
      </c>
      <c r="C360" s="466" t="s">
        <v>184</v>
      </c>
      <c r="D360" s="125" t="s">
        <v>24</v>
      </c>
      <c r="E360" s="126">
        <v>0.58333333333333337</v>
      </c>
      <c r="F360" s="126">
        <v>0.79166666666666663</v>
      </c>
      <c r="G360" s="217">
        <f t="shared" si="137"/>
        <v>0.20833333333333326</v>
      </c>
      <c r="H360" s="218">
        <f t="shared" si="138"/>
        <v>0</v>
      </c>
      <c r="I360" s="96">
        <f t="shared" si="139"/>
        <v>0</v>
      </c>
      <c r="J360" s="219">
        <f t="shared" si="140"/>
        <v>0</v>
      </c>
      <c r="K360" s="220">
        <f t="shared" si="141"/>
        <v>0</v>
      </c>
      <c r="L360" s="100">
        <f t="shared" si="142"/>
        <v>0</v>
      </c>
      <c r="M360" s="221" t="str">
        <f t="shared" si="148"/>
        <v/>
      </c>
      <c r="N360" s="222">
        <f t="shared" si="143"/>
        <v>0</v>
      </c>
      <c r="O360" s="223">
        <f>IF(N360=0,0,IF(SUM($N$5:N360)&gt;251,1,0))</f>
        <v>0</v>
      </c>
      <c r="P360" s="408">
        <v>24</v>
      </c>
      <c r="Q360" s="409">
        <v>1</v>
      </c>
      <c r="R360" s="224"/>
      <c r="S360" s="411" t="s">
        <v>672</v>
      </c>
      <c r="T360" s="225" t="s">
        <v>697</v>
      </c>
      <c r="U360" s="226" t="s">
        <v>698</v>
      </c>
      <c r="V360" s="413" t="s">
        <v>695</v>
      </c>
      <c r="W360" s="225" t="s">
        <v>697</v>
      </c>
      <c r="X360" s="226" t="s">
        <v>698</v>
      </c>
      <c r="Y360" s="413" t="s">
        <v>696</v>
      </c>
      <c r="Z360" s="225" t="s">
        <v>699</v>
      </c>
      <c r="AA360" s="226" t="s">
        <v>698</v>
      </c>
      <c r="AB360" s="413"/>
      <c r="AC360" s="225">
        <f t="shared" si="160"/>
        <v>0</v>
      </c>
      <c r="AD360" s="226">
        <f t="shared" si="149"/>
        <v>0</v>
      </c>
      <c r="AE360" s="413"/>
      <c r="AF360" s="225">
        <f t="shared" si="161"/>
        <v>0</v>
      </c>
      <c r="AG360" s="226">
        <f t="shared" si="150"/>
        <v>0</v>
      </c>
      <c r="AH360" s="413"/>
      <c r="AI360" s="225">
        <f t="shared" si="162"/>
        <v>0</v>
      </c>
      <c r="AJ360" s="226">
        <f t="shared" si="151"/>
        <v>0</v>
      </c>
      <c r="AK360" s="413"/>
      <c r="AL360" s="225">
        <f t="shared" si="163"/>
        <v>0</v>
      </c>
      <c r="AM360" s="226">
        <f t="shared" si="152"/>
        <v>0</v>
      </c>
      <c r="AN360" s="462" t="str">
        <f t="shared" si="144"/>
        <v/>
      </c>
      <c r="AO360" s="416" t="str">
        <f t="shared" si="145"/>
        <v/>
      </c>
      <c r="AP360" s="416" t="str">
        <f t="shared" si="146"/>
        <v/>
      </c>
      <c r="AQ360" s="416" t="str">
        <f t="shared" si="147"/>
        <v/>
      </c>
      <c r="AR360" s="416" t="str">
        <f t="shared" si="153"/>
        <v/>
      </c>
      <c r="AT360" s="106"/>
    </row>
    <row r="361" spans="1:46" ht="14.25">
      <c r="A361" s="830"/>
      <c r="B361" s="99" t="s">
        <v>273</v>
      </c>
      <c r="C361" s="466" t="s">
        <v>185</v>
      </c>
      <c r="D361" s="125" t="s">
        <v>24</v>
      </c>
      <c r="E361" s="126">
        <v>0.58333333333333337</v>
      </c>
      <c r="F361" s="126">
        <v>0.79166666666666663</v>
      </c>
      <c r="G361" s="217">
        <f t="shared" si="137"/>
        <v>0.20833333333333326</v>
      </c>
      <c r="H361" s="218">
        <f t="shared" si="138"/>
        <v>0</v>
      </c>
      <c r="I361" s="96">
        <f t="shared" si="139"/>
        <v>0</v>
      </c>
      <c r="J361" s="219">
        <f t="shared" si="140"/>
        <v>0</v>
      </c>
      <c r="K361" s="220">
        <f t="shared" si="141"/>
        <v>0</v>
      </c>
      <c r="L361" s="100">
        <f t="shared" si="142"/>
        <v>0</v>
      </c>
      <c r="M361" s="221" t="str">
        <f t="shared" si="148"/>
        <v/>
      </c>
      <c r="N361" s="222">
        <f t="shared" si="143"/>
        <v>0</v>
      </c>
      <c r="O361" s="223">
        <f>IF(N361=0,0,IF(SUM($N$5:N361)&gt;251,1,0))</f>
        <v>0</v>
      </c>
      <c r="P361" s="408">
        <v>19</v>
      </c>
      <c r="Q361" s="409">
        <v>1</v>
      </c>
      <c r="R361" s="224"/>
      <c r="S361" s="411" t="s">
        <v>672</v>
      </c>
      <c r="T361" s="225" t="s">
        <v>697</v>
      </c>
      <c r="U361" s="226" t="s">
        <v>698</v>
      </c>
      <c r="V361" s="413" t="s">
        <v>695</v>
      </c>
      <c r="W361" s="225" t="s">
        <v>697</v>
      </c>
      <c r="X361" s="226" t="s">
        <v>698</v>
      </c>
      <c r="Y361" s="413" t="s">
        <v>696</v>
      </c>
      <c r="Z361" s="225" t="s">
        <v>699</v>
      </c>
      <c r="AA361" s="226" t="s">
        <v>698</v>
      </c>
      <c r="AB361" s="413"/>
      <c r="AC361" s="225">
        <f t="shared" si="160"/>
        <v>0</v>
      </c>
      <c r="AD361" s="226">
        <f t="shared" si="149"/>
        <v>0</v>
      </c>
      <c r="AE361" s="413"/>
      <c r="AF361" s="225">
        <f t="shared" si="161"/>
        <v>0</v>
      </c>
      <c r="AG361" s="226">
        <f t="shared" si="150"/>
        <v>0</v>
      </c>
      <c r="AH361" s="413"/>
      <c r="AI361" s="225">
        <f t="shared" si="162"/>
        <v>0</v>
      </c>
      <c r="AJ361" s="226">
        <f t="shared" si="151"/>
        <v>0</v>
      </c>
      <c r="AK361" s="413"/>
      <c r="AL361" s="225">
        <f t="shared" si="163"/>
        <v>0</v>
      </c>
      <c r="AM361" s="226">
        <f t="shared" si="152"/>
        <v>0</v>
      </c>
      <c r="AN361" s="462" t="str">
        <f t="shared" si="144"/>
        <v/>
      </c>
      <c r="AO361" s="416" t="str">
        <f t="shared" si="145"/>
        <v/>
      </c>
      <c r="AP361" s="416" t="str">
        <f t="shared" si="146"/>
        <v/>
      </c>
      <c r="AQ361" s="416" t="str">
        <f t="shared" si="147"/>
        <v/>
      </c>
      <c r="AR361" s="416" t="str">
        <f t="shared" si="153"/>
        <v/>
      </c>
    </row>
    <row r="362" spans="1:46" ht="14.25">
      <c r="A362" s="830"/>
      <c r="B362" s="99" t="s">
        <v>274</v>
      </c>
      <c r="C362" s="466" t="s">
        <v>186</v>
      </c>
      <c r="D362" s="125" t="s">
        <v>249</v>
      </c>
      <c r="E362" s="126">
        <v>0.375</v>
      </c>
      <c r="F362" s="126">
        <v>0.75</v>
      </c>
      <c r="G362" s="217">
        <f t="shared" si="137"/>
        <v>0.375</v>
      </c>
      <c r="H362" s="218">
        <f t="shared" si="138"/>
        <v>0</v>
      </c>
      <c r="I362" s="96">
        <f t="shared" si="139"/>
        <v>0</v>
      </c>
      <c r="J362" s="219">
        <f t="shared" si="140"/>
        <v>0</v>
      </c>
      <c r="K362" s="220">
        <f t="shared" si="141"/>
        <v>4.1666666666666685E-2</v>
      </c>
      <c r="L362" s="100">
        <f t="shared" si="142"/>
        <v>1</v>
      </c>
      <c r="M362" s="221" t="str">
        <f t="shared" si="148"/>
        <v/>
      </c>
      <c r="N362" s="222">
        <f t="shared" si="143"/>
        <v>1</v>
      </c>
      <c r="O362" s="223">
        <f>IF(N362=0,0,IF(SUM($N$5:N362)&gt;251,1,0))</f>
        <v>0</v>
      </c>
      <c r="P362" s="408">
        <v>1</v>
      </c>
      <c r="Q362" s="409">
        <v>0</v>
      </c>
      <c r="R362" s="224"/>
      <c r="S362" s="411" t="s">
        <v>672</v>
      </c>
      <c r="T362" s="225" t="s">
        <v>697</v>
      </c>
      <c r="U362" s="226" t="s">
        <v>698</v>
      </c>
      <c r="V362" s="413" t="s">
        <v>695</v>
      </c>
      <c r="W362" s="225" t="s">
        <v>697</v>
      </c>
      <c r="X362" s="226" t="s">
        <v>698</v>
      </c>
      <c r="Y362" s="413" t="s">
        <v>696</v>
      </c>
      <c r="Z362" s="225" t="s">
        <v>699</v>
      </c>
      <c r="AA362" s="226" t="s">
        <v>698</v>
      </c>
      <c r="AB362" s="413"/>
      <c r="AC362" s="225">
        <f t="shared" si="160"/>
        <v>0</v>
      </c>
      <c r="AD362" s="226">
        <f t="shared" si="149"/>
        <v>0</v>
      </c>
      <c r="AE362" s="413"/>
      <c r="AF362" s="225">
        <f t="shared" si="161"/>
        <v>0</v>
      </c>
      <c r="AG362" s="226">
        <f t="shared" si="150"/>
        <v>0</v>
      </c>
      <c r="AH362" s="413"/>
      <c r="AI362" s="225">
        <f t="shared" si="162"/>
        <v>0</v>
      </c>
      <c r="AJ362" s="226">
        <f t="shared" si="151"/>
        <v>0</v>
      </c>
      <c r="AK362" s="413"/>
      <c r="AL362" s="225">
        <f t="shared" si="163"/>
        <v>0</v>
      </c>
      <c r="AM362" s="226">
        <f t="shared" si="152"/>
        <v>0</v>
      </c>
      <c r="AN362" s="462" t="str">
        <f t="shared" si="144"/>
        <v/>
      </c>
      <c r="AO362" s="416" t="str">
        <f t="shared" si="145"/>
        <v/>
      </c>
      <c r="AP362" s="416" t="str">
        <f t="shared" si="146"/>
        <v/>
      </c>
      <c r="AQ362" s="416" t="str">
        <f t="shared" si="147"/>
        <v/>
      </c>
      <c r="AR362" s="416" t="str">
        <f t="shared" si="153"/>
        <v/>
      </c>
    </row>
    <row r="363" spans="1:46" ht="14.25">
      <c r="A363" s="830"/>
      <c r="B363" s="99" t="s">
        <v>275</v>
      </c>
      <c r="C363" s="466" t="s">
        <v>262</v>
      </c>
      <c r="D363" s="125" t="s">
        <v>251</v>
      </c>
      <c r="E363" s="126"/>
      <c r="F363" s="126"/>
      <c r="G363" s="217">
        <f t="shared" si="137"/>
        <v>0</v>
      </c>
      <c r="H363" s="218">
        <f t="shared" si="138"/>
        <v>0</v>
      </c>
      <c r="I363" s="96">
        <f t="shared" si="139"/>
        <v>0</v>
      </c>
      <c r="J363" s="219">
        <f t="shared" si="140"/>
        <v>0</v>
      </c>
      <c r="K363" s="220">
        <f t="shared" si="141"/>
        <v>0</v>
      </c>
      <c r="L363" s="100">
        <f t="shared" si="142"/>
        <v>0</v>
      </c>
      <c r="M363" s="221" t="str">
        <f t="shared" si="148"/>
        <v/>
      </c>
      <c r="N363" s="222">
        <f t="shared" si="143"/>
        <v>0</v>
      </c>
      <c r="O363" s="223">
        <f>IF(N363=0,0,IF(SUM($N$5:N363)&gt;251,1,0))</f>
        <v>0</v>
      </c>
      <c r="P363" s="408"/>
      <c r="Q363" s="409"/>
      <c r="R363" s="224"/>
      <c r="S363" s="411"/>
      <c r="T363" s="225">
        <f t="shared" si="154"/>
        <v>0</v>
      </c>
      <c r="U363" s="226">
        <f t="shared" si="155"/>
        <v>0</v>
      </c>
      <c r="V363" s="413"/>
      <c r="W363" s="225">
        <f t="shared" si="156"/>
        <v>0</v>
      </c>
      <c r="X363" s="226">
        <f t="shared" si="157"/>
        <v>0</v>
      </c>
      <c r="Y363" s="413"/>
      <c r="Z363" s="225">
        <f t="shared" si="158"/>
        <v>0</v>
      </c>
      <c r="AA363" s="226">
        <f t="shared" si="159"/>
        <v>0</v>
      </c>
      <c r="AB363" s="413"/>
      <c r="AC363" s="225">
        <f t="shared" si="160"/>
        <v>0</v>
      </c>
      <c r="AD363" s="226">
        <f t="shared" si="149"/>
        <v>0</v>
      </c>
      <c r="AE363" s="413"/>
      <c r="AF363" s="225">
        <f t="shared" si="161"/>
        <v>0</v>
      </c>
      <c r="AG363" s="226">
        <f t="shared" si="150"/>
        <v>0</v>
      </c>
      <c r="AH363" s="413"/>
      <c r="AI363" s="225">
        <f t="shared" si="162"/>
        <v>0</v>
      </c>
      <c r="AJ363" s="226">
        <f t="shared" si="151"/>
        <v>0</v>
      </c>
      <c r="AK363" s="413"/>
      <c r="AL363" s="225">
        <f t="shared" si="163"/>
        <v>0</v>
      </c>
      <c r="AM363" s="226">
        <f t="shared" si="152"/>
        <v>0</v>
      </c>
      <c r="AN363" s="462" t="str">
        <f t="shared" si="144"/>
        <v/>
      </c>
      <c r="AO363" s="416" t="str">
        <f t="shared" si="145"/>
        <v/>
      </c>
      <c r="AP363" s="416" t="str">
        <f t="shared" si="146"/>
        <v/>
      </c>
      <c r="AQ363" s="416" t="str">
        <f t="shared" si="147"/>
        <v/>
      </c>
      <c r="AR363" s="416" t="str">
        <f t="shared" si="153"/>
        <v/>
      </c>
    </row>
    <row r="364" spans="1:46" ht="14.25">
      <c r="A364" s="830"/>
      <c r="B364" s="99" t="s">
        <v>276</v>
      </c>
      <c r="C364" s="466" t="s">
        <v>182</v>
      </c>
      <c r="D364" s="125" t="s">
        <v>24</v>
      </c>
      <c r="E364" s="126">
        <v>0.58333333333333337</v>
      </c>
      <c r="F364" s="126">
        <v>0.79166666666666663</v>
      </c>
      <c r="G364" s="217">
        <f t="shared" si="137"/>
        <v>0.20833333333333326</v>
      </c>
      <c r="H364" s="218">
        <f t="shared" si="138"/>
        <v>0</v>
      </c>
      <c r="I364" s="96">
        <f t="shared" si="139"/>
        <v>0</v>
      </c>
      <c r="J364" s="219">
        <f t="shared" si="140"/>
        <v>0</v>
      </c>
      <c r="K364" s="220">
        <f t="shared" si="141"/>
        <v>0</v>
      </c>
      <c r="L364" s="100">
        <f t="shared" si="142"/>
        <v>0</v>
      </c>
      <c r="M364" s="221" t="str">
        <f t="shared" si="148"/>
        <v/>
      </c>
      <c r="N364" s="222">
        <f t="shared" si="143"/>
        <v>0</v>
      </c>
      <c r="O364" s="223">
        <f>IF(N364=0,0,IF(SUM($N$5:N364)&gt;251,1,0))</f>
        <v>0</v>
      </c>
      <c r="P364" s="408">
        <v>5</v>
      </c>
      <c r="Q364" s="409">
        <v>0</v>
      </c>
      <c r="R364" s="224"/>
      <c r="S364" s="411" t="s">
        <v>672</v>
      </c>
      <c r="T364" s="225" t="s">
        <v>697</v>
      </c>
      <c r="U364" s="226" t="s">
        <v>698</v>
      </c>
      <c r="V364" s="413" t="s">
        <v>695</v>
      </c>
      <c r="W364" s="225" t="s">
        <v>697</v>
      </c>
      <c r="X364" s="226" t="s">
        <v>698</v>
      </c>
      <c r="Y364" s="413" t="s">
        <v>696</v>
      </c>
      <c r="Z364" s="225" t="s">
        <v>699</v>
      </c>
      <c r="AA364" s="226" t="s">
        <v>698</v>
      </c>
      <c r="AB364" s="413"/>
      <c r="AC364" s="225">
        <f t="shared" si="160"/>
        <v>0</v>
      </c>
      <c r="AD364" s="226">
        <f t="shared" si="149"/>
        <v>0</v>
      </c>
      <c r="AE364" s="413"/>
      <c r="AF364" s="225">
        <f t="shared" si="161"/>
        <v>0</v>
      </c>
      <c r="AG364" s="226">
        <f t="shared" si="150"/>
        <v>0</v>
      </c>
      <c r="AH364" s="413"/>
      <c r="AI364" s="225">
        <f t="shared" si="162"/>
        <v>0</v>
      </c>
      <c r="AJ364" s="226">
        <f t="shared" si="151"/>
        <v>0</v>
      </c>
      <c r="AK364" s="413"/>
      <c r="AL364" s="225">
        <f t="shared" si="163"/>
        <v>0</v>
      </c>
      <c r="AM364" s="226">
        <f t="shared" si="152"/>
        <v>0</v>
      </c>
      <c r="AN364" s="462" t="str">
        <f t="shared" si="144"/>
        <v/>
      </c>
      <c r="AO364" s="416" t="str">
        <f t="shared" si="145"/>
        <v/>
      </c>
      <c r="AP364" s="416" t="str">
        <f t="shared" si="146"/>
        <v/>
      </c>
      <c r="AQ364" s="416" t="str">
        <f t="shared" si="147"/>
        <v/>
      </c>
      <c r="AR364" s="416" t="str">
        <f t="shared" si="153"/>
        <v/>
      </c>
    </row>
    <row r="365" spans="1:46" ht="14.25">
      <c r="A365" s="830"/>
      <c r="B365" s="99" t="s">
        <v>277</v>
      </c>
      <c r="C365" s="466" t="s">
        <v>187</v>
      </c>
      <c r="D365" s="125" t="s">
        <v>24</v>
      </c>
      <c r="E365" s="126">
        <v>0.58333333333333337</v>
      </c>
      <c r="F365" s="126">
        <v>0.79166666666666663</v>
      </c>
      <c r="G365" s="217">
        <f t="shared" si="137"/>
        <v>0.20833333333333326</v>
      </c>
      <c r="H365" s="218">
        <f t="shared" si="138"/>
        <v>0</v>
      </c>
      <c r="I365" s="96">
        <f t="shared" si="139"/>
        <v>0</v>
      </c>
      <c r="J365" s="219">
        <f t="shared" si="140"/>
        <v>0</v>
      </c>
      <c r="K365" s="220">
        <f t="shared" si="141"/>
        <v>0</v>
      </c>
      <c r="L365" s="100">
        <f t="shared" si="142"/>
        <v>0</v>
      </c>
      <c r="M365" s="221" t="str">
        <f t="shared" si="148"/>
        <v/>
      </c>
      <c r="N365" s="222">
        <f t="shared" si="143"/>
        <v>0</v>
      </c>
      <c r="O365" s="223">
        <f>IF(N365=0,0,IF(SUM($N$5:N365)&gt;251,1,0))</f>
        <v>0</v>
      </c>
      <c r="P365" s="408">
        <v>23</v>
      </c>
      <c r="Q365" s="409">
        <v>0</v>
      </c>
      <c r="R365" s="224"/>
      <c r="S365" s="411" t="s">
        <v>672</v>
      </c>
      <c r="T365" s="225" t="s">
        <v>697</v>
      </c>
      <c r="U365" s="226" t="s">
        <v>698</v>
      </c>
      <c r="V365" s="413" t="s">
        <v>695</v>
      </c>
      <c r="W365" s="225" t="s">
        <v>697</v>
      </c>
      <c r="X365" s="226" t="s">
        <v>698</v>
      </c>
      <c r="Y365" s="413" t="s">
        <v>696</v>
      </c>
      <c r="Z365" s="225" t="s">
        <v>699</v>
      </c>
      <c r="AA365" s="226" t="s">
        <v>698</v>
      </c>
      <c r="AB365" s="413"/>
      <c r="AC365" s="225">
        <f t="shared" si="160"/>
        <v>0</v>
      </c>
      <c r="AD365" s="226">
        <f t="shared" si="149"/>
        <v>0</v>
      </c>
      <c r="AE365" s="413"/>
      <c r="AF365" s="225">
        <f t="shared" si="161"/>
        <v>0</v>
      </c>
      <c r="AG365" s="226">
        <f t="shared" si="150"/>
        <v>0</v>
      </c>
      <c r="AH365" s="413"/>
      <c r="AI365" s="225">
        <f t="shared" si="162"/>
        <v>0</v>
      </c>
      <c r="AJ365" s="226">
        <f t="shared" si="151"/>
        <v>0</v>
      </c>
      <c r="AK365" s="413"/>
      <c r="AL365" s="225">
        <f t="shared" si="163"/>
        <v>0</v>
      </c>
      <c r="AM365" s="226">
        <f t="shared" si="152"/>
        <v>0</v>
      </c>
      <c r="AN365" s="462" t="str">
        <f t="shared" si="144"/>
        <v/>
      </c>
      <c r="AO365" s="416" t="str">
        <f t="shared" si="145"/>
        <v/>
      </c>
      <c r="AP365" s="416" t="str">
        <f t="shared" si="146"/>
        <v/>
      </c>
      <c r="AQ365" s="416" t="str">
        <f t="shared" si="147"/>
        <v/>
      </c>
      <c r="AR365" s="416" t="str">
        <f t="shared" si="153"/>
        <v/>
      </c>
    </row>
    <row r="366" spans="1:46" ht="14.25">
      <c r="A366" s="830"/>
      <c r="B366" s="99" t="s">
        <v>278</v>
      </c>
      <c r="C366" s="466" t="s">
        <v>183</v>
      </c>
      <c r="D366" s="125" t="s">
        <v>24</v>
      </c>
      <c r="E366" s="126">
        <v>0.58333333333333337</v>
      </c>
      <c r="F366" s="126">
        <v>0.79166666666666663</v>
      </c>
      <c r="G366" s="217">
        <f t="shared" si="137"/>
        <v>0.20833333333333326</v>
      </c>
      <c r="H366" s="218">
        <f t="shared" si="138"/>
        <v>0</v>
      </c>
      <c r="I366" s="96">
        <f t="shared" si="139"/>
        <v>0</v>
      </c>
      <c r="J366" s="219">
        <f t="shared" si="140"/>
        <v>0</v>
      </c>
      <c r="K366" s="220">
        <f t="shared" si="141"/>
        <v>0</v>
      </c>
      <c r="L366" s="100">
        <f t="shared" si="142"/>
        <v>0</v>
      </c>
      <c r="M366" s="221" t="str">
        <f t="shared" si="148"/>
        <v/>
      </c>
      <c r="N366" s="222">
        <f t="shared" si="143"/>
        <v>0</v>
      </c>
      <c r="O366" s="223">
        <f>IF(N366=0,0,IF(SUM($N$5:N366)&gt;251,1,0))</f>
        <v>0</v>
      </c>
      <c r="P366" s="408">
        <v>29</v>
      </c>
      <c r="Q366" s="409">
        <v>1</v>
      </c>
      <c r="R366" s="224"/>
      <c r="S366" s="411" t="s">
        <v>672</v>
      </c>
      <c r="T366" s="225" t="s">
        <v>697</v>
      </c>
      <c r="U366" s="226" t="s">
        <v>698</v>
      </c>
      <c r="V366" s="413" t="s">
        <v>695</v>
      </c>
      <c r="W366" s="225" t="s">
        <v>697</v>
      </c>
      <c r="X366" s="226" t="s">
        <v>698</v>
      </c>
      <c r="Y366" s="413" t="s">
        <v>696</v>
      </c>
      <c r="Z366" s="225" t="s">
        <v>699</v>
      </c>
      <c r="AA366" s="226" t="s">
        <v>698</v>
      </c>
      <c r="AB366" s="413"/>
      <c r="AC366" s="225">
        <f t="shared" si="160"/>
        <v>0</v>
      </c>
      <c r="AD366" s="226">
        <f t="shared" si="149"/>
        <v>0</v>
      </c>
      <c r="AE366" s="413"/>
      <c r="AF366" s="225">
        <f t="shared" si="161"/>
        <v>0</v>
      </c>
      <c r="AG366" s="226">
        <f t="shared" si="150"/>
        <v>0</v>
      </c>
      <c r="AH366" s="413"/>
      <c r="AI366" s="225">
        <f t="shared" si="162"/>
        <v>0</v>
      </c>
      <c r="AJ366" s="226">
        <f t="shared" si="151"/>
        <v>0</v>
      </c>
      <c r="AK366" s="413"/>
      <c r="AL366" s="225">
        <f t="shared" si="163"/>
        <v>0</v>
      </c>
      <c r="AM366" s="226">
        <f t="shared" si="152"/>
        <v>0</v>
      </c>
      <c r="AN366" s="462" t="str">
        <f t="shared" si="144"/>
        <v/>
      </c>
      <c r="AO366" s="416" t="str">
        <f t="shared" si="145"/>
        <v/>
      </c>
      <c r="AP366" s="416" t="str">
        <f t="shared" si="146"/>
        <v/>
      </c>
      <c r="AQ366" s="416" t="str">
        <f t="shared" si="147"/>
        <v/>
      </c>
      <c r="AR366" s="416" t="str">
        <f t="shared" si="153"/>
        <v/>
      </c>
    </row>
    <row r="367" spans="1:46" ht="14.25">
      <c r="A367" s="830"/>
      <c r="B367" s="99" t="s">
        <v>279</v>
      </c>
      <c r="C367" s="466" t="s">
        <v>184</v>
      </c>
      <c r="D367" s="125" t="s">
        <v>24</v>
      </c>
      <c r="E367" s="126">
        <v>0.58333333333333337</v>
      </c>
      <c r="F367" s="126">
        <v>0.79166666666666663</v>
      </c>
      <c r="G367" s="217">
        <f t="shared" si="137"/>
        <v>0.20833333333333326</v>
      </c>
      <c r="H367" s="218">
        <f t="shared" si="138"/>
        <v>0</v>
      </c>
      <c r="I367" s="96">
        <f t="shared" si="139"/>
        <v>0</v>
      </c>
      <c r="J367" s="219">
        <f t="shared" si="140"/>
        <v>0</v>
      </c>
      <c r="K367" s="220">
        <f t="shared" si="141"/>
        <v>0</v>
      </c>
      <c r="L367" s="100">
        <f t="shared" si="142"/>
        <v>0</v>
      </c>
      <c r="M367" s="221" t="str">
        <f t="shared" si="148"/>
        <v/>
      </c>
      <c r="N367" s="222">
        <f t="shared" si="143"/>
        <v>0</v>
      </c>
      <c r="O367" s="223">
        <f>IF(N367=0,0,IF(SUM($N$5:N367)&gt;251,1,0))</f>
        <v>0</v>
      </c>
      <c r="P367" s="408">
        <v>27</v>
      </c>
      <c r="Q367" s="409">
        <v>0</v>
      </c>
      <c r="R367" s="224"/>
      <c r="S367" s="411" t="s">
        <v>672</v>
      </c>
      <c r="T367" s="225" t="s">
        <v>697</v>
      </c>
      <c r="U367" s="226" t="s">
        <v>698</v>
      </c>
      <c r="V367" s="413" t="s">
        <v>695</v>
      </c>
      <c r="W367" s="225" t="s">
        <v>697</v>
      </c>
      <c r="X367" s="226" t="s">
        <v>698</v>
      </c>
      <c r="Y367" s="413" t="s">
        <v>696</v>
      </c>
      <c r="Z367" s="225" t="s">
        <v>699</v>
      </c>
      <c r="AA367" s="226" t="s">
        <v>698</v>
      </c>
      <c r="AB367" s="413"/>
      <c r="AC367" s="225">
        <f t="shared" si="160"/>
        <v>0</v>
      </c>
      <c r="AD367" s="226">
        <f t="shared" si="149"/>
        <v>0</v>
      </c>
      <c r="AE367" s="413"/>
      <c r="AF367" s="225">
        <f t="shared" si="161"/>
        <v>0</v>
      </c>
      <c r="AG367" s="226">
        <f t="shared" si="150"/>
        <v>0</v>
      </c>
      <c r="AH367" s="413"/>
      <c r="AI367" s="225">
        <f t="shared" si="162"/>
        <v>0</v>
      </c>
      <c r="AJ367" s="226">
        <f t="shared" si="151"/>
        <v>0</v>
      </c>
      <c r="AK367" s="413"/>
      <c r="AL367" s="225">
        <f t="shared" si="163"/>
        <v>0</v>
      </c>
      <c r="AM367" s="226">
        <f t="shared" si="152"/>
        <v>0</v>
      </c>
      <c r="AN367" s="462" t="str">
        <f t="shared" si="144"/>
        <v/>
      </c>
      <c r="AO367" s="416" t="str">
        <f t="shared" si="145"/>
        <v/>
      </c>
      <c r="AP367" s="416" t="str">
        <f t="shared" si="146"/>
        <v/>
      </c>
      <c r="AQ367" s="416" t="str">
        <f t="shared" si="147"/>
        <v/>
      </c>
      <c r="AR367" s="416" t="str">
        <f t="shared" si="153"/>
        <v/>
      </c>
    </row>
    <row r="368" spans="1:46" ht="14.25">
      <c r="A368" s="830"/>
      <c r="B368" s="99" t="s">
        <v>280</v>
      </c>
      <c r="C368" s="466" t="s">
        <v>185</v>
      </c>
      <c r="D368" s="125" t="s">
        <v>24</v>
      </c>
      <c r="E368" s="126">
        <v>0.58333333333333337</v>
      </c>
      <c r="F368" s="126">
        <v>0.79166666666666663</v>
      </c>
      <c r="G368" s="217">
        <f t="shared" si="137"/>
        <v>0.20833333333333326</v>
      </c>
      <c r="H368" s="218">
        <f t="shared" si="138"/>
        <v>0</v>
      </c>
      <c r="I368" s="96">
        <f t="shared" si="139"/>
        <v>0</v>
      </c>
      <c r="J368" s="219">
        <f t="shared" si="140"/>
        <v>0</v>
      </c>
      <c r="K368" s="220">
        <f t="shared" si="141"/>
        <v>0</v>
      </c>
      <c r="L368" s="100">
        <f t="shared" si="142"/>
        <v>0</v>
      </c>
      <c r="M368" s="221" t="str">
        <f t="shared" si="148"/>
        <v/>
      </c>
      <c r="N368" s="222">
        <f t="shared" si="143"/>
        <v>0</v>
      </c>
      <c r="O368" s="223">
        <f>IF(N368=0,0,IF(SUM($N$5:N368)&gt;251,1,0))</f>
        <v>0</v>
      </c>
      <c r="P368" s="408">
        <v>21</v>
      </c>
      <c r="Q368" s="409">
        <v>1</v>
      </c>
      <c r="R368" s="224"/>
      <c r="S368" s="411" t="s">
        <v>672</v>
      </c>
      <c r="T368" s="225" t="s">
        <v>697</v>
      </c>
      <c r="U368" s="226" t="s">
        <v>698</v>
      </c>
      <c r="V368" s="413" t="s">
        <v>695</v>
      </c>
      <c r="W368" s="225" t="s">
        <v>697</v>
      </c>
      <c r="X368" s="226" t="s">
        <v>698</v>
      </c>
      <c r="Y368" s="413" t="s">
        <v>696</v>
      </c>
      <c r="Z368" s="225" t="s">
        <v>699</v>
      </c>
      <c r="AA368" s="226" t="s">
        <v>698</v>
      </c>
      <c r="AB368" s="413"/>
      <c r="AC368" s="225">
        <f t="shared" si="160"/>
        <v>0</v>
      </c>
      <c r="AD368" s="226">
        <f t="shared" si="149"/>
        <v>0</v>
      </c>
      <c r="AE368" s="413"/>
      <c r="AF368" s="225">
        <f t="shared" si="161"/>
        <v>0</v>
      </c>
      <c r="AG368" s="226">
        <f t="shared" si="150"/>
        <v>0</v>
      </c>
      <c r="AH368" s="413"/>
      <c r="AI368" s="225">
        <f t="shared" si="162"/>
        <v>0</v>
      </c>
      <c r="AJ368" s="226">
        <f t="shared" si="151"/>
        <v>0</v>
      </c>
      <c r="AK368" s="413"/>
      <c r="AL368" s="225">
        <f t="shared" si="163"/>
        <v>0</v>
      </c>
      <c r="AM368" s="226">
        <f t="shared" si="152"/>
        <v>0</v>
      </c>
      <c r="AN368" s="462" t="str">
        <f t="shared" si="144"/>
        <v/>
      </c>
      <c r="AO368" s="416" t="str">
        <f t="shared" si="145"/>
        <v/>
      </c>
      <c r="AP368" s="416" t="str">
        <f t="shared" si="146"/>
        <v/>
      </c>
      <c r="AQ368" s="416" t="str">
        <f t="shared" si="147"/>
        <v/>
      </c>
      <c r="AR368" s="416" t="str">
        <f t="shared" si="153"/>
        <v/>
      </c>
    </row>
    <row r="369" spans="1:50" ht="14.25">
      <c r="A369" s="830"/>
      <c r="B369" s="99" t="s">
        <v>281</v>
      </c>
      <c r="C369" s="466" t="s">
        <v>186</v>
      </c>
      <c r="D369" s="125" t="s">
        <v>249</v>
      </c>
      <c r="E369" s="126">
        <v>0.375</v>
      </c>
      <c r="F369" s="126">
        <v>0.75</v>
      </c>
      <c r="G369" s="217">
        <f t="shared" si="137"/>
        <v>0.375</v>
      </c>
      <c r="H369" s="218">
        <f t="shared" si="138"/>
        <v>0</v>
      </c>
      <c r="I369" s="96">
        <f t="shared" si="139"/>
        <v>0</v>
      </c>
      <c r="J369" s="219">
        <f t="shared" si="140"/>
        <v>0</v>
      </c>
      <c r="K369" s="220">
        <f t="shared" si="141"/>
        <v>4.1666666666666685E-2</v>
      </c>
      <c r="L369" s="100">
        <f t="shared" si="142"/>
        <v>1</v>
      </c>
      <c r="M369" s="221" t="str">
        <f t="shared" si="148"/>
        <v/>
      </c>
      <c r="N369" s="222">
        <f t="shared" si="143"/>
        <v>1</v>
      </c>
      <c r="O369" s="223">
        <f>IF(N369=0,0,IF(SUM($N$5:N369)&gt;251,1,0))</f>
        <v>0</v>
      </c>
      <c r="P369" s="408">
        <v>5</v>
      </c>
      <c r="Q369" s="409">
        <v>1</v>
      </c>
      <c r="R369" s="224"/>
      <c r="S369" s="411" t="s">
        <v>672</v>
      </c>
      <c r="T369" s="225" t="s">
        <v>697</v>
      </c>
      <c r="U369" s="226" t="s">
        <v>698</v>
      </c>
      <c r="V369" s="413" t="s">
        <v>695</v>
      </c>
      <c r="W369" s="225" t="s">
        <v>697</v>
      </c>
      <c r="X369" s="226" t="s">
        <v>698</v>
      </c>
      <c r="Y369" s="413" t="s">
        <v>696</v>
      </c>
      <c r="Z369" s="225" t="s">
        <v>699</v>
      </c>
      <c r="AA369" s="226" t="s">
        <v>698</v>
      </c>
      <c r="AB369" s="413"/>
      <c r="AC369" s="225">
        <f t="shared" si="160"/>
        <v>0</v>
      </c>
      <c r="AD369" s="226">
        <f t="shared" si="149"/>
        <v>0</v>
      </c>
      <c r="AE369" s="413"/>
      <c r="AF369" s="225">
        <f t="shared" si="161"/>
        <v>0</v>
      </c>
      <c r="AG369" s="226">
        <f t="shared" si="150"/>
        <v>0</v>
      </c>
      <c r="AH369" s="413"/>
      <c r="AI369" s="225">
        <f t="shared" si="162"/>
        <v>0</v>
      </c>
      <c r="AJ369" s="226">
        <f t="shared" si="151"/>
        <v>0</v>
      </c>
      <c r="AK369" s="413"/>
      <c r="AL369" s="225">
        <f t="shared" si="163"/>
        <v>0</v>
      </c>
      <c r="AM369" s="226">
        <f t="shared" si="152"/>
        <v>0</v>
      </c>
      <c r="AN369" s="462" t="str">
        <f t="shared" si="144"/>
        <v/>
      </c>
      <c r="AO369" s="416" t="str">
        <f t="shared" si="145"/>
        <v/>
      </c>
      <c r="AP369" s="416" t="str">
        <f t="shared" si="146"/>
        <v/>
      </c>
      <c r="AQ369" s="416" t="str">
        <f t="shared" si="147"/>
        <v/>
      </c>
      <c r="AR369" s="416" t="str">
        <f t="shared" si="153"/>
        <v/>
      </c>
    </row>
    <row r="370" spans="1:50" ht="15" thickBot="1">
      <c r="A370" s="831"/>
      <c r="B370" s="101" t="s">
        <v>292</v>
      </c>
      <c r="C370" s="102" t="s">
        <v>595</v>
      </c>
      <c r="D370" s="125" t="s">
        <v>251</v>
      </c>
      <c r="E370" s="126"/>
      <c r="F370" s="126"/>
      <c r="G370" s="227">
        <f t="shared" si="137"/>
        <v>0</v>
      </c>
      <c r="H370" s="228">
        <f t="shared" si="138"/>
        <v>0</v>
      </c>
      <c r="I370" s="103">
        <f t="shared" si="139"/>
        <v>0</v>
      </c>
      <c r="J370" s="229">
        <f t="shared" si="140"/>
        <v>0</v>
      </c>
      <c r="K370" s="230">
        <f t="shared" si="141"/>
        <v>0</v>
      </c>
      <c r="L370" s="104">
        <f t="shared" si="142"/>
        <v>0</v>
      </c>
      <c r="M370" s="231" t="str">
        <f t="shared" si="148"/>
        <v/>
      </c>
      <c r="N370" s="232">
        <f t="shared" si="143"/>
        <v>0</v>
      </c>
      <c r="O370" s="233">
        <f>IF(N370=0,0,IF(SUM($N$5:N370)&gt;251,1,0))</f>
        <v>0</v>
      </c>
      <c r="P370" s="408"/>
      <c r="Q370" s="409"/>
      <c r="R370" s="236">
        <f>SUM(P340:P370)</f>
        <v>489</v>
      </c>
      <c r="S370" s="411"/>
      <c r="T370" s="481">
        <f>VLOOKUP(S370,$AT$12:$AU$31,2,FALSE)</f>
        <v>0</v>
      </c>
      <c r="U370" s="235">
        <f t="shared" si="155"/>
        <v>0</v>
      </c>
      <c r="V370" s="414"/>
      <c r="W370" s="481">
        <f>VLOOKUP(V370,$AT$12:$AU$31,2,FALSE)</f>
        <v>0</v>
      </c>
      <c r="X370" s="235">
        <f t="shared" si="157"/>
        <v>0</v>
      </c>
      <c r="Y370" s="414"/>
      <c r="Z370" s="481">
        <f>VLOOKUP(Y370,$AT$12:$AU$31,2,FALSE)</f>
        <v>0</v>
      </c>
      <c r="AA370" s="235">
        <f t="shared" si="159"/>
        <v>0</v>
      </c>
      <c r="AB370" s="414"/>
      <c r="AC370" s="481">
        <f>VLOOKUP(AB370,$AT$12:$AU$31,2,FALSE)</f>
        <v>0</v>
      </c>
      <c r="AD370" s="235">
        <f t="shared" si="149"/>
        <v>0</v>
      </c>
      <c r="AE370" s="414"/>
      <c r="AF370" s="481">
        <f>VLOOKUP(AE370,$AT$12:$AU$31,2,FALSE)</f>
        <v>0</v>
      </c>
      <c r="AG370" s="235">
        <f t="shared" si="150"/>
        <v>0</v>
      </c>
      <c r="AH370" s="414"/>
      <c r="AI370" s="481">
        <f>VLOOKUP(AH370,$AT$12:$AU$31,2,FALSE)</f>
        <v>0</v>
      </c>
      <c r="AJ370" s="235">
        <f t="shared" si="151"/>
        <v>0</v>
      </c>
      <c r="AK370" s="414"/>
      <c r="AL370" s="481">
        <f>VLOOKUP(AK370,$AT$12:$AU$31,2,FALSE)</f>
        <v>0</v>
      </c>
      <c r="AM370" s="235">
        <f t="shared" si="152"/>
        <v>0</v>
      </c>
      <c r="AN370" s="464" t="str">
        <f t="shared" si="144"/>
        <v/>
      </c>
      <c r="AO370" s="417" t="str">
        <f t="shared" si="145"/>
        <v/>
      </c>
      <c r="AP370" s="417" t="str">
        <f t="shared" si="146"/>
        <v/>
      </c>
      <c r="AQ370" s="417" t="str">
        <f t="shared" si="147"/>
        <v/>
      </c>
      <c r="AR370" s="417" t="str">
        <f t="shared" si="153"/>
        <v/>
      </c>
    </row>
    <row r="371" spans="1:50" ht="16.5">
      <c r="D371" s="105">
        <f>COUNTIF(D5:D370,"&lt;&gt;")</f>
        <v>366</v>
      </c>
      <c r="F371" s="237" t="str">
        <f>IF(D371=366,"","開所種別に空欄があります")</f>
        <v/>
      </c>
      <c r="G371" s="238"/>
      <c r="H371" s="238"/>
      <c r="I371" s="238"/>
      <c r="K371" s="852" t="str">
        <f>IF(SUMPRODUCT((AN5:AR370="支援員がいません！")+
(AN5:AR370="障害児加配対象職員がいません")+
(AN5:AR370="障害児加配の場合は３名以上の配置")+
(AN5:AR370="障害児3人以上の場合は４名以上の配置")+
(AN5:AR370="児童数が入力されていません！"))&gt;0,"エラーがあります。エラー欄を確認してください","")</f>
        <v/>
      </c>
      <c r="L371" s="852"/>
      <c r="M371" s="852"/>
      <c r="N371" s="852"/>
      <c r="O371" s="852"/>
      <c r="P371" s="852"/>
    </row>
    <row r="372" spans="1:50" ht="14.25" thickBot="1">
      <c r="D372" s="105"/>
      <c r="G372" s="90"/>
      <c r="H372" s="88"/>
    </row>
    <row r="373" spans="1:50" s="106" customFormat="1" ht="14.25" thickBot="1">
      <c r="B373" s="107"/>
      <c r="C373" s="108"/>
      <c r="D373" s="109"/>
      <c r="E373" s="108"/>
      <c r="F373" s="108"/>
      <c r="G373" s="110"/>
      <c r="H373" s="110">
        <f>SUM(H5:H372)</f>
        <v>0</v>
      </c>
      <c r="I373" s="110">
        <f>SUM(I5:I372)</f>
        <v>0</v>
      </c>
      <c r="J373" s="111">
        <f>SUM(J5:J372)</f>
        <v>0</v>
      </c>
      <c r="K373" s="110">
        <f>SUM(K5:K372)</f>
        <v>3.8333333333333299</v>
      </c>
      <c r="L373" s="112">
        <f>SUM(L5:L372)</f>
        <v>89</v>
      </c>
      <c r="M373" s="239"/>
      <c r="N373" s="112">
        <f>SUM(N5:N372)</f>
        <v>89</v>
      </c>
      <c r="O373" s="113">
        <f>SUM(O5:O372)</f>
        <v>0</v>
      </c>
      <c r="S373" s="240"/>
      <c r="T373" s="241"/>
      <c r="U373" s="241"/>
      <c r="V373" s="240"/>
      <c r="W373" s="241"/>
      <c r="X373" s="241"/>
      <c r="Y373" s="240"/>
      <c r="Z373" s="241"/>
      <c r="AA373" s="241"/>
      <c r="AB373" s="240"/>
      <c r="AC373" s="241"/>
      <c r="AD373" s="241"/>
      <c r="AE373" s="240"/>
      <c r="AF373" s="241"/>
      <c r="AG373" s="241"/>
      <c r="AH373" s="240"/>
      <c r="AI373" s="241"/>
      <c r="AJ373" s="241"/>
      <c r="AK373" s="240"/>
      <c r="AL373" s="241"/>
      <c r="AM373" s="241"/>
      <c r="AN373" s="242"/>
      <c r="AO373" s="242"/>
      <c r="AP373" s="242"/>
      <c r="AQ373" s="242"/>
      <c r="AR373" s="242"/>
      <c r="AS373" s="13"/>
      <c r="AT373" s="13"/>
      <c r="AU373" s="13"/>
      <c r="AV373" s="13"/>
      <c r="AW373" s="13"/>
      <c r="AX373" s="13"/>
    </row>
    <row r="374" spans="1:50" ht="14.25" thickBot="1">
      <c r="H374" s="114"/>
      <c r="I374" s="114"/>
      <c r="AS374" s="106"/>
      <c r="AU374" s="106"/>
      <c r="AV374" s="106"/>
      <c r="AW374" s="106"/>
      <c r="AX374" s="106"/>
    </row>
    <row r="375" spans="1:50" ht="14.25" thickBot="1">
      <c r="B375" s="838" t="s">
        <v>23</v>
      </c>
      <c r="C375" s="839"/>
      <c r="D375" s="840"/>
      <c r="E375" s="867" t="s">
        <v>293</v>
      </c>
      <c r="F375" s="868"/>
      <c r="T375" s="522"/>
      <c r="U375" s="522"/>
      <c r="V375" s="523"/>
      <c r="W375" s="522"/>
      <c r="X375" s="522"/>
      <c r="Y375" s="523"/>
    </row>
    <row r="376" spans="1:50" ht="71.25" customHeight="1" thickBot="1">
      <c r="B376" s="869" t="s">
        <v>24</v>
      </c>
      <c r="C376" s="870"/>
      <c r="D376" s="449">
        <f>COUNTIF(D5:D370,"平日")</f>
        <v>211</v>
      </c>
      <c r="E376" s="115" t="s">
        <v>24</v>
      </c>
      <c r="F376" s="454">
        <f>IFERROR(ROUNDDOWN(TEXT(SUM(H373:I373),"[m]")/60/J373,2),0)</f>
        <v>0</v>
      </c>
      <c r="H376" s="243" t="s">
        <v>27</v>
      </c>
      <c r="I376" s="458">
        <f>MAX(ROUNDDOWN(IF(D380&lt;250,N373-(250-D380),IF(D380=250,N373,IF(D380&gt;250,N373-(D380-250),0)))*19000,-3),0)</f>
        <v>1102000</v>
      </c>
      <c r="J376" s="116"/>
      <c r="K376" s="853" t="s">
        <v>592</v>
      </c>
      <c r="L376" s="854"/>
      <c r="M376" s="855" t="s">
        <v>704</v>
      </c>
      <c r="N376" s="856"/>
      <c r="O376" s="856"/>
      <c r="P376" s="856"/>
      <c r="Q376" s="856"/>
      <c r="R376" s="857"/>
      <c r="T376" s="858" t="s">
        <v>652</v>
      </c>
      <c r="U376" s="859"/>
      <c r="V376" s="859"/>
      <c r="W376" s="860"/>
      <c r="X376" s="522"/>
      <c r="Y376" s="522"/>
    </row>
    <row r="377" spans="1:50" ht="71.25" customHeight="1" thickBot="1">
      <c r="B377" s="871" t="s">
        <v>297</v>
      </c>
      <c r="C377" s="872"/>
      <c r="D377" s="450">
        <f>COUNTIF(D5:D370,"土・日・祝・長期休暇")</f>
        <v>96</v>
      </c>
      <c r="E377" s="117" t="s">
        <v>294</v>
      </c>
      <c r="F377" s="455">
        <f>IFERROR(ROUNDDOWN(TEXT(K373,"[m]")/60/L373,2),0)</f>
        <v>1.03</v>
      </c>
      <c r="H377" s="244" t="s">
        <v>295</v>
      </c>
      <c r="I377" s="459">
        <f>ROUNDDOWN(F376*409000,-3)</f>
        <v>0</v>
      </c>
      <c r="K377" s="853" t="s">
        <v>594</v>
      </c>
      <c r="L377" s="854"/>
      <c r="M377" s="855" t="s">
        <v>705</v>
      </c>
      <c r="N377" s="856"/>
      <c r="O377" s="856"/>
      <c r="P377" s="856"/>
      <c r="Q377" s="856"/>
      <c r="R377" s="857"/>
      <c r="T377" s="861" t="s">
        <v>703</v>
      </c>
      <c r="U377" s="862"/>
      <c r="V377" s="862"/>
      <c r="W377" s="862"/>
      <c r="X377" s="862"/>
      <c r="Y377" s="863"/>
    </row>
    <row r="378" spans="1:50" ht="71.25" customHeight="1" thickBot="1">
      <c r="B378" s="832" t="s">
        <v>311</v>
      </c>
      <c r="C378" s="833"/>
      <c r="D378" s="451">
        <f>+COUNTIF(D5:D370,"平日：開所とみなす閉所")</f>
        <v>1</v>
      </c>
      <c r="E378" s="118"/>
      <c r="F378" s="118"/>
      <c r="H378" s="245" t="s">
        <v>296</v>
      </c>
      <c r="I378" s="471">
        <f>ROUNDDOWN(F377*184000,-3)</f>
        <v>189000</v>
      </c>
      <c r="K378" s="841" t="s">
        <v>651</v>
      </c>
      <c r="L378" s="842"/>
      <c r="M378" s="842"/>
      <c r="N378" s="842"/>
      <c r="O378" s="842"/>
      <c r="P378" s="843"/>
      <c r="Q378" s="844" t="s">
        <v>670</v>
      </c>
      <c r="R378" s="845"/>
      <c r="T378" s="864"/>
      <c r="U378" s="865"/>
      <c r="V378" s="865"/>
      <c r="W378" s="865"/>
      <c r="X378" s="865"/>
      <c r="Y378" s="866"/>
    </row>
    <row r="379" spans="1:50" ht="71.25" customHeight="1" thickBot="1">
      <c r="B379" s="834" t="s">
        <v>315</v>
      </c>
      <c r="C379" s="835"/>
      <c r="D379" s="452">
        <f>+COUNTIF(D5:D370,"土日祝長期：開所とみなす閉所")</f>
        <v>0</v>
      </c>
      <c r="E379" s="119"/>
      <c r="F379" s="120"/>
      <c r="H379" s="121"/>
      <c r="I379" s="122"/>
    </row>
    <row r="380" spans="1:50" ht="71.25" customHeight="1" thickBot="1">
      <c r="B380" s="836" t="s">
        <v>305</v>
      </c>
      <c r="C380" s="837"/>
      <c r="D380" s="453">
        <f>SUM(D376:D379)-N373</f>
        <v>219</v>
      </c>
      <c r="E380" s="246" t="s">
        <v>321</v>
      </c>
      <c r="F380" s="456">
        <f>(IF(D380&lt;250,N373-(250-D380),IF(D380&gt;=250,N373,0)))</f>
        <v>58</v>
      </c>
      <c r="H380" s="286" t="s">
        <v>415</v>
      </c>
      <c r="I380" s="472">
        <f>SUM(G5:G370)</f>
        <v>79.124999999999986</v>
      </c>
      <c r="K380" s="286" t="s">
        <v>418</v>
      </c>
      <c r="L380" s="457">
        <f>AVERAGE(F5:F370)</f>
        <v>0.77989718614718306</v>
      </c>
    </row>
  </sheetData>
  <dataConsolidate/>
  <mergeCells count="37">
    <mergeCell ref="A96:A126"/>
    <mergeCell ref="W1:AE1"/>
    <mergeCell ref="C3:G3"/>
    <mergeCell ref="H3:J3"/>
    <mergeCell ref="K3:L3"/>
    <mergeCell ref="N3:O3"/>
    <mergeCell ref="P3:R3"/>
    <mergeCell ref="S3:AL3"/>
    <mergeCell ref="A5:A34"/>
    <mergeCell ref="A35:A65"/>
    <mergeCell ref="A66:A95"/>
    <mergeCell ref="E375:F375"/>
    <mergeCell ref="B376:C376"/>
    <mergeCell ref="B377:C377"/>
    <mergeCell ref="K376:L376"/>
    <mergeCell ref="M376:R376"/>
    <mergeCell ref="K378:P378"/>
    <mergeCell ref="Q378:R378"/>
    <mergeCell ref="AN3:AR3"/>
    <mergeCell ref="AN4:AR4"/>
    <mergeCell ref="K371:P371"/>
    <mergeCell ref="K377:L377"/>
    <mergeCell ref="M377:R377"/>
    <mergeCell ref="T376:W376"/>
    <mergeCell ref="T377:Y378"/>
    <mergeCell ref="A127:A157"/>
    <mergeCell ref="A158:A187"/>
    <mergeCell ref="A188:A218"/>
    <mergeCell ref="A219:A248"/>
    <mergeCell ref="A249:A279"/>
    <mergeCell ref="A280:A310"/>
    <mergeCell ref="B378:C378"/>
    <mergeCell ref="B379:C379"/>
    <mergeCell ref="B380:C380"/>
    <mergeCell ref="A311:A339"/>
    <mergeCell ref="A340:A370"/>
    <mergeCell ref="B375:D375"/>
  </mergeCells>
  <phoneticPr fontId="1"/>
  <conditionalFormatting sqref="M5:M336 M338:M370">
    <cfRule type="containsText" dxfId="1355" priority="2948" operator="containsText" text="エラー">
      <formula>NOT(ISERROR(SEARCH("エラー",M5)))</formula>
    </cfRule>
  </conditionalFormatting>
  <conditionalFormatting sqref="AN5:AN336 AN338:AN370">
    <cfRule type="containsText" dxfId="1354" priority="2947" operator="containsText" text="支援員がいません">
      <formula>NOT(ISERROR(SEARCH("支援員がいません",AN5)))</formula>
    </cfRule>
  </conditionalFormatting>
  <conditionalFormatting sqref="M376:R376">
    <cfRule type="expression" dxfId="1353" priority="2944">
      <formula>OR($D$378&gt;0,$D$379&gt;0)</formula>
    </cfRule>
  </conditionalFormatting>
  <conditionalFormatting sqref="AR5:AR336 AR338:AR370">
    <cfRule type="containsText" dxfId="1352" priority="2943" operator="containsText" text="児童数が入力されていません！">
      <formula>NOT(ISERROR(SEARCH("児童数が入力されていません！",AR5)))</formula>
    </cfRule>
  </conditionalFormatting>
  <conditionalFormatting sqref="K371">
    <cfRule type="containsText" dxfId="1351" priority="2942" operator="containsText" text="エラーがあります。エラー欄を確認してください">
      <formula>NOT(ISERROR(SEARCH("エラーがあります。エラー欄を確認してください",K371)))</formula>
    </cfRule>
  </conditionalFormatting>
  <conditionalFormatting sqref="M377">
    <cfRule type="expression" dxfId="1350" priority="2940">
      <formula>COUNTIF(AR5:AR370, "児童数が入力されていません！")&gt;0</formula>
    </cfRule>
  </conditionalFormatting>
  <conditionalFormatting sqref="M337">
    <cfRule type="containsText" dxfId="1349" priority="2931" operator="containsText" text="エラー">
      <formula>NOT(ISERROR(SEARCH("エラー",M337)))</formula>
    </cfRule>
  </conditionalFormatting>
  <conditionalFormatting sqref="AN337">
    <cfRule type="containsText" dxfId="1348" priority="2930" operator="containsText" text="支援員がいません">
      <formula>NOT(ISERROR(SEARCH("支援員がいません",AN337)))</formula>
    </cfRule>
  </conditionalFormatting>
  <conditionalFormatting sqref="AR337">
    <cfRule type="containsText" dxfId="1347" priority="2929" operator="containsText" text="児童数が入力されていません！">
      <formula>NOT(ISERROR(SEARCH("児童数が入力されていません！",AR337)))</formula>
    </cfRule>
  </conditionalFormatting>
  <conditionalFormatting sqref="N377:R377">
    <cfRule type="expression" dxfId="1346" priority="2959">
      <formula>COUNTIF(AS5:AS371, "児童数が入力されていません！")&gt;0</formula>
    </cfRule>
  </conditionalFormatting>
  <conditionalFormatting sqref="D48 D112 D118 D125 D132 D153:D154 D160 D167 D181 D221:D223 D322 D5:D20 D37:D41 D137:D146 D277:D287">
    <cfRule type="containsText" dxfId="1345" priority="1561" operator="containsText" text="土日祝長期：開所とみなす">
      <formula>NOT(ISERROR(SEARCH("土日祝長期：開所とみなす",D5)))</formula>
    </cfRule>
    <cfRule type="containsText" dxfId="1344" priority="1562" operator="containsText" text="平日：開所とみなす">
      <formula>NOT(ISERROR(SEARCH("平日：開所とみなす",D5)))</formula>
    </cfRule>
    <cfRule type="containsText" dxfId="1343" priority="1563" operator="containsText" text="長期休暇">
      <formula>NOT(ISERROR(SEARCH("長期休暇",D5)))</formula>
    </cfRule>
    <cfRule type="containsText" dxfId="1342" priority="1564" operator="containsText" text="平日">
      <formula>NOT(ISERROR(SEARCH("平日",D5)))</formula>
    </cfRule>
    <cfRule type="containsText" dxfId="1341" priority="1565" operator="containsText" text="平日">
      <formula>NOT(ISERROR(SEARCH("平日",D5)))</formula>
    </cfRule>
    <cfRule type="containsText" dxfId="1340" priority="1566" operator="containsText" text="休所">
      <formula>NOT(ISERROR(SEARCH("休所",D5)))</formula>
    </cfRule>
    <cfRule type="containsText" dxfId="1339" priority="1567" operator="containsText" text="休所">
      <formula>NOT(ISERROR(SEARCH("休所",D5)))</formula>
    </cfRule>
    <cfRule type="containsText" dxfId="1338" priority="1568" operator="containsText" text="長期休暇">
      <formula>NOT(ISERROR(SEARCH("長期休暇",D5)))</formula>
    </cfRule>
  </conditionalFormatting>
  <conditionalFormatting sqref="D21:D32">
    <cfRule type="containsText" dxfId="1337" priority="1553" operator="containsText" text="土日祝長期：開所とみなす">
      <formula>NOT(ISERROR(SEARCH("土日祝長期：開所とみなす",D21)))</formula>
    </cfRule>
    <cfRule type="containsText" dxfId="1336" priority="1554" operator="containsText" text="平日：開所とみなす">
      <formula>NOT(ISERROR(SEARCH("平日：開所とみなす",D21)))</formula>
    </cfRule>
    <cfRule type="containsText" dxfId="1335" priority="1555" operator="containsText" text="長期休暇">
      <formula>NOT(ISERROR(SEARCH("長期休暇",D21)))</formula>
    </cfRule>
    <cfRule type="containsText" dxfId="1334" priority="1556" operator="containsText" text="平日">
      <formula>NOT(ISERROR(SEARCH("平日",D21)))</formula>
    </cfRule>
    <cfRule type="containsText" dxfId="1333" priority="1557" operator="containsText" text="平日">
      <formula>NOT(ISERROR(SEARCH("平日",D21)))</formula>
    </cfRule>
    <cfRule type="containsText" dxfId="1332" priority="1558" operator="containsText" text="休所">
      <formula>NOT(ISERROR(SEARCH("休所",D21)))</formula>
    </cfRule>
    <cfRule type="containsText" dxfId="1331" priority="1559" operator="containsText" text="休所">
      <formula>NOT(ISERROR(SEARCH("休所",D21)))</formula>
    </cfRule>
    <cfRule type="containsText" dxfId="1330" priority="1560" operator="containsText" text="長期休暇">
      <formula>NOT(ISERROR(SEARCH("長期休暇",D21)))</formula>
    </cfRule>
  </conditionalFormatting>
  <conditionalFormatting sqref="D33:D34">
    <cfRule type="containsText" dxfId="1329" priority="1545" operator="containsText" text="土日祝長期：開所とみなす">
      <formula>NOT(ISERROR(SEARCH("土日祝長期：開所とみなす",D33)))</formula>
    </cfRule>
    <cfRule type="containsText" dxfId="1328" priority="1546" operator="containsText" text="平日：開所とみなす">
      <formula>NOT(ISERROR(SEARCH("平日：開所とみなす",D33)))</formula>
    </cfRule>
    <cfRule type="containsText" dxfId="1327" priority="1547" operator="containsText" text="長期休暇">
      <formula>NOT(ISERROR(SEARCH("長期休暇",D33)))</formula>
    </cfRule>
    <cfRule type="containsText" dxfId="1326" priority="1548" operator="containsText" text="平日">
      <formula>NOT(ISERROR(SEARCH("平日",D33)))</formula>
    </cfRule>
    <cfRule type="containsText" dxfId="1325" priority="1549" operator="containsText" text="平日">
      <formula>NOT(ISERROR(SEARCH("平日",D33)))</formula>
    </cfRule>
    <cfRule type="containsText" dxfId="1324" priority="1550" operator="containsText" text="休所">
      <formula>NOT(ISERROR(SEARCH("休所",D33)))</formula>
    </cfRule>
    <cfRule type="containsText" dxfId="1323" priority="1551" operator="containsText" text="休所">
      <formula>NOT(ISERROR(SEARCH("休所",D33)))</formula>
    </cfRule>
    <cfRule type="containsText" dxfId="1322" priority="1552" operator="containsText" text="長期休暇">
      <formula>NOT(ISERROR(SEARCH("長期休暇",D33)))</formula>
    </cfRule>
  </conditionalFormatting>
  <conditionalFormatting sqref="D35">
    <cfRule type="containsText" dxfId="1321" priority="1537" operator="containsText" text="土日祝長期：開所とみなす">
      <formula>NOT(ISERROR(SEARCH("土日祝長期：開所とみなす",D35)))</formula>
    </cfRule>
    <cfRule type="containsText" dxfId="1320" priority="1538" operator="containsText" text="平日：開所とみなす">
      <formula>NOT(ISERROR(SEARCH("平日：開所とみなす",D35)))</formula>
    </cfRule>
    <cfRule type="containsText" dxfId="1319" priority="1539" operator="containsText" text="長期休暇">
      <formula>NOT(ISERROR(SEARCH("長期休暇",D35)))</formula>
    </cfRule>
    <cfRule type="containsText" dxfId="1318" priority="1540" operator="containsText" text="平日">
      <formula>NOT(ISERROR(SEARCH("平日",D35)))</formula>
    </cfRule>
    <cfRule type="containsText" dxfId="1317" priority="1541" operator="containsText" text="平日">
      <formula>NOT(ISERROR(SEARCH("平日",D35)))</formula>
    </cfRule>
    <cfRule type="containsText" dxfId="1316" priority="1542" operator="containsText" text="休所">
      <formula>NOT(ISERROR(SEARCH("休所",D35)))</formula>
    </cfRule>
    <cfRule type="containsText" dxfId="1315" priority="1543" operator="containsText" text="休所">
      <formula>NOT(ISERROR(SEARCH("休所",D35)))</formula>
    </cfRule>
    <cfRule type="containsText" dxfId="1314" priority="1544" operator="containsText" text="長期休暇">
      <formula>NOT(ISERROR(SEARCH("長期休暇",D35)))</formula>
    </cfRule>
  </conditionalFormatting>
  <conditionalFormatting sqref="D36">
    <cfRule type="containsText" dxfId="1313" priority="1529" operator="containsText" text="土日祝長期：開所とみなす">
      <formula>NOT(ISERROR(SEARCH("土日祝長期：開所とみなす",D36)))</formula>
    </cfRule>
    <cfRule type="containsText" dxfId="1312" priority="1530" operator="containsText" text="平日：開所とみなす">
      <formula>NOT(ISERROR(SEARCH("平日：開所とみなす",D36)))</formula>
    </cfRule>
    <cfRule type="containsText" dxfId="1311" priority="1531" operator="containsText" text="長期休暇">
      <formula>NOT(ISERROR(SEARCH("長期休暇",D36)))</formula>
    </cfRule>
    <cfRule type="containsText" dxfId="1310" priority="1532" operator="containsText" text="平日">
      <formula>NOT(ISERROR(SEARCH("平日",D36)))</formula>
    </cfRule>
    <cfRule type="containsText" dxfId="1309" priority="1533" operator="containsText" text="平日">
      <formula>NOT(ISERROR(SEARCH("平日",D36)))</formula>
    </cfRule>
    <cfRule type="containsText" dxfId="1308" priority="1534" operator="containsText" text="休所">
      <formula>NOT(ISERROR(SEARCH("休所",D36)))</formula>
    </cfRule>
    <cfRule type="containsText" dxfId="1307" priority="1535" operator="containsText" text="休所">
      <formula>NOT(ISERROR(SEARCH("休所",D36)))</formula>
    </cfRule>
    <cfRule type="containsText" dxfId="1306" priority="1536" operator="containsText" text="長期休暇">
      <formula>NOT(ISERROR(SEARCH("長期休暇",D36)))</formula>
    </cfRule>
  </conditionalFormatting>
  <conditionalFormatting sqref="D42:D46">
    <cfRule type="containsText" dxfId="1305" priority="1521" operator="containsText" text="土日祝長期：開所とみなす">
      <formula>NOT(ISERROR(SEARCH("土日祝長期：開所とみなす",D42)))</formula>
    </cfRule>
    <cfRule type="containsText" dxfId="1304" priority="1522" operator="containsText" text="平日：開所とみなす">
      <formula>NOT(ISERROR(SEARCH("平日：開所とみなす",D42)))</formula>
    </cfRule>
    <cfRule type="containsText" dxfId="1303" priority="1523" operator="containsText" text="長期休暇">
      <formula>NOT(ISERROR(SEARCH("長期休暇",D42)))</formula>
    </cfRule>
    <cfRule type="containsText" dxfId="1302" priority="1524" operator="containsText" text="平日">
      <formula>NOT(ISERROR(SEARCH("平日",D42)))</formula>
    </cfRule>
    <cfRule type="containsText" dxfId="1301" priority="1525" operator="containsText" text="平日">
      <formula>NOT(ISERROR(SEARCH("平日",D42)))</formula>
    </cfRule>
    <cfRule type="containsText" dxfId="1300" priority="1526" operator="containsText" text="休所">
      <formula>NOT(ISERROR(SEARCH("休所",D42)))</formula>
    </cfRule>
    <cfRule type="containsText" dxfId="1299" priority="1527" operator="containsText" text="休所">
      <formula>NOT(ISERROR(SEARCH("休所",D42)))</formula>
    </cfRule>
    <cfRule type="containsText" dxfId="1298" priority="1528" operator="containsText" text="長期休暇">
      <formula>NOT(ISERROR(SEARCH("長期休暇",D42)))</formula>
    </cfRule>
  </conditionalFormatting>
  <conditionalFormatting sqref="D55">
    <cfRule type="containsText" dxfId="1297" priority="1505" operator="containsText" text="土日祝長期：開所とみなす">
      <formula>NOT(ISERROR(SEARCH("土日祝長期：開所とみなす",D55)))</formula>
    </cfRule>
    <cfRule type="containsText" dxfId="1296" priority="1506" operator="containsText" text="平日：開所とみなす">
      <formula>NOT(ISERROR(SEARCH("平日：開所とみなす",D55)))</formula>
    </cfRule>
    <cfRule type="containsText" dxfId="1295" priority="1507" operator="containsText" text="長期休暇">
      <formula>NOT(ISERROR(SEARCH("長期休暇",D55)))</formula>
    </cfRule>
    <cfRule type="containsText" dxfId="1294" priority="1508" operator="containsText" text="平日">
      <formula>NOT(ISERROR(SEARCH("平日",D55)))</formula>
    </cfRule>
    <cfRule type="containsText" dxfId="1293" priority="1509" operator="containsText" text="平日">
      <formula>NOT(ISERROR(SEARCH("平日",D55)))</formula>
    </cfRule>
    <cfRule type="containsText" dxfId="1292" priority="1510" operator="containsText" text="休所">
      <formula>NOT(ISERROR(SEARCH("休所",D55)))</formula>
    </cfRule>
    <cfRule type="containsText" dxfId="1291" priority="1511" operator="containsText" text="休所">
      <formula>NOT(ISERROR(SEARCH("休所",D55)))</formula>
    </cfRule>
    <cfRule type="containsText" dxfId="1290" priority="1512" operator="containsText" text="長期休暇">
      <formula>NOT(ISERROR(SEARCH("長期休暇",D55)))</formula>
    </cfRule>
  </conditionalFormatting>
  <conditionalFormatting sqref="D49:D53">
    <cfRule type="containsText" dxfId="1289" priority="1497" operator="containsText" text="土日祝長期：開所とみなす">
      <formula>NOT(ISERROR(SEARCH("土日祝長期：開所とみなす",D49)))</formula>
    </cfRule>
    <cfRule type="containsText" dxfId="1288" priority="1498" operator="containsText" text="平日：開所とみなす">
      <formula>NOT(ISERROR(SEARCH("平日：開所とみなす",D49)))</formula>
    </cfRule>
    <cfRule type="containsText" dxfId="1287" priority="1499" operator="containsText" text="長期休暇">
      <formula>NOT(ISERROR(SEARCH("長期休暇",D49)))</formula>
    </cfRule>
    <cfRule type="containsText" dxfId="1286" priority="1500" operator="containsText" text="平日">
      <formula>NOT(ISERROR(SEARCH("平日",D49)))</formula>
    </cfRule>
    <cfRule type="containsText" dxfId="1285" priority="1501" operator="containsText" text="平日">
      <formula>NOT(ISERROR(SEARCH("平日",D49)))</formula>
    </cfRule>
    <cfRule type="containsText" dxfId="1284" priority="1502" operator="containsText" text="休所">
      <formula>NOT(ISERROR(SEARCH("休所",D49)))</formula>
    </cfRule>
    <cfRule type="containsText" dxfId="1283" priority="1503" operator="containsText" text="休所">
      <formula>NOT(ISERROR(SEARCH("休所",D49)))</formula>
    </cfRule>
    <cfRule type="containsText" dxfId="1282" priority="1504" operator="containsText" text="長期休暇">
      <formula>NOT(ISERROR(SEARCH("長期休暇",D49)))</formula>
    </cfRule>
  </conditionalFormatting>
  <conditionalFormatting sqref="D62">
    <cfRule type="containsText" dxfId="1281" priority="1481" operator="containsText" text="土日祝長期：開所とみなす">
      <formula>NOT(ISERROR(SEARCH("土日祝長期：開所とみなす",D62)))</formula>
    </cfRule>
    <cfRule type="containsText" dxfId="1280" priority="1482" operator="containsText" text="平日：開所とみなす">
      <formula>NOT(ISERROR(SEARCH("平日：開所とみなす",D62)))</formula>
    </cfRule>
    <cfRule type="containsText" dxfId="1279" priority="1483" operator="containsText" text="長期休暇">
      <formula>NOT(ISERROR(SEARCH("長期休暇",D62)))</formula>
    </cfRule>
    <cfRule type="containsText" dxfId="1278" priority="1484" operator="containsText" text="平日">
      <formula>NOT(ISERROR(SEARCH("平日",D62)))</formula>
    </cfRule>
    <cfRule type="containsText" dxfId="1277" priority="1485" operator="containsText" text="平日">
      <formula>NOT(ISERROR(SEARCH("平日",D62)))</formula>
    </cfRule>
    <cfRule type="containsText" dxfId="1276" priority="1486" operator="containsText" text="休所">
      <formula>NOT(ISERROR(SEARCH("休所",D62)))</formula>
    </cfRule>
    <cfRule type="containsText" dxfId="1275" priority="1487" operator="containsText" text="休所">
      <formula>NOT(ISERROR(SEARCH("休所",D62)))</formula>
    </cfRule>
    <cfRule type="containsText" dxfId="1274" priority="1488" operator="containsText" text="長期休暇">
      <formula>NOT(ISERROR(SEARCH("長期休暇",D62)))</formula>
    </cfRule>
  </conditionalFormatting>
  <conditionalFormatting sqref="D56:D60">
    <cfRule type="containsText" dxfId="1273" priority="1473" operator="containsText" text="土日祝長期：開所とみなす">
      <formula>NOT(ISERROR(SEARCH("土日祝長期：開所とみなす",D56)))</formula>
    </cfRule>
    <cfRule type="containsText" dxfId="1272" priority="1474" operator="containsText" text="平日：開所とみなす">
      <formula>NOT(ISERROR(SEARCH("平日：開所とみなす",D56)))</formula>
    </cfRule>
    <cfRule type="containsText" dxfId="1271" priority="1475" operator="containsText" text="長期休暇">
      <formula>NOT(ISERROR(SEARCH("長期休暇",D56)))</formula>
    </cfRule>
    <cfRule type="containsText" dxfId="1270" priority="1476" operator="containsText" text="平日">
      <formula>NOT(ISERROR(SEARCH("平日",D56)))</formula>
    </cfRule>
    <cfRule type="containsText" dxfId="1269" priority="1477" operator="containsText" text="平日">
      <formula>NOT(ISERROR(SEARCH("平日",D56)))</formula>
    </cfRule>
    <cfRule type="containsText" dxfId="1268" priority="1478" operator="containsText" text="休所">
      <formula>NOT(ISERROR(SEARCH("休所",D56)))</formula>
    </cfRule>
    <cfRule type="containsText" dxfId="1267" priority="1479" operator="containsText" text="休所">
      <formula>NOT(ISERROR(SEARCH("休所",D56)))</formula>
    </cfRule>
    <cfRule type="containsText" dxfId="1266" priority="1480" operator="containsText" text="長期休暇">
      <formula>NOT(ISERROR(SEARCH("長期休暇",D56)))</formula>
    </cfRule>
  </conditionalFormatting>
  <conditionalFormatting sqref="D69">
    <cfRule type="containsText" dxfId="1265" priority="1457" operator="containsText" text="土日祝長期：開所とみなす">
      <formula>NOT(ISERROR(SEARCH("土日祝長期：開所とみなす",D69)))</formula>
    </cfRule>
    <cfRule type="containsText" dxfId="1264" priority="1458" operator="containsText" text="平日：開所とみなす">
      <formula>NOT(ISERROR(SEARCH("平日：開所とみなす",D69)))</formula>
    </cfRule>
    <cfRule type="containsText" dxfId="1263" priority="1459" operator="containsText" text="長期休暇">
      <formula>NOT(ISERROR(SEARCH("長期休暇",D69)))</formula>
    </cfRule>
    <cfRule type="containsText" dxfId="1262" priority="1460" operator="containsText" text="平日">
      <formula>NOT(ISERROR(SEARCH("平日",D69)))</formula>
    </cfRule>
    <cfRule type="containsText" dxfId="1261" priority="1461" operator="containsText" text="平日">
      <formula>NOT(ISERROR(SEARCH("平日",D69)))</formula>
    </cfRule>
    <cfRule type="containsText" dxfId="1260" priority="1462" operator="containsText" text="休所">
      <formula>NOT(ISERROR(SEARCH("休所",D69)))</formula>
    </cfRule>
    <cfRule type="containsText" dxfId="1259" priority="1463" operator="containsText" text="休所">
      <formula>NOT(ISERROR(SEARCH("休所",D69)))</formula>
    </cfRule>
    <cfRule type="containsText" dxfId="1258" priority="1464" operator="containsText" text="長期休暇">
      <formula>NOT(ISERROR(SEARCH("長期休暇",D69)))</formula>
    </cfRule>
  </conditionalFormatting>
  <conditionalFormatting sqref="D63:D67">
    <cfRule type="containsText" dxfId="1257" priority="1449" operator="containsText" text="土日祝長期：開所とみなす">
      <formula>NOT(ISERROR(SEARCH("土日祝長期：開所とみなす",D63)))</formula>
    </cfRule>
    <cfRule type="containsText" dxfId="1256" priority="1450" operator="containsText" text="平日：開所とみなす">
      <formula>NOT(ISERROR(SEARCH("平日：開所とみなす",D63)))</formula>
    </cfRule>
    <cfRule type="containsText" dxfId="1255" priority="1451" operator="containsText" text="長期休暇">
      <formula>NOT(ISERROR(SEARCH("長期休暇",D63)))</formula>
    </cfRule>
    <cfRule type="containsText" dxfId="1254" priority="1452" operator="containsText" text="平日">
      <formula>NOT(ISERROR(SEARCH("平日",D63)))</formula>
    </cfRule>
    <cfRule type="containsText" dxfId="1253" priority="1453" operator="containsText" text="平日">
      <formula>NOT(ISERROR(SEARCH("平日",D63)))</formula>
    </cfRule>
    <cfRule type="containsText" dxfId="1252" priority="1454" operator="containsText" text="休所">
      <formula>NOT(ISERROR(SEARCH("休所",D63)))</formula>
    </cfRule>
    <cfRule type="containsText" dxfId="1251" priority="1455" operator="containsText" text="休所">
      <formula>NOT(ISERROR(SEARCH("休所",D63)))</formula>
    </cfRule>
    <cfRule type="containsText" dxfId="1250" priority="1456" operator="containsText" text="長期休暇">
      <formula>NOT(ISERROR(SEARCH("長期休暇",D63)))</formula>
    </cfRule>
  </conditionalFormatting>
  <conditionalFormatting sqref="D76">
    <cfRule type="containsText" dxfId="1249" priority="1433" operator="containsText" text="土日祝長期：開所とみなす">
      <formula>NOT(ISERROR(SEARCH("土日祝長期：開所とみなす",D76)))</formula>
    </cfRule>
    <cfRule type="containsText" dxfId="1248" priority="1434" operator="containsText" text="平日：開所とみなす">
      <formula>NOT(ISERROR(SEARCH("平日：開所とみなす",D76)))</formula>
    </cfRule>
    <cfRule type="containsText" dxfId="1247" priority="1435" operator="containsText" text="長期休暇">
      <formula>NOT(ISERROR(SEARCH("長期休暇",D76)))</formula>
    </cfRule>
    <cfRule type="containsText" dxfId="1246" priority="1436" operator="containsText" text="平日">
      <formula>NOT(ISERROR(SEARCH("平日",D76)))</formula>
    </cfRule>
    <cfRule type="containsText" dxfId="1245" priority="1437" operator="containsText" text="平日">
      <formula>NOT(ISERROR(SEARCH("平日",D76)))</formula>
    </cfRule>
    <cfRule type="containsText" dxfId="1244" priority="1438" operator="containsText" text="休所">
      <formula>NOT(ISERROR(SEARCH("休所",D76)))</formula>
    </cfRule>
    <cfRule type="containsText" dxfId="1243" priority="1439" operator="containsText" text="休所">
      <formula>NOT(ISERROR(SEARCH("休所",D76)))</formula>
    </cfRule>
    <cfRule type="containsText" dxfId="1242" priority="1440" operator="containsText" text="長期休暇">
      <formula>NOT(ISERROR(SEARCH("長期休暇",D76)))</formula>
    </cfRule>
  </conditionalFormatting>
  <conditionalFormatting sqref="D70:D74">
    <cfRule type="containsText" dxfId="1241" priority="1425" operator="containsText" text="土日祝長期：開所とみなす">
      <formula>NOT(ISERROR(SEARCH("土日祝長期：開所とみなす",D70)))</formula>
    </cfRule>
    <cfRule type="containsText" dxfId="1240" priority="1426" operator="containsText" text="平日：開所とみなす">
      <formula>NOT(ISERROR(SEARCH("平日：開所とみなす",D70)))</formula>
    </cfRule>
    <cfRule type="containsText" dxfId="1239" priority="1427" operator="containsText" text="長期休暇">
      <formula>NOT(ISERROR(SEARCH("長期休暇",D70)))</formula>
    </cfRule>
    <cfRule type="containsText" dxfId="1238" priority="1428" operator="containsText" text="平日">
      <formula>NOT(ISERROR(SEARCH("平日",D70)))</formula>
    </cfRule>
    <cfRule type="containsText" dxfId="1237" priority="1429" operator="containsText" text="平日">
      <formula>NOT(ISERROR(SEARCH("平日",D70)))</formula>
    </cfRule>
    <cfRule type="containsText" dxfId="1236" priority="1430" operator="containsText" text="休所">
      <formula>NOT(ISERROR(SEARCH("休所",D70)))</formula>
    </cfRule>
    <cfRule type="containsText" dxfId="1235" priority="1431" operator="containsText" text="休所">
      <formula>NOT(ISERROR(SEARCH("休所",D70)))</formula>
    </cfRule>
    <cfRule type="containsText" dxfId="1234" priority="1432" operator="containsText" text="長期休暇">
      <formula>NOT(ISERROR(SEARCH("長期休暇",D70)))</formula>
    </cfRule>
  </conditionalFormatting>
  <conditionalFormatting sqref="D83">
    <cfRule type="containsText" dxfId="1233" priority="1409" operator="containsText" text="土日祝長期：開所とみなす">
      <formula>NOT(ISERROR(SEARCH("土日祝長期：開所とみなす",D83)))</formula>
    </cfRule>
    <cfRule type="containsText" dxfId="1232" priority="1410" operator="containsText" text="平日：開所とみなす">
      <formula>NOT(ISERROR(SEARCH("平日：開所とみなす",D83)))</formula>
    </cfRule>
    <cfRule type="containsText" dxfId="1231" priority="1411" operator="containsText" text="長期休暇">
      <formula>NOT(ISERROR(SEARCH("長期休暇",D83)))</formula>
    </cfRule>
    <cfRule type="containsText" dxfId="1230" priority="1412" operator="containsText" text="平日">
      <formula>NOT(ISERROR(SEARCH("平日",D83)))</formula>
    </cfRule>
    <cfRule type="containsText" dxfId="1229" priority="1413" operator="containsText" text="平日">
      <formula>NOT(ISERROR(SEARCH("平日",D83)))</formula>
    </cfRule>
    <cfRule type="containsText" dxfId="1228" priority="1414" operator="containsText" text="休所">
      <formula>NOT(ISERROR(SEARCH("休所",D83)))</formula>
    </cfRule>
    <cfRule type="containsText" dxfId="1227" priority="1415" operator="containsText" text="休所">
      <formula>NOT(ISERROR(SEARCH("休所",D83)))</formula>
    </cfRule>
    <cfRule type="containsText" dxfId="1226" priority="1416" operator="containsText" text="長期休暇">
      <formula>NOT(ISERROR(SEARCH("長期休暇",D83)))</formula>
    </cfRule>
  </conditionalFormatting>
  <conditionalFormatting sqref="D77:D81">
    <cfRule type="containsText" dxfId="1225" priority="1401" operator="containsText" text="土日祝長期：開所とみなす">
      <formula>NOT(ISERROR(SEARCH("土日祝長期：開所とみなす",D77)))</formula>
    </cfRule>
    <cfRule type="containsText" dxfId="1224" priority="1402" operator="containsText" text="平日：開所とみなす">
      <formula>NOT(ISERROR(SEARCH("平日：開所とみなす",D77)))</formula>
    </cfRule>
    <cfRule type="containsText" dxfId="1223" priority="1403" operator="containsText" text="長期休暇">
      <formula>NOT(ISERROR(SEARCH("長期休暇",D77)))</formula>
    </cfRule>
    <cfRule type="containsText" dxfId="1222" priority="1404" operator="containsText" text="平日">
      <formula>NOT(ISERROR(SEARCH("平日",D77)))</formula>
    </cfRule>
    <cfRule type="containsText" dxfId="1221" priority="1405" operator="containsText" text="平日">
      <formula>NOT(ISERROR(SEARCH("平日",D77)))</formula>
    </cfRule>
    <cfRule type="containsText" dxfId="1220" priority="1406" operator="containsText" text="休所">
      <formula>NOT(ISERROR(SEARCH("休所",D77)))</formula>
    </cfRule>
    <cfRule type="containsText" dxfId="1219" priority="1407" operator="containsText" text="休所">
      <formula>NOT(ISERROR(SEARCH("休所",D77)))</formula>
    </cfRule>
    <cfRule type="containsText" dxfId="1218" priority="1408" operator="containsText" text="長期休暇">
      <formula>NOT(ISERROR(SEARCH("長期休暇",D77)))</formula>
    </cfRule>
  </conditionalFormatting>
  <conditionalFormatting sqref="D90">
    <cfRule type="containsText" dxfId="1217" priority="1385" operator="containsText" text="土日祝長期：開所とみなす">
      <formula>NOT(ISERROR(SEARCH("土日祝長期：開所とみなす",D90)))</formula>
    </cfRule>
    <cfRule type="containsText" dxfId="1216" priority="1386" operator="containsText" text="平日：開所とみなす">
      <formula>NOT(ISERROR(SEARCH("平日：開所とみなす",D90)))</formula>
    </cfRule>
    <cfRule type="containsText" dxfId="1215" priority="1387" operator="containsText" text="長期休暇">
      <formula>NOT(ISERROR(SEARCH("長期休暇",D90)))</formula>
    </cfRule>
    <cfRule type="containsText" dxfId="1214" priority="1388" operator="containsText" text="平日">
      <formula>NOT(ISERROR(SEARCH("平日",D90)))</formula>
    </cfRule>
    <cfRule type="containsText" dxfId="1213" priority="1389" operator="containsText" text="平日">
      <formula>NOT(ISERROR(SEARCH("平日",D90)))</formula>
    </cfRule>
    <cfRule type="containsText" dxfId="1212" priority="1390" operator="containsText" text="休所">
      <formula>NOT(ISERROR(SEARCH("休所",D90)))</formula>
    </cfRule>
    <cfRule type="containsText" dxfId="1211" priority="1391" operator="containsText" text="休所">
      <formula>NOT(ISERROR(SEARCH("休所",D90)))</formula>
    </cfRule>
    <cfRule type="containsText" dxfId="1210" priority="1392" operator="containsText" text="長期休暇">
      <formula>NOT(ISERROR(SEARCH("長期休暇",D90)))</formula>
    </cfRule>
  </conditionalFormatting>
  <conditionalFormatting sqref="D84:D88">
    <cfRule type="containsText" dxfId="1209" priority="1377" operator="containsText" text="土日祝長期：開所とみなす">
      <formula>NOT(ISERROR(SEARCH("土日祝長期：開所とみなす",D84)))</formula>
    </cfRule>
    <cfRule type="containsText" dxfId="1208" priority="1378" operator="containsText" text="平日：開所とみなす">
      <formula>NOT(ISERROR(SEARCH("平日：開所とみなす",D84)))</formula>
    </cfRule>
    <cfRule type="containsText" dxfId="1207" priority="1379" operator="containsText" text="長期休暇">
      <formula>NOT(ISERROR(SEARCH("長期休暇",D84)))</formula>
    </cfRule>
    <cfRule type="containsText" dxfId="1206" priority="1380" operator="containsText" text="平日">
      <formula>NOT(ISERROR(SEARCH("平日",D84)))</formula>
    </cfRule>
    <cfRule type="containsText" dxfId="1205" priority="1381" operator="containsText" text="平日">
      <formula>NOT(ISERROR(SEARCH("平日",D84)))</formula>
    </cfRule>
    <cfRule type="containsText" dxfId="1204" priority="1382" operator="containsText" text="休所">
      <formula>NOT(ISERROR(SEARCH("休所",D84)))</formula>
    </cfRule>
    <cfRule type="containsText" dxfId="1203" priority="1383" operator="containsText" text="休所">
      <formula>NOT(ISERROR(SEARCH("休所",D84)))</formula>
    </cfRule>
    <cfRule type="containsText" dxfId="1202" priority="1384" operator="containsText" text="長期休暇">
      <formula>NOT(ISERROR(SEARCH("長期休暇",D84)))</formula>
    </cfRule>
  </conditionalFormatting>
  <conditionalFormatting sqref="D97">
    <cfRule type="containsText" dxfId="1201" priority="1361" operator="containsText" text="土日祝長期：開所とみなす">
      <formula>NOT(ISERROR(SEARCH("土日祝長期：開所とみなす",D97)))</formula>
    </cfRule>
    <cfRule type="containsText" dxfId="1200" priority="1362" operator="containsText" text="平日：開所とみなす">
      <formula>NOT(ISERROR(SEARCH("平日：開所とみなす",D97)))</formula>
    </cfRule>
    <cfRule type="containsText" dxfId="1199" priority="1363" operator="containsText" text="長期休暇">
      <formula>NOT(ISERROR(SEARCH("長期休暇",D97)))</formula>
    </cfRule>
    <cfRule type="containsText" dxfId="1198" priority="1364" operator="containsText" text="平日">
      <formula>NOT(ISERROR(SEARCH("平日",D97)))</formula>
    </cfRule>
    <cfRule type="containsText" dxfId="1197" priority="1365" operator="containsText" text="平日">
      <formula>NOT(ISERROR(SEARCH("平日",D97)))</formula>
    </cfRule>
    <cfRule type="containsText" dxfId="1196" priority="1366" operator="containsText" text="休所">
      <formula>NOT(ISERROR(SEARCH("休所",D97)))</formula>
    </cfRule>
    <cfRule type="containsText" dxfId="1195" priority="1367" operator="containsText" text="休所">
      <formula>NOT(ISERROR(SEARCH("休所",D97)))</formula>
    </cfRule>
    <cfRule type="containsText" dxfId="1194" priority="1368" operator="containsText" text="長期休暇">
      <formula>NOT(ISERROR(SEARCH("長期休暇",D97)))</formula>
    </cfRule>
  </conditionalFormatting>
  <conditionalFormatting sqref="D91:D95">
    <cfRule type="containsText" dxfId="1193" priority="1353" operator="containsText" text="土日祝長期：開所とみなす">
      <formula>NOT(ISERROR(SEARCH("土日祝長期：開所とみなす",D91)))</formula>
    </cfRule>
    <cfRule type="containsText" dxfId="1192" priority="1354" operator="containsText" text="平日：開所とみなす">
      <formula>NOT(ISERROR(SEARCH("平日：開所とみなす",D91)))</formula>
    </cfRule>
    <cfRule type="containsText" dxfId="1191" priority="1355" operator="containsText" text="長期休暇">
      <formula>NOT(ISERROR(SEARCH("長期休暇",D91)))</formula>
    </cfRule>
    <cfRule type="containsText" dxfId="1190" priority="1356" operator="containsText" text="平日">
      <formula>NOT(ISERROR(SEARCH("平日",D91)))</formula>
    </cfRule>
    <cfRule type="containsText" dxfId="1189" priority="1357" operator="containsText" text="平日">
      <formula>NOT(ISERROR(SEARCH("平日",D91)))</formula>
    </cfRule>
    <cfRule type="containsText" dxfId="1188" priority="1358" operator="containsText" text="休所">
      <formula>NOT(ISERROR(SEARCH("休所",D91)))</formula>
    </cfRule>
    <cfRule type="containsText" dxfId="1187" priority="1359" operator="containsText" text="休所">
      <formula>NOT(ISERROR(SEARCH("休所",D91)))</formula>
    </cfRule>
    <cfRule type="containsText" dxfId="1186" priority="1360" operator="containsText" text="長期休暇">
      <formula>NOT(ISERROR(SEARCH("長期休暇",D91)))</formula>
    </cfRule>
  </conditionalFormatting>
  <conditionalFormatting sqref="D104">
    <cfRule type="containsText" dxfId="1185" priority="1337" operator="containsText" text="土日祝長期：開所とみなす">
      <formula>NOT(ISERROR(SEARCH("土日祝長期：開所とみなす",D104)))</formula>
    </cfRule>
    <cfRule type="containsText" dxfId="1184" priority="1338" operator="containsText" text="平日：開所とみなす">
      <formula>NOT(ISERROR(SEARCH("平日：開所とみなす",D104)))</formula>
    </cfRule>
    <cfRule type="containsText" dxfId="1183" priority="1339" operator="containsText" text="長期休暇">
      <formula>NOT(ISERROR(SEARCH("長期休暇",D104)))</formula>
    </cfRule>
    <cfRule type="containsText" dxfId="1182" priority="1340" operator="containsText" text="平日">
      <formula>NOT(ISERROR(SEARCH("平日",D104)))</formula>
    </cfRule>
    <cfRule type="containsText" dxfId="1181" priority="1341" operator="containsText" text="平日">
      <formula>NOT(ISERROR(SEARCH("平日",D104)))</formula>
    </cfRule>
    <cfRule type="containsText" dxfId="1180" priority="1342" operator="containsText" text="休所">
      <formula>NOT(ISERROR(SEARCH("休所",D104)))</formula>
    </cfRule>
    <cfRule type="containsText" dxfId="1179" priority="1343" operator="containsText" text="休所">
      <formula>NOT(ISERROR(SEARCH("休所",D104)))</formula>
    </cfRule>
    <cfRule type="containsText" dxfId="1178" priority="1344" operator="containsText" text="長期休暇">
      <formula>NOT(ISERROR(SEARCH("長期休暇",D104)))</formula>
    </cfRule>
  </conditionalFormatting>
  <conditionalFormatting sqref="D98:D102">
    <cfRule type="containsText" dxfId="1177" priority="1329" operator="containsText" text="土日祝長期：開所とみなす">
      <formula>NOT(ISERROR(SEARCH("土日祝長期：開所とみなす",D98)))</formula>
    </cfRule>
    <cfRule type="containsText" dxfId="1176" priority="1330" operator="containsText" text="平日：開所とみなす">
      <formula>NOT(ISERROR(SEARCH("平日：開所とみなす",D98)))</formula>
    </cfRule>
    <cfRule type="containsText" dxfId="1175" priority="1331" operator="containsText" text="長期休暇">
      <formula>NOT(ISERROR(SEARCH("長期休暇",D98)))</formula>
    </cfRule>
    <cfRule type="containsText" dxfId="1174" priority="1332" operator="containsText" text="平日">
      <formula>NOT(ISERROR(SEARCH("平日",D98)))</formula>
    </cfRule>
    <cfRule type="containsText" dxfId="1173" priority="1333" operator="containsText" text="平日">
      <formula>NOT(ISERROR(SEARCH("平日",D98)))</formula>
    </cfRule>
    <cfRule type="containsText" dxfId="1172" priority="1334" operator="containsText" text="休所">
      <formula>NOT(ISERROR(SEARCH("休所",D98)))</formula>
    </cfRule>
    <cfRule type="containsText" dxfId="1171" priority="1335" operator="containsText" text="休所">
      <formula>NOT(ISERROR(SEARCH("休所",D98)))</formula>
    </cfRule>
    <cfRule type="containsText" dxfId="1170" priority="1336" operator="containsText" text="長期休暇">
      <formula>NOT(ISERROR(SEARCH("長期休暇",D98)))</formula>
    </cfRule>
  </conditionalFormatting>
  <conditionalFormatting sqref="D111">
    <cfRule type="containsText" dxfId="1169" priority="1313" operator="containsText" text="土日祝長期：開所とみなす">
      <formula>NOT(ISERROR(SEARCH("土日祝長期：開所とみなす",D111)))</formula>
    </cfRule>
    <cfRule type="containsText" dxfId="1168" priority="1314" operator="containsText" text="平日：開所とみなす">
      <formula>NOT(ISERROR(SEARCH("平日：開所とみなす",D111)))</formula>
    </cfRule>
    <cfRule type="containsText" dxfId="1167" priority="1315" operator="containsText" text="長期休暇">
      <formula>NOT(ISERROR(SEARCH("長期休暇",D111)))</formula>
    </cfRule>
    <cfRule type="containsText" dxfId="1166" priority="1316" operator="containsText" text="平日">
      <formula>NOT(ISERROR(SEARCH("平日",D111)))</formula>
    </cfRule>
    <cfRule type="containsText" dxfId="1165" priority="1317" operator="containsText" text="平日">
      <formula>NOT(ISERROR(SEARCH("平日",D111)))</formula>
    </cfRule>
    <cfRule type="containsText" dxfId="1164" priority="1318" operator="containsText" text="休所">
      <formula>NOT(ISERROR(SEARCH("休所",D111)))</formula>
    </cfRule>
    <cfRule type="containsText" dxfId="1163" priority="1319" operator="containsText" text="休所">
      <formula>NOT(ISERROR(SEARCH("休所",D111)))</formula>
    </cfRule>
    <cfRule type="containsText" dxfId="1162" priority="1320" operator="containsText" text="長期休暇">
      <formula>NOT(ISERROR(SEARCH("長期休暇",D111)))</formula>
    </cfRule>
  </conditionalFormatting>
  <conditionalFormatting sqref="D113:D115">
    <cfRule type="containsText" dxfId="1161" priority="1289" operator="containsText" text="土日祝長期：開所とみなす">
      <formula>NOT(ISERROR(SEARCH("土日祝長期：開所とみなす",D113)))</formula>
    </cfRule>
    <cfRule type="containsText" dxfId="1160" priority="1290" operator="containsText" text="平日：開所とみなす">
      <formula>NOT(ISERROR(SEARCH("平日：開所とみなす",D113)))</formula>
    </cfRule>
    <cfRule type="containsText" dxfId="1159" priority="1291" operator="containsText" text="長期休暇">
      <formula>NOT(ISERROR(SEARCH("長期休暇",D113)))</formula>
    </cfRule>
    <cfRule type="containsText" dxfId="1158" priority="1292" operator="containsText" text="平日">
      <formula>NOT(ISERROR(SEARCH("平日",D113)))</formula>
    </cfRule>
    <cfRule type="containsText" dxfId="1157" priority="1293" operator="containsText" text="平日">
      <formula>NOT(ISERROR(SEARCH("平日",D113)))</formula>
    </cfRule>
    <cfRule type="containsText" dxfId="1156" priority="1294" operator="containsText" text="休所">
      <formula>NOT(ISERROR(SEARCH("休所",D113)))</formula>
    </cfRule>
    <cfRule type="containsText" dxfId="1155" priority="1295" operator="containsText" text="休所">
      <formula>NOT(ISERROR(SEARCH("休所",D113)))</formula>
    </cfRule>
    <cfRule type="containsText" dxfId="1154" priority="1296" operator="containsText" text="長期休暇">
      <formula>NOT(ISERROR(SEARCH("長期休暇",D113)))</formula>
    </cfRule>
  </conditionalFormatting>
  <conditionalFormatting sqref="D126">
    <cfRule type="containsText" dxfId="1153" priority="1265" operator="containsText" text="土日祝長期：開所とみなす">
      <formula>NOT(ISERROR(SEARCH("土日祝長期：開所とみなす",D126)))</formula>
    </cfRule>
    <cfRule type="containsText" dxfId="1152" priority="1266" operator="containsText" text="平日：開所とみなす">
      <formula>NOT(ISERROR(SEARCH("平日：開所とみなす",D126)))</formula>
    </cfRule>
    <cfRule type="containsText" dxfId="1151" priority="1267" operator="containsText" text="長期休暇">
      <formula>NOT(ISERROR(SEARCH("長期休暇",D126)))</formula>
    </cfRule>
    <cfRule type="containsText" dxfId="1150" priority="1268" operator="containsText" text="平日">
      <formula>NOT(ISERROR(SEARCH("平日",D126)))</formula>
    </cfRule>
    <cfRule type="containsText" dxfId="1149" priority="1269" operator="containsText" text="平日">
      <formula>NOT(ISERROR(SEARCH("平日",D126)))</formula>
    </cfRule>
    <cfRule type="containsText" dxfId="1148" priority="1270" operator="containsText" text="休所">
      <formula>NOT(ISERROR(SEARCH("休所",D126)))</formula>
    </cfRule>
    <cfRule type="containsText" dxfId="1147" priority="1271" operator="containsText" text="休所">
      <formula>NOT(ISERROR(SEARCH("休所",D126)))</formula>
    </cfRule>
    <cfRule type="containsText" dxfId="1146" priority="1272" operator="containsText" text="長期休暇">
      <formula>NOT(ISERROR(SEARCH("長期休暇",D126)))</formula>
    </cfRule>
  </conditionalFormatting>
  <conditionalFormatting sqref="D127:D130">
    <cfRule type="containsText" dxfId="1145" priority="1257" operator="containsText" text="土日祝長期：開所とみなす">
      <formula>NOT(ISERROR(SEARCH("土日祝長期：開所とみなす",D127)))</formula>
    </cfRule>
    <cfRule type="containsText" dxfId="1144" priority="1258" operator="containsText" text="平日：開所とみなす">
      <formula>NOT(ISERROR(SEARCH("平日：開所とみなす",D127)))</formula>
    </cfRule>
    <cfRule type="containsText" dxfId="1143" priority="1259" operator="containsText" text="長期休暇">
      <formula>NOT(ISERROR(SEARCH("長期休暇",D127)))</formula>
    </cfRule>
    <cfRule type="containsText" dxfId="1142" priority="1260" operator="containsText" text="平日">
      <formula>NOT(ISERROR(SEARCH("平日",D127)))</formula>
    </cfRule>
    <cfRule type="containsText" dxfId="1141" priority="1261" operator="containsText" text="平日">
      <formula>NOT(ISERROR(SEARCH("平日",D127)))</formula>
    </cfRule>
    <cfRule type="containsText" dxfId="1140" priority="1262" operator="containsText" text="休所">
      <formula>NOT(ISERROR(SEARCH("休所",D127)))</formula>
    </cfRule>
    <cfRule type="containsText" dxfId="1139" priority="1263" operator="containsText" text="休所">
      <formula>NOT(ISERROR(SEARCH("休所",D127)))</formula>
    </cfRule>
    <cfRule type="containsText" dxfId="1138" priority="1264" operator="containsText" text="長期休暇">
      <formula>NOT(ISERROR(SEARCH("長期休暇",D127)))</formula>
    </cfRule>
  </conditionalFormatting>
  <conditionalFormatting sqref="D131">
    <cfRule type="containsText" dxfId="1137" priority="1249" operator="containsText" text="土日祝長期：開所とみなす">
      <formula>NOT(ISERROR(SEARCH("土日祝長期：開所とみなす",D131)))</formula>
    </cfRule>
    <cfRule type="containsText" dxfId="1136" priority="1250" operator="containsText" text="平日：開所とみなす">
      <formula>NOT(ISERROR(SEARCH("平日：開所とみなす",D131)))</formula>
    </cfRule>
    <cfRule type="containsText" dxfId="1135" priority="1251" operator="containsText" text="長期休暇">
      <formula>NOT(ISERROR(SEARCH("長期休暇",D131)))</formula>
    </cfRule>
    <cfRule type="containsText" dxfId="1134" priority="1252" operator="containsText" text="平日">
      <formula>NOT(ISERROR(SEARCH("平日",D131)))</formula>
    </cfRule>
    <cfRule type="containsText" dxfId="1133" priority="1253" operator="containsText" text="平日">
      <formula>NOT(ISERROR(SEARCH("平日",D131)))</formula>
    </cfRule>
    <cfRule type="containsText" dxfId="1132" priority="1254" operator="containsText" text="休所">
      <formula>NOT(ISERROR(SEARCH("休所",D131)))</formula>
    </cfRule>
    <cfRule type="containsText" dxfId="1131" priority="1255" operator="containsText" text="休所">
      <formula>NOT(ISERROR(SEARCH("休所",D131)))</formula>
    </cfRule>
    <cfRule type="containsText" dxfId="1130" priority="1256" operator="containsText" text="長期休暇">
      <formula>NOT(ISERROR(SEARCH("長期休暇",D131)))</formula>
    </cfRule>
  </conditionalFormatting>
  <conditionalFormatting sqref="D133:D136">
    <cfRule type="containsText" dxfId="1129" priority="1241" operator="containsText" text="土日祝長期：開所とみなす">
      <formula>NOT(ISERROR(SEARCH("土日祝長期：開所とみなす",D133)))</formula>
    </cfRule>
    <cfRule type="containsText" dxfId="1128" priority="1242" operator="containsText" text="平日：開所とみなす">
      <formula>NOT(ISERROR(SEARCH("平日：開所とみなす",D133)))</formula>
    </cfRule>
    <cfRule type="containsText" dxfId="1127" priority="1243" operator="containsText" text="長期休暇">
      <formula>NOT(ISERROR(SEARCH("長期休暇",D133)))</formula>
    </cfRule>
    <cfRule type="containsText" dxfId="1126" priority="1244" operator="containsText" text="平日">
      <formula>NOT(ISERROR(SEARCH("平日",D133)))</formula>
    </cfRule>
    <cfRule type="containsText" dxfId="1125" priority="1245" operator="containsText" text="平日">
      <formula>NOT(ISERROR(SEARCH("平日",D133)))</formula>
    </cfRule>
    <cfRule type="containsText" dxfId="1124" priority="1246" operator="containsText" text="休所">
      <formula>NOT(ISERROR(SEARCH("休所",D133)))</formula>
    </cfRule>
    <cfRule type="containsText" dxfId="1123" priority="1247" operator="containsText" text="休所">
      <formula>NOT(ISERROR(SEARCH("休所",D133)))</formula>
    </cfRule>
    <cfRule type="containsText" dxfId="1122" priority="1248" operator="containsText" text="長期休暇">
      <formula>NOT(ISERROR(SEARCH("長期休暇",D133)))</formula>
    </cfRule>
  </conditionalFormatting>
  <conditionalFormatting sqref="D147:D152">
    <cfRule type="containsText" dxfId="1121" priority="1225" operator="containsText" text="土日祝長期：開所とみなす">
      <formula>NOT(ISERROR(SEARCH("土日祝長期：開所とみなす",D147)))</formula>
    </cfRule>
    <cfRule type="containsText" dxfId="1120" priority="1226" operator="containsText" text="平日：開所とみなす">
      <formula>NOT(ISERROR(SEARCH("平日：開所とみなす",D147)))</formula>
    </cfRule>
    <cfRule type="containsText" dxfId="1119" priority="1227" operator="containsText" text="長期休暇">
      <formula>NOT(ISERROR(SEARCH("長期休暇",D147)))</formula>
    </cfRule>
    <cfRule type="containsText" dxfId="1118" priority="1228" operator="containsText" text="平日">
      <formula>NOT(ISERROR(SEARCH("平日",D147)))</formula>
    </cfRule>
    <cfRule type="containsText" dxfId="1117" priority="1229" operator="containsText" text="平日">
      <formula>NOT(ISERROR(SEARCH("平日",D147)))</formula>
    </cfRule>
    <cfRule type="containsText" dxfId="1116" priority="1230" operator="containsText" text="休所">
      <formula>NOT(ISERROR(SEARCH("休所",D147)))</formula>
    </cfRule>
    <cfRule type="containsText" dxfId="1115" priority="1231" operator="containsText" text="休所">
      <formula>NOT(ISERROR(SEARCH("休所",D147)))</formula>
    </cfRule>
    <cfRule type="containsText" dxfId="1114" priority="1232" operator="containsText" text="長期休暇">
      <formula>NOT(ISERROR(SEARCH("長期休暇",D147)))</formula>
    </cfRule>
  </conditionalFormatting>
  <conditionalFormatting sqref="D155:D158">
    <cfRule type="containsText" dxfId="1113" priority="1217" operator="containsText" text="土日祝長期：開所とみなす">
      <formula>NOT(ISERROR(SEARCH("土日祝長期：開所とみなす",D155)))</formula>
    </cfRule>
    <cfRule type="containsText" dxfId="1112" priority="1218" operator="containsText" text="平日：開所とみなす">
      <formula>NOT(ISERROR(SEARCH("平日：開所とみなす",D155)))</formula>
    </cfRule>
    <cfRule type="containsText" dxfId="1111" priority="1219" operator="containsText" text="長期休暇">
      <formula>NOT(ISERROR(SEARCH("長期休暇",D155)))</formula>
    </cfRule>
    <cfRule type="containsText" dxfId="1110" priority="1220" operator="containsText" text="平日">
      <formula>NOT(ISERROR(SEARCH("平日",D155)))</formula>
    </cfRule>
    <cfRule type="containsText" dxfId="1109" priority="1221" operator="containsText" text="平日">
      <formula>NOT(ISERROR(SEARCH("平日",D155)))</formula>
    </cfRule>
    <cfRule type="containsText" dxfId="1108" priority="1222" operator="containsText" text="休所">
      <formula>NOT(ISERROR(SEARCH("休所",D155)))</formula>
    </cfRule>
    <cfRule type="containsText" dxfId="1107" priority="1223" operator="containsText" text="休所">
      <formula>NOT(ISERROR(SEARCH("休所",D155)))</formula>
    </cfRule>
    <cfRule type="containsText" dxfId="1106" priority="1224" operator="containsText" text="長期休暇">
      <formula>NOT(ISERROR(SEARCH("長期休暇",D155)))</formula>
    </cfRule>
  </conditionalFormatting>
  <conditionalFormatting sqref="D161">
    <cfRule type="containsText" dxfId="1105" priority="1201" operator="containsText" text="土日祝長期：開所とみなす">
      <formula>NOT(ISERROR(SEARCH("土日祝長期：開所とみなす",D161)))</formula>
    </cfRule>
    <cfRule type="containsText" dxfId="1104" priority="1202" operator="containsText" text="平日：開所とみなす">
      <formula>NOT(ISERROR(SEARCH("平日：開所とみなす",D161)))</formula>
    </cfRule>
    <cfRule type="containsText" dxfId="1103" priority="1203" operator="containsText" text="長期休暇">
      <formula>NOT(ISERROR(SEARCH("長期休暇",D161)))</formula>
    </cfRule>
    <cfRule type="containsText" dxfId="1102" priority="1204" operator="containsText" text="平日">
      <formula>NOT(ISERROR(SEARCH("平日",D161)))</formula>
    </cfRule>
    <cfRule type="containsText" dxfId="1101" priority="1205" operator="containsText" text="平日">
      <formula>NOT(ISERROR(SEARCH("平日",D161)))</formula>
    </cfRule>
    <cfRule type="containsText" dxfId="1100" priority="1206" operator="containsText" text="休所">
      <formula>NOT(ISERROR(SEARCH("休所",D161)))</formula>
    </cfRule>
    <cfRule type="containsText" dxfId="1099" priority="1207" operator="containsText" text="休所">
      <formula>NOT(ISERROR(SEARCH("休所",D161)))</formula>
    </cfRule>
    <cfRule type="containsText" dxfId="1098" priority="1208" operator="containsText" text="長期休暇">
      <formula>NOT(ISERROR(SEARCH("長期休暇",D161)))</formula>
    </cfRule>
  </conditionalFormatting>
  <conditionalFormatting sqref="D162:D165">
    <cfRule type="containsText" dxfId="1097" priority="1193" operator="containsText" text="土日祝長期：開所とみなす">
      <formula>NOT(ISERROR(SEARCH("土日祝長期：開所とみなす",D162)))</formula>
    </cfRule>
    <cfRule type="containsText" dxfId="1096" priority="1194" operator="containsText" text="平日：開所とみなす">
      <formula>NOT(ISERROR(SEARCH("平日：開所とみなす",D162)))</formula>
    </cfRule>
    <cfRule type="containsText" dxfId="1095" priority="1195" operator="containsText" text="長期休暇">
      <formula>NOT(ISERROR(SEARCH("長期休暇",D162)))</formula>
    </cfRule>
    <cfRule type="containsText" dxfId="1094" priority="1196" operator="containsText" text="平日">
      <formula>NOT(ISERROR(SEARCH("平日",D162)))</formula>
    </cfRule>
    <cfRule type="containsText" dxfId="1093" priority="1197" operator="containsText" text="平日">
      <formula>NOT(ISERROR(SEARCH("平日",D162)))</formula>
    </cfRule>
    <cfRule type="containsText" dxfId="1092" priority="1198" operator="containsText" text="休所">
      <formula>NOT(ISERROR(SEARCH("休所",D162)))</formula>
    </cfRule>
    <cfRule type="containsText" dxfId="1091" priority="1199" operator="containsText" text="休所">
      <formula>NOT(ISERROR(SEARCH("休所",D162)))</formula>
    </cfRule>
    <cfRule type="containsText" dxfId="1090" priority="1200" operator="containsText" text="長期休暇">
      <formula>NOT(ISERROR(SEARCH("長期休暇",D162)))</formula>
    </cfRule>
  </conditionalFormatting>
  <conditionalFormatting sqref="D174">
    <cfRule type="containsText" dxfId="1089" priority="1177" operator="containsText" text="土日祝長期：開所とみなす">
      <formula>NOT(ISERROR(SEARCH("土日祝長期：開所とみなす",D174)))</formula>
    </cfRule>
    <cfRule type="containsText" dxfId="1088" priority="1178" operator="containsText" text="平日：開所とみなす">
      <formula>NOT(ISERROR(SEARCH("平日：開所とみなす",D174)))</formula>
    </cfRule>
    <cfRule type="containsText" dxfId="1087" priority="1179" operator="containsText" text="長期休暇">
      <formula>NOT(ISERROR(SEARCH("長期休暇",D174)))</formula>
    </cfRule>
    <cfRule type="containsText" dxfId="1086" priority="1180" operator="containsText" text="平日">
      <formula>NOT(ISERROR(SEARCH("平日",D174)))</formula>
    </cfRule>
    <cfRule type="containsText" dxfId="1085" priority="1181" operator="containsText" text="平日">
      <formula>NOT(ISERROR(SEARCH("平日",D174)))</formula>
    </cfRule>
    <cfRule type="containsText" dxfId="1084" priority="1182" operator="containsText" text="休所">
      <formula>NOT(ISERROR(SEARCH("休所",D174)))</formula>
    </cfRule>
    <cfRule type="containsText" dxfId="1083" priority="1183" operator="containsText" text="休所">
      <formula>NOT(ISERROR(SEARCH("休所",D174)))</formula>
    </cfRule>
    <cfRule type="containsText" dxfId="1082" priority="1184" operator="containsText" text="長期休暇">
      <formula>NOT(ISERROR(SEARCH("長期休暇",D174)))</formula>
    </cfRule>
  </conditionalFormatting>
  <conditionalFormatting sqref="D168">
    <cfRule type="containsText" dxfId="1081" priority="1169" operator="containsText" text="土日祝長期：開所とみなす">
      <formula>NOT(ISERROR(SEARCH("土日祝長期：開所とみなす",D168)))</formula>
    </cfRule>
    <cfRule type="containsText" dxfId="1080" priority="1170" operator="containsText" text="平日：開所とみなす">
      <formula>NOT(ISERROR(SEARCH("平日：開所とみなす",D168)))</formula>
    </cfRule>
    <cfRule type="containsText" dxfId="1079" priority="1171" operator="containsText" text="長期休暇">
      <formula>NOT(ISERROR(SEARCH("長期休暇",D168)))</formula>
    </cfRule>
    <cfRule type="containsText" dxfId="1078" priority="1172" operator="containsText" text="平日">
      <formula>NOT(ISERROR(SEARCH("平日",D168)))</formula>
    </cfRule>
    <cfRule type="containsText" dxfId="1077" priority="1173" operator="containsText" text="平日">
      <formula>NOT(ISERROR(SEARCH("平日",D168)))</formula>
    </cfRule>
    <cfRule type="containsText" dxfId="1076" priority="1174" operator="containsText" text="休所">
      <formula>NOT(ISERROR(SEARCH("休所",D168)))</formula>
    </cfRule>
    <cfRule type="containsText" dxfId="1075" priority="1175" operator="containsText" text="休所">
      <formula>NOT(ISERROR(SEARCH("休所",D168)))</formula>
    </cfRule>
    <cfRule type="containsText" dxfId="1074" priority="1176" operator="containsText" text="長期休暇">
      <formula>NOT(ISERROR(SEARCH("長期休暇",D168)))</formula>
    </cfRule>
  </conditionalFormatting>
  <conditionalFormatting sqref="D169:D172">
    <cfRule type="containsText" dxfId="1073" priority="1161" operator="containsText" text="土日祝長期：開所とみなす">
      <formula>NOT(ISERROR(SEARCH("土日祝長期：開所とみなす",D169)))</formula>
    </cfRule>
    <cfRule type="containsText" dxfId="1072" priority="1162" operator="containsText" text="平日：開所とみなす">
      <formula>NOT(ISERROR(SEARCH("平日：開所とみなす",D169)))</formula>
    </cfRule>
    <cfRule type="containsText" dxfId="1071" priority="1163" operator="containsText" text="長期休暇">
      <formula>NOT(ISERROR(SEARCH("長期休暇",D169)))</formula>
    </cfRule>
    <cfRule type="containsText" dxfId="1070" priority="1164" operator="containsText" text="平日">
      <formula>NOT(ISERROR(SEARCH("平日",D169)))</formula>
    </cfRule>
    <cfRule type="containsText" dxfId="1069" priority="1165" operator="containsText" text="平日">
      <formula>NOT(ISERROR(SEARCH("平日",D169)))</formula>
    </cfRule>
    <cfRule type="containsText" dxfId="1068" priority="1166" operator="containsText" text="休所">
      <formula>NOT(ISERROR(SEARCH("休所",D169)))</formula>
    </cfRule>
    <cfRule type="containsText" dxfId="1067" priority="1167" operator="containsText" text="休所">
      <formula>NOT(ISERROR(SEARCH("休所",D169)))</formula>
    </cfRule>
    <cfRule type="containsText" dxfId="1066" priority="1168" operator="containsText" text="長期休暇">
      <formula>NOT(ISERROR(SEARCH("長期休暇",D169)))</formula>
    </cfRule>
  </conditionalFormatting>
  <conditionalFormatting sqref="D176:D179">
    <cfRule type="containsText" dxfId="1065" priority="1145" operator="containsText" text="土日祝長期：開所とみなす">
      <formula>NOT(ISERROR(SEARCH("土日祝長期：開所とみなす",D176)))</formula>
    </cfRule>
    <cfRule type="containsText" dxfId="1064" priority="1146" operator="containsText" text="平日：開所とみなす">
      <formula>NOT(ISERROR(SEARCH("平日：開所とみなす",D176)))</formula>
    </cfRule>
    <cfRule type="containsText" dxfId="1063" priority="1147" operator="containsText" text="長期休暇">
      <formula>NOT(ISERROR(SEARCH("長期休暇",D176)))</formula>
    </cfRule>
    <cfRule type="containsText" dxfId="1062" priority="1148" operator="containsText" text="平日">
      <formula>NOT(ISERROR(SEARCH("平日",D176)))</formula>
    </cfRule>
    <cfRule type="containsText" dxfId="1061" priority="1149" operator="containsText" text="平日">
      <formula>NOT(ISERROR(SEARCH("平日",D176)))</formula>
    </cfRule>
    <cfRule type="containsText" dxfId="1060" priority="1150" operator="containsText" text="休所">
      <formula>NOT(ISERROR(SEARCH("休所",D176)))</formula>
    </cfRule>
    <cfRule type="containsText" dxfId="1059" priority="1151" operator="containsText" text="休所">
      <formula>NOT(ISERROR(SEARCH("休所",D176)))</formula>
    </cfRule>
    <cfRule type="containsText" dxfId="1058" priority="1152" operator="containsText" text="長期休暇">
      <formula>NOT(ISERROR(SEARCH("長期休暇",D176)))</formula>
    </cfRule>
  </conditionalFormatting>
  <conditionalFormatting sqref="D188">
    <cfRule type="containsText" dxfId="1057" priority="1129" operator="containsText" text="土日祝長期：開所とみなす">
      <formula>NOT(ISERROR(SEARCH("土日祝長期：開所とみなす",D188)))</formula>
    </cfRule>
    <cfRule type="containsText" dxfId="1056" priority="1130" operator="containsText" text="平日：開所とみなす">
      <formula>NOT(ISERROR(SEARCH("平日：開所とみなす",D188)))</formula>
    </cfRule>
    <cfRule type="containsText" dxfId="1055" priority="1131" operator="containsText" text="長期休暇">
      <formula>NOT(ISERROR(SEARCH("長期休暇",D188)))</formula>
    </cfRule>
    <cfRule type="containsText" dxfId="1054" priority="1132" operator="containsText" text="平日">
      <formula>NOT(ISERROR(SEARCH("平日",D188)))</formula>
    </cfRule>
    <cfRule type="containsText" dxfId="1053" priority="1133" operator="containsText" text="平日">
      <formula>NOT(ISERROR(SEARCH("平日",D188)))</formula>
    </cfRule>
    <cfRule type="containsText" dxfId="1052" priority="1134" operator="containsText" text="休所">
      <formula>NOT(ISERROR(SEARCH("休所",D188)))</formula>
    </cfRule>
    <cfRule type="containsText" dxfId="1051" priority="1135" operator="containsText" text="休所">
      <formula>NOT(ISERROR(SEARCH("休所",D188)))</formula>
    </cfRule>
    <cfRule type="containsText" dxfId="1050" priority="1136" operator="containsText" text="長期休暇">
      <formula>NOT(ISERROR(SEARCH("長期休暇",D188)))</formula>
    </cfRule>
  </conditionalFormatting>
  <conditionalFormatting sqref="D182">
    <cfRule type="containsText" dxfId="1049" priority="1121" operator="containsText" text="土日祝長期：開所とみなす">
      <formula>NOT(ISERROR(SEARCH("土日祝長期：開所とみなす",D182)))</formula>
    </cfRule>
    <cfRule type="containsText" dxfId="1048" priority="1122" operator="containsText" text="平日：開所とみなす">
      <formula>NOT(ISERROR(SEARCH("平日：開所とみなす",D182)))</formula>
    </cfRule>
    <cfRule type="containsText" dxfId="1047" priority="1123" operator="containsText" text="長期休暇">
      <formula>NOT(ISERROR(SEARCH("長期休暇",D182)))</formula>
    </cfRule>
    <cfRule type="containsText" dxfId="1046" priority="1124" operator="containsText" text="平日">
      <formula>NOT(ISERROR(SEARCH("平日",D182)))</formula>
    </cfRule>
    <cfRule type="containsText" dxfId="1045" priority="1125" operator="containsText" text="平日">
      <formula>NOT(ISERROR(SEARCH("平日",D182)))</formula>
    </cfRule>
    <cfRule type="containsText" dxfId="1044" priority="1126" operator="containsText" text="休所">
      <formula>NOT(ISERROR(SEARCH("休所",D182)))</formula>
    </cfRule>
    <cfRule type="containsText" dxfId="1043" priority="1127" operator="containsText" text="休所">
      <formula>NOT(ISERROR(SEARCH("休所",D182)))</formula>
    </cfRule>
    <cfRule type="containsText" dxfId="1042" priority="1128" operator="containsText" text="長期休暇">
      <formula>NOT(ISERROR(SEARCH("長期休暇",D182)))</formula>
    </cfRule>
  </conditionalFormatting>
  <conditionalFormatting sqref="D183:D186">
    <cfRule type="containsText" dxfId="1041" priority="1113" operator="containsText" text="土日祝長期：開所とみなす">
      <formula>NOT(ISERROR(SEARCH("土日祝長期：開所とみなす",D183)))</formula>
    </cfRule>
    <cfRule type="containsText" dxfId="1040" priority="1114" operator="containsText" text="平日：開所とみなす">
      <formula>NOT(ISERROR(SEARCH("平日：開所とみなす",D183)))</formula>
    </cfRule>
    <cfRule type="containsText" dxfId="1039" priority="1115" operator="containsText" text="長期休暇">
      <formula>NOT(ISERROR(SEARCH("長期休暇",D183)))</formula>
    </cfRule>
    <cfRule type="containsText" dxfId="1038" priority="1116" operator="containsText" text="平日">
      <formula>NOT(ISERROR(SEARCH("平日",D183)))</formula>
    </cfRule>
    <cfRule type="containsText" dxfId="1037" priority="1117" operator="containsText" text="平日">
      <formula>NOT(ISERROR(SEARCH("平日",D183)))</formula>
    </cfRule>
    <cfRule type="containsText" dxfId="1036" priority="1118" operator="containsText" text="休所">
      <formula>NOT(ISERROR(SEARCH("休所",D183)))</formula>
    </cfRule>
    <cfRule type="containsText" dxfId="1035" priority="1119" operator="containsText" text="休所">
      <formula>NOT(ISERROR(SEARCH("休所",D183)))</formula>
    </cfRule>
    <cfRule type="containsText" dxfId="1034" priority="1120" operator="containsText" text="長期休暇">
      <formula>NOT(ISERROR(SEARCH("長期休暇",D183)))</formula>
    </cfRule>
  </conditionalFormatting>
  <conditionalFormatting sqref="D187">
    <cfRule type="containsText" dxfId="1033" priority="1105" operator="containsText" text="土日祝長期：開所とみなす">
      <formula>NOT(ISERROR(SEARCH("土日祝長期：開所とみなす",D187)))</formula>
    </cfRule>
    <cfRule type="containsText" dxfId="1032" priority="1106" operator="containsText" text="平日：開所とみなす">
      <formula>NOT(ISERROR(SEARCH("平日：開所とみなす",D187)))</formula>
    </cfRule>
    <cfRule type="containsText" dxfId="1031" priority="1107" operator="containsText" text="長期休暇">
      <formula>NOT(ISERROR(SEARCH("長期休暇",D187)))</formula>
    </cfRule>
    <cfRule type="containsText" dxfId="1030" priority="1108" operator="containsText" text="平日">
      <formula>NOT(ISERROR(SEARCH("平日",D187)))</formula>
    </cfRule>
    <cfRule type="containsText" dxfId="1029" priority="1109" operator="containsText" text="平日">
      <formula>NOT(ISERROR(SEARCH("平日",D187)))</formula>
    </cfRule>
    <cfRule type="containsText" dxfId="1028" priority="1110" operator="containsText" text="休所">
      <formula>NOT(ISERROR(SEARCH("休所",D187)))</formula>
    </cfRule>
    <cfRule type="containsText" dxfId="1027" priority="1111" operator="containsText" text="休所">
      <formula>NOT(ISERROR(SEARCH("休所",D187)))</formula>
    </cfRule>
    <cfRule type="containsText" dxfId="1026" priority="1112" operator="containsText" text="長期休暇">
      <formula>NOT(ISERROR(SEARCH("長期休暇",D187)))</formula>
    </cfRule>
  </conditionalFormatting>
  <conditionalFormatting sqref="D195">
    <cfRule type="containsText" dxfId="1025" priority="1097" operator="containsText" text="土日祝長期：開所とみなす">
      <formula>NOT(ISERROR(SEARCH("土日祝長期：開所とみなす",D195)))</formula>
    </cfRule>
    <cfRule type="containsText" dxfId="1024" priority="1098" operator="containsText" text="平日：開所とみなす">
      <formula>NOT(ISERROR(SEARCH("平日：開所とみなす",D195)))</formula>
    </cfRule>
    <cfRule type="containsText" dxfId="1023" priority="1099" operator="containsText" text="長期休暇">
      <formula>NOT(ISERROR(SEARCH("長期休暇",D195)))</formula>
    </cfRule>
    <cfRule type="containsText" dxfId="1022" priority="1100" operator="containsText" text="平日">
      <formula>NOT(ISERROR(SEARCH("平日",D195)))</formula>
    </cfRule>
    <cfRule type="containsText" dxfId="1021" priority="1101" operator="containsText" text="平日">
      <formula>NOT(ISERROR(SEARCH("平日",D195)))</formula>
    </cfRule>
    <cfRule type="containsText" dxfId="1020" priority="1102" operator="containsText" text="休所">
      <formula>NOT(ISERROR(SEARCH("休所",D195)))</formula>
    </cfRule>
    <cfRule type="containsText" dxfId="1019" priority="1103" operator="containsText" text="休所">
      <formula>NOT(ISERROR(SEARCH("休所",D195)))</formula>
    </cfRule>
    <cfRule type="containsText" dxfId="1018" priority="1104" operator="containsText" text="長期休暇">
      <formula>NOT(ISERROR(SEARCH("長期休暇",D195)))</formula>
    </cfRule>
  </conditionalFormatting>
  <conditionalFormatting sqref="D189">
    <cfRule type="containsText" dxfId="1017" priority="1089" operator="containsText" text="土日祝長期：開所とみなす">
      <formula>NOT(ISERROR(SEARCH("土日祝長期：開所とみなす",D189)))</formula>
    </cfRule>
    <cfRule type="containsText" dxfId="1016" priority="1090" operator="containsText" text="平日：開所とみなす">
      <formula>NOT(ISERROR(SEARCH("平日：開所とみなす",D189)))</formula>
    </cfRule>
    <cfRule type="containsText" dxfId="1015" priority="1091" operator="containsText" text="長期休暇">
      <formula>NOT(ISERROR(SEARCH("長期休暇",D189)))</formula>
    </cfRule>
    <cfRule type="containsText" dxfId="1014" priority="1092" operator="containsText" text="平日">
      <formula>NOT(ISERROR(SEARCH("平日",D189)))</formula>
    </cfRule>
    <cfRule type="containsText" dxfId="1013" priority="1093" operator="containsText" text="平日">
      <formula>NOT(ISERROR(SEARCH("平日",D189)))</formula>
    </cfRule>
    <cfRule type="containsText" dxfId="1012" priority="1094" operator="containsText" text="休所">
      <formula>NOT(ISERROR(SEARCH("休所",D189)))</formula>
    </cfRule>
    <cfRule type="containsText" dxfId="1011" priority="1095" operator="containsText" text="休所">
      <formula>NOT(ISERROR(SEARCH("休所",D189)))</formula>
    </cfRule>
    <cfRule type="containsText" dxfId="1010" priority="1096" operator="containsText" text="長期休暇">
      <formula>NOT(ISERROR(SEARCH("長期休暇",D189)))</formula>
    </cfRule>
  </conditionalFormatting>
  <conditionalFormatting sqref="D190:D193">
    <cfRule type="containsText" dxfId="1009" priority="1081" operator="containsText" text="土日祝長期：開所とみなす">
      <formula>NOT(ISERROR(SEARCH("土日祝長期：開所とみなす",D190)))</formula>
    </cfRule>
    <cfRule type="containsText" dxfId="1008" priority="1082" operator="containsText" text="平日：開所とみなす">
      <formula>NOT(ISERROR(SEARCH("平日：開所とみなす",D190)))</formula>
    </cfRule>
    <cfRule type="containsText" dxfId="1007" priority="1083" operator="containsText" text="長期休暇">
      <formula>NOT(ISERROR(SEARCH("長期休暇",D190)))</formula>
    </cfRule>
    <cfRule type="containsText" dxfId="1006" priority="1084" operator="containsText" text="平日">
      <formula>NOT(ISERROR(SEARCH("平日",D190)))</formula>
    </cfRule>
    <cfRule type="containsText" dxfId="1005" priority="1085" operator="containsText" text="平日">
      <formula>NOT(ISERROR(SEARCH("平日",D190)))</formula>
    </cfRule>
    <cfRule type="containsText" dxfId="1004" priority="1086" operator="containsText" text="休所">
      <formula>NOT(ISERROR(SEARCH("休所",D190)))</formula>
    </cfRule>
    <cfRule type="containsText" dxfId="1003" priority="1087" operator="containsText" text="休所">
      <formula>NOT(ISERROR(SEARCH("休所",D190)))</formula>
    </cfRule>
    <cfRule type="containsText" dxfId="1002" priority="1088" operator="containsText" text="長期休暇">
      <formula>NOT(ISERROR(SEARCH("長期休暇",D190)))</formula>
    </cfRule>
  </conditionalFormatting>
  <conditionalFormatting sqref="D202">
    <cfRule type="containsText" dxfId="1001" priority="1065" operator="containsText" text="土日祝長期：開所とみなす">
      <formula>NOT(ISERROR(SEARCH("土日祝長期：開所とみなす",D202)))</formula>
    </cfRule>
    <cfRule type="containsText" dxfId="1000" priority="1066" operator="containsText" text="平日：開所とみなす">
      <formula>NOT(ISERROR(SEARCH("平日：開所とみなす",D202)))</formula>
    </cfRule>
    <cfRule type="containsText" dxfId="999" priority="1067" operator="containsText" text="長期休暇">
      <formula>NOT(ISERROR(SEARCH("長期休暇",D202)))</formula>
    </cfRule>
    <cfRule type="containsText" dxfId="998" priority="1068" operator="containsText" text="平日">
      <formula>NOT(ISERROR(SEARCH("平日",D202)))</formula>
    </cfRule>
    <cfRule type="containsText" dxfId="997" priority="1069" operator="containsText" text="平日">
      <formula>NOT(ISERROR(SEARCH("平日",D202)))</formula>
    </cfRule>
    <cfRule type="containsText" dxfId="996" priority="1070" operator="containsText" text="休所">
      <formula>NOT(ISERROR(SEARCH("休所",D202)))</formula>
    </cfRule>
    <cfRule type="containsText" dxfId="995" priority="1071" operator="containsText" text="休所">
      <formula>NOT(ISERROR(SEARCH("休所",D202)))</formula>
    </cfRule>
    <cfRule type="containsText" dxfId="994" priority="1072" operator="containsText" text="長期休暇">
      <formula>NOT(ISERROR(SEARCH("長期休暇",D202)))</formula>
    </cfRule>
  </conditionalFormatting>
  <conditionalFormatting sqref="D197:D200">
    <cfRule type="containsText" dxfId="993" priority="1057" operator="containsText" text="土日祝長期：開所とみなす">
      <formula>NOT(ISERROR(SEARCH("土日祝長期：開所とみなす",D197)))</formula>
    </cfRule>
    <cfRule type="containsText" dxfId="992" priority="1058" operator="containsText" text="平日：開所とみなす">
      <formula>NOT(ISERROR(SEARCH("平日：開所とみなす",D197)))</formula>
    </cfRule>
    <cfRule type="containsText" dxfId="991" priority="1059" operator="containsText" text="長期休暇">
      <formula>NOT(ISERROR(SEARCH("長期休暇",D197)))</formula>
    </cfRule>
    <cfRule type="containsText" dxfId="990" priority="1060" operator="containsText" text="平日">
      <formula>NOT(ISERROR(SEARCH("平日",D197)))</formula>
    </cfRule>
    <cfRule type="containsText" dxfId="989" priority="1061" operator="containsText" text="平日">
      <formula>NOT(ISERROR(SEARCH("平日",D197)))</formula>
    </cfRule>
    <cfRule type="containsText" dxfId="988" priority="1062" operator="containsText" text="休所">
      <formula>NOT(ISERROR(SEARCH("休所",D197)))</formula>
    </cfRule>
    <cfRule type="containsText" dxfId="987" priority="1063" operator="containsText" text="休所">
      <formula>NOT(ISERROR(SEARCH("休所",D197)))</formula>
    </cfRule>
    <cfRule type="containsText" dxfId="986" priority="1064" operator="containsText" text="長期休暇">
      <formula>NOT(ISERROR(SEARCH("長期休暇",D197)))</formula>
    </cfRule>
  </conditionalFormatting>
  <conditionalFormatting sqref="D209">
    <cfRule type="containsText" dxfId="985" priority="1041" operator="containsText" text="土日祝長期：開所とみなす">
      <formula>NOT(ISERROR(SEARCH("土日祝長期：開所とみなす",D209)))</formula>
    </cfRule>
    <cfRule type="containsText" dxfId="984" priority="1042" operator="containsText" text="平日：開所とみなす">
      <formula>NOT(ISERROR(SEARCH("平日：開所とみなす",D209)))</formula>
    </cfRule>
    <cfRule type="containsText" dxfId="983" priority="1043" operator="containsText" text="長期休暇">
      <formula>NOT(ISERROR(SEARCH("長期休暇",D209)))</formula>
    </cfRule>
    <cfRule type="containsText" dxfId="982" priority="1044" operator="containsText" text="平日">
      <formula>NOT(ISERROR(SEARCH("平日",D209)))</formula>
    </cfRule>
    <cfRule type="containsText" dxfId="981" priority="1045" operator="containsText" text="平日">
      <formula>NOT(ISERROR(SEARCH("平日",D209)))</formula>
    </cfRule>
    <cfRule type="containsText" dxfId="980" priority="1046" operator="containsText" text="休所">
      <formula>NOT(ISERROR(SEARCH("休所",D209)))</formula>
    </cfRule>
    <cfRule type="containsText" dxfId="979" priority="1047" operator="containsText" text="休所">
      <formula>NOT(ISERROR(SEARCH("休所",D209)))</formula>
    </cfRule>
    <cfRule type="containsText" dxfId="978" priority="1048" operator="containsText" text="長期休暇">
      <formula>NOT(ISERROR(SEARCH("長期休暇",D209)))</formula>
    </cfRule>
  </conditionalFormatting>
  <conditionalFormatting sqref="D203">
    <cfRule type="containsText" dxfId="977" priority="1033" operator="containsText" text="土日祝長期：開所とみなす">
      <formula>NOT(ISERROR(SEARCH("土日祝長期：開所とみなす",D203)))</formula>
    </cfRule>
    <cfRule type="containsText" dxfId="976" priority="1034" operator="containsText" text="平日：開所とみなす">
      <formula>NOT(ISERROR(SEARCH("平日：開所とみなす",D203)))</formula>
    </cfRule>
    <cfRule type="containsText" dxfId="975" priority="1035" operator="containsText" text="長期休暇">
      <formula>NOT(ISERROR(SEARCH("長期休暇",D203)))</formula>
    </cfRule>
    <cfRule type="containsText" dxfId="974" priority="1036" operator="containsText" text="平日">
      <formula>NOT(ISERROR(SEARCH("平日",D203)))</formula>
    </cfRule>
    <cfRule type="containsText" dxfId="973" priority="1037" operator="containsText" text="平日">
      <formula>NOT(ISERROR(SEARCH("平日",D203)))</formula>
    </cfRule>
    <cfRule type="containsText" dxfId="972" priority="1038" operator="containsText" text="休所">
      <formula>NOT(ISERROR(SEARCH("休所",D203)))</formula>
    </cfRule>
    <cfRule type="containsText" dxfId="971" priority="1039" operator="containsText" text="休所">
      <formula>NOT(ISERROR(SEARCH("休所",D203)))</formula>
    </cfRule>
    <cfRule type="containsText" dxfId="970" priority="1040" operator="containsText" text="長期休暇">
      <formula>NOT(ISERROR(SEARCH("長期休暇",D203)))</formula>
    </cfRule>
  </conditionalFormatting>
  <conditionalFormatting sqref="D204:D207">
    <cfRule type="containsText" dxfId="969" priority="1025" operator="containsText" text="土日祝長期：開所とみなす">
      <formula>NOT(ISERROR(SEARCH("土日祝長期：開所とみなす",D204)))</formula>
    </cfRule>
    <cfRule type="containsText" dxfId="968" priority="1026" operator="containsText" text="平日：開所とみなす">
      <formula>NOT(ISERROR(SEARCH("平日：開所とみなす",D204)))</formula>
    </cfRule>
    <cfRule type="containsText" dxfId="967" priority="1027" operator="containsText" text="長期休暇">
      <formula>NOT(ISERROR(SEARCH("長期休暇",D204)))</formula>
    </cfRule>
    <cfRule type="containsText" dxfId="966" priority="1028" operator="containsText" text="平日">
      <formula>NOT(ISERROR(SEARCH("平日",D204)))</formula>
    </cfRule>
    <cfRule type="containsText" dxfId="965" priority="1029" operator="containsText" text="平日">
      <formula>NOT(ISERROR(SEARCH("平日",D204)))</formula>
    </cfRule>
    <cfRule type="containsText" dxfId="964" priority="1030" operator="containsText" text="休所">
      <formula>NOT(ISERROR(SEARCH("休所",D204)))</formula>
    </cfRule>
    <cfRule type="containsText" dxfId="963" priority="1031" operator="containsText" text="休所">
      <formula>NOT(ISERROR(SEARCH("休所",D204)))</formula>
    </cfRule>
    <cfRule type="containsText" dxfId="962" priority="1032" operator="containsText" text="長期休暇">
      <formula>NOT(ISERROR(SEARCH("長期休暇",D204)))</formula>
    </cfRule>
  </conditionalFormatting>
  <conditionalFormatting sqref="D208">
    <cfRule type="containsText" dxfId="961" priority="1017" operator="containsText" text="土日祝長期：開所とみなす">
      <formula>NOT(ISERROR(SEARCH("土日祝長期：開所とみなす",D208)))</formula>
    </cfRule>
    <cfRule type="containsText" dxfId="960" priority="1018" operator="containsText" text="平日：開所とみなす">
      <formula>NOT(ISERROR(SEARCH("平日：開所とみなす",D208)))</formula>
    </cfRule>
    <cfRule type="containsText" dxfId="959" priority="1019" operator="containsText" text="長期休暇">
      <formula>NOT(ISERROR(SEARCH("長期休暇",D208)))</formula>
    </cfRule>
    <cfRule type="containsText" dxfId="958" priority="1020" operator="containsText" text="平日">
      <formula>NOT(ISERROR(SEARCH("平日",D208)))</formula>
    </cfRule>
    <cfRule type="containsText" dxfId="957" priority="1021" operator="containsText" text="平日">
      <formula>NOT(ISERROR(SEARCH("平日",D208)))</formula>
    </cfRule>
    <cfRule type="containsText" dxfId="956" priority="1022" operator="containsText" text="休所">
      <formula>NOT(ISERROR(SEARCH("休所",D208)))</formula>
    </cfRule>
    <cfRule type="containsText" dxfId="955" priority="1023" operator="containsText" text="休所">
      <formula>NOT(ISERROR(SEARCH("休所",D208)))</formula>
    </cfRule>
    <cfRule type="containsText" dxfId="954" priority="1024" operator="containsText" text="長期休暇">
      <formula>NOT(ISERROR(SEARCH("長期休暇",D208)))</formula>
    </cfRule>
  </conditionalFormatting>
  <conditionalFormatting sqref="D216">
    <cfRule type="containsText" dxfId="953" priority="1009" operator="containsText" text="土日祝長期：開所とみなす">
      <formula>NOT(ISERROR(SEARCH("土日祝長期：開所とみなす",D216)))</formula>
    </cfRule>
    <cfRule type="containsText" dxfId="952" priority="1010" operator="containsText" text="平日：開所とみなす">
      <formula>NOT(ISERROR(SEARCH("平日：開所とみなす",D216)))</formula>
    </cfRule>
    <cfRule type="containsText" dxfId="951" priority="1011" operator="containsText" text="長期休暇">
      <formula>NOT(ISERROR(SEARCH("長期休暇",D216)))</formula>
    </cfRule>
    <cfRule type="containsText" dxfId="950" priority="1012" operator="containsText" text="平日">
      <formula>NOT(ISERROR(SEARCH("平日",D216)))</formula>
    </cfRule>
    <cfRule type="containsText" dxfId="949" priority="1013" operator="containsText" text="平日">
      <formula>NOT(ISERROR(SEARCH("平日",D216)))</formula>
    </cfRule>
    <cfRule type="containsText" dxfId="948" priority="1014" operator="containsText" text="休所">
      <formula>NOT(ISERROR(SEARCH("休所",D216)))</formula>
    </cfRule>
    <cfRule type="containsText" dxfId="947" priority="1015" operator="containsText" text="休所">
      <formula>NOT(ISERROR(SEARCH("休所",D216)))</formula>
    </cfRule>
    <cfRule type="containsText" dxfId="946" priority="1016" operator="containsText" text="長期休暇">
      <formula>NOT(ISERROR(SEARCH("長期休暇",D216)))</formula>
    </cfRule>
  </conditionalFormatting>
  <conditionalFormatting sqref="D210">
    <cfRule type="containsText" dxfId="945" priority="1001" operator="containsText" text="土日祝長期：開所とみなす">
      <formula>NOT(ISERROR(SEARCH("土日祝長期：開所とみなす",D210)))</formula>
    </cfRule>
    <cfRule type="containsText" dxfId="944" priority="1002" operator="containsText" text="平日：開所とみなす">
      <formula>NOT(ISERROR(SEARCH("平日：開所とみなす",D210)))</formula>
    </cfRule>
    <cfRule type="containsText" dxfId="943" priority="1003" operator="containsText" text="長期休暇">
      <formula>NOT(ISERROR(SEARCH("長期休暇",D210)))</formula>
    </cfRule>
    <cfRule type="containsText" dxfId="942" priority="1004" operator="containsText" text="平日">
      <formula>NOT(ISERROR(SEARCH("平日",D210)))</formula>
    </cfRule>
    <cfRule type="containsText" dxfId="941" priority="1005" operator="containsText" text="平日">
      <formula>NOT(ISERROR(SEARCH("平日",D210)))</formula>
    </cfRule>
    <cfRule type="containsText" dxfId="940" priority="1006" operator="containsText" text="休所">
      <formula>NOT(ISERROR(SEARCH("休所",D210)))</formula>
    </cfRule>
    <cfRule type="containsText" dxfId="939" priority="1007" operator="containsText" text="休所">
      <formula>NOT(ISERROR(SEARCH("休所",D210)))</formula>
    </cfRule>
    <cfRule type="containsText" dxfId="938" priority="1008" operator="containsText" text="長期休暇">
      <formula>NOT(ISERROR(SEARCH("長期休暇",D210)))</formula>
    </cfRule>
  </conditionalFormatting>
  <conditionalFormatting sqref="D211:D214">
    <cfRule type="containsText" dxfId="937" priority="993" operator="containsText" text="土日祝長期：開所とみなす">
      <formula>NOT(ISERROR(SEARCH("土日祝長期：開所とみなす",D211)))</formula>
    </cfRule>
    <cfRule type="containsText" dxfId="936" priority="994" operator="containsText" text="平日：開所とみなす">
      <formula>NOT(ISERROR(SEARCH("平日：開所とみなす",D211)))</formula>
    </cfRule>
    <cfRule type="containsText" dxfId="935" priority="995" operator="containsText" text="長期休暇">
      <formula>NOT(ISERROR(SEARCH("長期休暇",D211)))</formula>
    </cfRule>
    <cfRule type="containsText" dxfId="934" priority="996" operator="containsText" text="平日">
      <formula>NOT(ISERROR(SEARCH("平日",D211)))</formula>
    </cfRule>
    <cfRule type="containsText" dxfId="933" priority="997" operator="containsText" text="平日">
      <formula>NOT(ISERROR(SEARCH("平日",D211)))</formula>
    </cfRule>
    <cfRule type="containsText" dxfId="932" priority="998" operator="containsText" text="休所">
      <formula>NOT(ISERROR(SEARCH("休所",D211)))</formula>
    </cfRule>
    <cfRule type="containsText" dxfId="931" priority="999" operator="containsText" text="休所">
      <formula>NOT(ISERROR(SEARCH("休所",D211)))</formula>
    </cfRule>
    <cfRule type="containsText" dxfId="930" priority="1000" operator="containsText" text="長期休暇">
      <formula>NOT(ISERROR(SEARCH("長期休暇",D211)))</formula>
    </cfRule>
  </conditionalFormatting>
  <conditionalFormatting sqref="D215">
    <cfRule type="containsText" dxfId="929" priority="985" operator="containsText" text="土日祝長期：開所とみなす">
      <formula>NOT(ISERROR(SEARCH("土日祝長期：開所とみなす",D215)))</formula>
    </cfRule>
    <cfRule type="containsText" dxfId="928" priority="986" operator="containsText" text="平日：開所とみなす">
      <formula>NOT(ISERROR(SEARCH("平日：開所とみなす",D215)))</formula>
    </cfRule>
    <cfRule type="containsText" dxfId="927" priority="987" operator="containsText" text="長期休暇">
      <formula>NOT(ISERROR(SEARCH("長期休暇",D215)))</formula>
    </cfRule>
    <cfRule type="containsText" dxfId="926" priority="988" operator="containsText" text="平日">
      <formula>NOT(ISERROR(SEARCH("平日",D215)))</formula>
    </cfRule>
    <cfRule type="containsText" dxfId="925" priority="989" operator="containsText" text="平日">
      <formula>NOT(ISERROR(SEARCH("平日",D215)))</formula>
    </cfRule>
    <cfRule type="containsText" dxfId="924" priority="990" operator="containsText" text="休所">
      <formula>NOT(ISERROR(SEARCH("休所",D215)))</formula>
    </cfRule>
    <cfRule type="containsText" dxfId="923" priority="991" operator="containsText" text="休所">
      <formula>NOT(ISERROR(SEARCH("休所",D215)))</formula>
    </cfRule>
    <cfRule type="containsText" dxfId="922" priority="992" operator="containsText" text="長期休暇">
      <formula>NOT(ISERROR(SEARCH("長期休暇",D215)))</formula>
    </cfRule>
  </conditionalFormatting>
  <conditionalFormatting sqref="D217">
    <cfRule type="containsText" dxfId="921" priority="977" operator="containsText" text="土日祝長期：開所とみなす">
      <formula>NOT(ISERROR(SEARCH("土日祝長期：開所とみなす",D217)))</formula>
    </cfRule>
    <cfRule type="containsText" dxfId="920" priority="978" operator="containsText" text="平日：開所とみなす">
      <formula>NOT(ISERROR(SEARCH("平日：開所とみなす",D217)))</formula>
    </cfRule>
    <cfRule type="containsText" dxfId="919" priority="979" operator="containsText" text="長期休暇">
      <formula>NOT(ISERROR(SEARCH("長期休暇",D217)))</formula>
    </cfRule>
    <cfRule type="containsText" dxfId="918" priority="980" operator="containsText" text="平日">
      <formula>NOT(ISERROR(SEARCH("平日",D217)))</formula>
    </cfRule>
    <cfRule type="containsText" dxfId="917" priority="981" operator="containsText" text="平日">
      <formula>NOT(ISERROR(SEARCH("平日",D217)))</formula>
    </cfRule>
    <cfRule type="containsText" dxfId="916" priority="982" operator="containsText" text="休所">
      <formula>NOT(ISERROR(SEARCH("休所",D217)))</formula>
    </cfRule>
    <cfRule type="containsText" dxfId="915" priority="983" operator="containsText" text="休所">
      <formula>NOT(ISERROR(SEARCH("休所",D217)))</formula>
    </cfRule>
    <cfRule type="containsText" dxfId="914" priority="984" operator="containsText" text="長期休暇">
      <formula>NOT(ISERROR(SEARCH("長期休暇",D217)))</formula>
    </cfRule>
  </conditionalFormatting>
  <conditionalFormatting sqref="D218:D220">
    <cfRule type="containsText" dxfId="913" priority="969" operator="containsText" text="土日祝長期：開所とみなす">
      <formula>NOT(ISERROR(SEARCH("土日祝長期：開所とみなす",D218)))</formula>
    </cfRule>
    <cfRule type="containsText" dxfId="912" priority="970" operator="containsText" text="平日：開所とみなす">
      <formula>NOT(ISERROR(SEARCH("平日：開所とみなす",D218)))</formula>
    </cfRule>
    <cfRule type="containsText" dxfId="911" priority="971" operator="containsText" text="長期休暇">
      <formula>NOT(ISERROR(SEARCH("長期休暇",D218)))</formula>
    </cfRule>
    <cfRule type="containsText" dxfId="910" priority="972" operator="containsText" text="平日">
      <formula>NOT(ISERROR(SEARCH("平日",D218)))</formula>
    </cfRule>
    <cfRule type="containsText" dxfId="909" priority="973" operator="containsText" text="平日">
      <formula>NOT(ISERROR(SEARCH("平日",D218)))</formula>
    </cfRule>
    <cfRule type="containsText" dxfId="908" priority="974" operator="containsText" text="休所">
      <formula>NOT(ISERROR(SEARCH("休所",D218)))</formula>
    </cfRule>
    <cfRule type="containsText" dxfId="907" priority="975" operator="containsText" text="休所">
      <formula>NOT(ISERROR(SEARCH("休所",D218)))</formula>
    </cfRule>
    <cfRule type="containsText" dxfId="906" priority="976" operator="containsText" text="長期休暇">
      <formula>NOT(ISERROR(SEARCH("長期休暇",D218)))</formula>
    </cfRule>
  </conditionalFormatting>
  <conditionalFormatting sqref="D224">
    <cfRule type="containsText" dxfId="905" priority="961" operator="containsText" text="土日祝長期：開所とみなす">
      <formula>NOT(ISERROR(SEARCH("土日祝長期：開所とみなす",D224)))</formula>
    </cfRule>
    <cfRule type="containsText" dxfId="904" priority="962" operator="containsText" text="平日：開所とみなす">
      <formula>NOT(ISERROR(SEARCH("平日：開所とみなす",D224)))</formula>
    </cfRule>
    <cfRule type="containsText" dxfId="903" priority="963" operator="containsText" text="長期休暇">
      <formula>NOT(ISERROR(SEARCH("長期休暇",D224)))</formula>
    </cfRule>
    <cfRule type="containsText" dxfId="902" priority="964" operator="containsText" text="平日">
      <formula>NOT(ISERROR(SEARCH("平日",D224)))</formula>
    </cfRule>
    <cfRule type="containsText" dxfId="901" priority="965" operator="containsText" text="平日">
      <formula>NOT(ISERROR(SEARCH("平日",D224)))</formula>
    </cfRule>
    <cfRule type="containsText" dxfId="900" priority="966" operator="containsText" text="休所">
      <formula>NOT(ISERROR(SEARCH("休所",D224)))</formula>
    </cfRule>
    <cfRule type="containsText" dxfId="899" priority="967" operator="containsText" text="休所">
      <formula>NOT(ISERROR(SEARCH("休所",D224)))</formula>
    </cfRule>
    <cfRule type="containsText" dxfId="898" priority="968" operator="containsText" text="長期休暇">
      <formula>NOT(ISERROR(SEARCH("長期休暇",D224)))</formula>
    </cfRule>
  </conditionalFormatting>
  <conditionalFormatting sqref="D225:D227">
    <cfRule type="containsText" dxfId="897" priority="953" operator="containsText" text="土日祝長期：開所とみなす">
      <formula>NOT(ISERROR(SEARCH("土日祝長期：開所とみなす",D225)))</formula>
    </cfRule>
    <cfRule type="containsText" dxfId="896" priority="954" operator="containsText" text="平日：開所とみなす">
      <formula>NOT(ISERROR(SEARCH("平日：開所とみなす",D225)))</formula>
    </cfRule>
    <cfRule type="containsText" dxfId="895" priority="955" operator="containsText" text="長期休暇">
      <formula>NOT(ISERROR(SEARCH("長期休暇",D225)))</formula>
    </cfRule>
    <cfRule type="containsText" dxfId="894" priority="956" operator="containsText" text="平日">
      <formula>NOT(ISERROR(SEARCH("平日",D225)))</formula>
    </cfRule>
    <cfRule type="containsText" dxfId="893" priority="957" operator="containsText" text="平日">
      <formula>NOT(ISERROR(SEARCH("平日",D225)))</formula>
    </cfRule>
    <cfRule type="containsText" dxfId="892" priority="958" operator="containsText" text="休所">
      <formula>NOT(ISERROR(SEARCH("休所",D225)))</formula>
    </cfRule>
    <cfRule type="containsText" dxfId="891" priority="959" operator="containsText" text="休所">
      <formula>NOT(ISERROR(SEARCH("休所",D225)))</formula>
    </cfRule>
    <cfRule type="containsText" dxfId="890" priority="960" operator="containsText" text="長期休暇">
      <formula>NOT(ISERROR(SEARCH("長期休暇",D225)))</formula>
    </cfRule>
  </conditionalFormatting>
  <conditionalFormatting sqref="D230">
    <cfRule type="containsText" dxfId="889" priority="945" operator="containsText" text="土日祝長期：開所とみなす">
      <formula>NOT(ISERROR(SEARCH("土日祝長期：開所とみなす",D230)))</formula>
    </cfRule>
    <cfRule type="containsText" dxfId="888" priority="946" operator="containsText" text="平日：開所とみなす">
      <formula>NOT(ISERROR(SEARCH("平日：開所とみなす",D230)))</formula>
    </cfRule>
    <cfRule type="containsText" dxfId="887" priority="947" operator="containsText" text="長期休暇">
      <formula>NOT(ISERROR(SEARCH("長期休暇",D230)))</formula>
    </cfRule>
    <cfRule type="containsText" dxfId="886" priority="948" operator="containsText" text="平日">
      <formula>NOT(ISERROR(SEARCH("平日",D230)))</formula>
    </cfRule>
    <cfRule type="containsText" dxfId="885" priority="949" operator="containsText" text="平日">
      <formula>NOT(ISERROR(SEARCH("平日",D230)))</formula>
    </cfRule>
    <cfRule type="containsText" dxfId="884" priority="950" operator="containsText" text="休所">
      <formula>NOT(ISERROR(SEARCH("休所",D230)))</formula>
    </cfRule>
    <cfRule type="containsText" dxfId="883" priority="951" operator="containsText" text="休所">
      <formula>NOT(ISERROR(SEARCH("休所",D230)))</formula>
    </cfRule>
    <cfRule type="containsText" dxfId="882" priority="952" operator="containsText" text="長期休暇">
      <formula>NOT(ISERROR(SEARCH("長期休暇",D230)))</formula>
    </cfRule>
  </conditionalFormatting>
  <conditionalFormatting sqref="D228">
    <cfRule type="containsText" dxfId="881" priority="937" operator="containsText" text="土日祝長期：開所とみなす">
      <formula>NOT(ISERROR(SEARCH("土日祝長期：開所とみなす",D228)))</formula>
    </cfRule>
    <cfRule type="containsText" dxfId="880" priority="938" operator="containsText" text="平日：開所とみなす">
      <formula>NOT(ISERROR(SEARCH("平日：開所とみなす",D228)))</formula>
    </cfRule>
    <cfRule type="containsText" dxfId="879" priority="939" operator="containsText" text="長期休暇">
      <formula>NOT(ISERROR(SEARCH("長期休暇",D228)))</formula>
    </cfRule>
    <cfRule type="containsText" dxfId="878" priority="940" operator="containsText" text="平日">
      <formula>NOT(ISERROR(SEARCH("平日",D228)))</formula>
    </cfRule>
    <cfRule type="containsText" dxfId="877" priority="941" operator="containsText" text="平日">
      <formula>NOT(ISERROR(SEARCH("平日",D228)))</formula>
    </cfRule>
    <cfRule type="containsText" dxfId="876" priority="942" operator="containsText" text="休所">
      <formula>NOT(ISERROR(SEARCH("休所",D228)))</formula>
    </cfRule>
    <cfRule type="containsText" dxfId="875" priority="943" operator="containsText" text="休所">
      <formula>NOT(ISERROR(SEARCH("休所",D228)))</formula>
    </cfRule>
    <cfRule type="containsText" dxfId="874" priority="944" operator="containsText" text="長期休暇">
      <formula>NOT(ISERROR(SEARCH("長期休暇",D228)))</formula>
    </cfRule>
  </conditionalFormatting>
  <conditionalFormatting sqref="D229">
    <cfRule type="containsText" dxfId="873" priority="929" operator="containsText" text="土日祝長期：開所とみなす">
      <formula>NOT(ISERROR(SEARCH("土日祝長期：開所とみなす",D229)))</formula>
    </cfRule>
    <cfRule type="containsText" dxfId="872" priority="930" operator="containsText" text="平日：開所とみなす">
      <formula>NOT(ISERROR(SEARCH("平日：開所とみなす",D229)))</formula>
    </cfRule>
    <cfRule type="containsText" dxfId="871" priority="931" operator="containsText" text="長期休暇">
      <formula>NOT(ISERROR(SEARCH("長期休暇",D229)))</formula>
    </cfRule>
    <cfRule type="containsText" dxfId="870" priority="932" operator="containsText" text="平日">
      <formula>NOT(ISERROR(SEARCH("平日",D229)))</formula>
    </cfRule>
    <cfRule type="containsText" dxfId="869" priority="933" operator="containsText" text="平日">
      <formula>NOT(ISERROR(SEARCH("平日",D229)))</formula>
    </cfRule>
    <cfRule type="containsText" dxfId="868" priority="934" operator="containsText" text="休所">
      <formula>NOT(ISERROR(SEARCH("休所",D229)))</formula>
    </cfRule>
    <cfRule type="containsText" dxfId="867" priority="935" operator="containsText" text="休所">
      <formula>NOT(ISERROR(SEARCH("休所",D229)))</formula>
    </cfRule>
    <cfRule type="containsText" dxfId="866" priority="936" operator="containsText" text="長期休暇">
      <formula>NOT(ISERROR(SEARCH("長期休暇",D229)))</formula>
    </cfRule>
  </conditionalFormatting>
  <conditionalFormatting sqref="D231">
    <cfRule type="containsText" dxfId="865" priority="921" operator="containsText" text="土日祝長期：開所とみなす">
      <formula>NOT(ISERROR(SEARCH("土日祝長期：開所とみなす",D231)))</formula>
    </cfRule>
    <cfRule type="containsText" dxfId="864" priority="922" operator="containsText" text="平日：開所とみなす">
      <formula>NOT(ISERROR(SEARCH("平日：開所とみなす",D231)))</formula>
    </cfRule>
    <cfRule type="containsText" dxfId="863" priority="923" operator="containsText" text="長期休暇">
      <formula>NOT(ISERROR(SEARCH("長期休暇",D231)))</formula>
    </cfRule>
    <cfRule type="containsText" dxfId="862" priority="924" operator="containsText" text="平日">
      <formula>NOT(ISERROR(SEARCH("平日",D231)))</formula>
    </cfRule>
    <cfRule type="containsText" dxfId="861" priority="925" operator="containsText" text="平日">
      <formula>NOT(ISERROR(SEARCH("平日",D231)))</formula>
    </cfRule>
    <cfRule type="containsText" dxfId="860" priority="926" operator="containsText" text="休所">
      <formula>NOT(ISERROR(SEARCH("休所",D231)))</formula>
    </cfRule>
    <cfRule type="containsText" dxfId="859" priority="927" operator="containsText" text="休所">
      <formula>NOT(ISERROR(SEARCH("休所",D231)))</formula>
    </cfRule>
    <cfRule type="containsText" dxfId="858" priority="928" operator="containsText" text="長期休暇">
      <formula>NOT(ISERROR(SEARCH("長期休暇",D231)))</formula>
    </cfRule>
  </conditionalFormatting>
  <conditionalFormatting sqref="D232:D234">
    <cfRule type="containsText" dxfId="857" priority="913" operator="containsText" text="土日祝長期：開所とみなす">
      <formula>NOT(ISERROR(SEARCH("土日祝長期：開所とみなす",D232)))</formula>
    </cfRule>
    <cfRule type="containsText" dxfId="856" priority="914" operator="containsText" text="平日：開所とみなす">
      <formula>NOT(ISERROR(SEARCH("平日：開所とみなす",D232)))</formula>
    </cfRule>
    <cfRule type="containsText" dxfId="855" priority="915" operator="containsText" text="長期休暇">
      <formula>NOT(ISERROR(SEARCH("長期休暇",D232)))</formula>
    </cfRule>
    <cfRule type="containsText" dxfId="854" priority="916" operator="containsText" text="平日">
      <formula>NOT(ISERROR(SEARCH("平日",D232)))</formula>
    </cfRule>
    <cfRule type="containsText" dxfId="853" priority="917" operator="containsText" text="平日">
      <formula>NOT(ISERROR(SEARCH("平日",D232)))</formula>
    </cfRule>
    <cfRule type="containsText" dxfId="852" priority="918" operator="containsText" text="休所">
      <formula>NOT(ISERROR(SEARCH("休所",D232)))</formula>
    </cfRule>
    <cfRule type="containsText" dxfId="851" priority="919" operator="containsText" text="休所">
      <formula>NOT(ISERROR(SEARCH("休所",D232)))</formula>
    </cfRule>
    <cfRule type="containsText" dxfId="850" priority="920" operator="containsText" text="長期休暇">
      <formula>NOT(ISERROR(SEARCH("長期休暇",D232)))</formula>
    </cfRule>
  </conditionalFormatting>
  <conditionalFormatting sqref="D237">
    <cfRule type="containsText" dxfId="849" priority="905" operator="containsText" text="土日祝長期：開所とみなす">
      <formula>NOT(ISERROR(SEARCH("土日祝長期：開所とみなす",D237)))</formula>
    </cfRule>
    <cfRule type="containsText" dxfId="848" priority="906" operator="containsText" text="平日：開所とみなす">
      <formula>NOT(ISERROR(SEARCH("平日：開所とみなす",D237)))</formula>
    </cfRule>
    <cfRule type="containsText" dxfId="847" priority="907" operator="containsText" text="長期休暇">
      <formula>NOT(ISERROR(SEARCH("長期休暇",D237)))</formula>
    </cfRule>
    <cfRule type="containsText" dxfId="846" priority="908" operator="containsText" text="平日">
      <formula>NOT(ISERROR(SEARCH("平日",D237)))</formula>
    </cfRule>
    <cfRule type="containsText" dxfId="845" priority="909" operator="containsText" text="平日">
      <formula>NOT(ISERROR(SEARCH("平日",D237)))</formula>
    </cfRule>
    <cfRule type="containsText" dxfId="844" priority="910" operator="containsText" text="休所">
      <formula>NOT(ISERROR(SEARCH("休所",D237)))</formula>
    </cfRule>
    <cfRule type="containsText" dxfId="843" priority="911" operator="containsText" text="休所">
      <formula>NOT(ISERROR(SEARCH("休所",D237)))</formula>
    </cfRule>
    <cfRule type="containsText" dxfId="842" priority="912" operator="containsText" text="長期休暇">
      <formula>NOT(ISERROR(SEARCH("長期休暇",D237)))</formula>
    </cfRule>
  </conditionalFormatting>
  <conditionalFormatting sqref="D235">
    <cfRule type="containsText" dxfId="841" priority="897" operator="containsText" text="土日祝長期：開所とみなす">
      <formula>NOT(ISERROR(SEARCH("土日祝長期：開所とみなす",D235)))</formula>
    </cfRule>
    <cfRule type="containsText" dxfId="840" priority="898" operator="containsText" text="平日：開所とみなす">
      <formula>NOT(ISERROR(SEARCH("平日：開所とみなす",D235)))</formula>
    </cfRule>
    <cfRule type="containsText" dxfId="839" priority="899" operator="containsText" text="長期休暇">
      <formula>NOT(ISERROR(SEARCH("長期休暇",D235)))</formula>
    </cfRule>
    <cfRule type="containsText" dxfId="838" priority="900" operator="containsText" text="平日">
      <formula>NOT(ISERROR(SEARCH("平日",D235)))</formula>
    </cfRule>
    <cfRule type="containsText" dxfId="837" priority="901" operator="containsText" text="平日">
      <formula>NOT(ISERROR(SEARCH("平日",D235)))</formula>
    </cfRule>
    <cfRule type="containsText" dxfId="836" priority="902" operator="containsText" text="休所">
      <formula>NOT(ISERROR(SEARCH("休所",D235)))</formula>
    </cfRule>
    <cfRule type="containsText" dxfId="835" priority="903" operator="containsText" text="休所">
      <formula>NOT(ISERROR(SEARCH("休所",D235)))</formula>
    </cfRule>
    <cfRule type="containsText" dxfId="834" priority="904" operator="containsText" text="長期休暇">
      <formula>NOT(ISERROR(SEARCH("長期休暇",D235)))</formula>
    </cfRule>
  </conditionalFormatting>
  <conditionalFormatting sqref="D236">
    <cfRule type="containsText" dxfId="833" priority="889" operator="containsText" text="土日祝長期：開所とみなす">
      <formula>NOT(ISERROR(SEARCH("土日祝長期：開所とみなす",D236)))</formula>
    </cfRule>
    <cfRule type="containsText" dxfId="832" priority="890" operator="containsText" text="平日：開所とみなす">
      <formula>NOT(ISERROR(SEARCH("平日：開所とみなす",D236)))</formula>
    </cfRule>
    <cfRule type="containsText" dxfId="831" priority="891" operator="containsText" text="長期休暇">
      <formula>NOT(ISERROR(SEARCH("長期休暇",D236)))</formula>
    </cfRule>
    <cfRule type="containsText" dxfId="830" priority="892" operator="containsText" text="平日">
      <formula>NOT(ISERROR(SEARCH("平日",D236)))</formula>
    </cfRule>
    <cfRule type="containsText" dxfId="829" priority="893" operator="containsText" text="平日">
      <formula>NOT(ISERROR(SEARCH("平日",D236)))</formula>
    </cfRule>
    <cfRule type="containsText" dxfId="828" priority="894" operator="containsText" text="休所">
      <formula>NOT(ISERROR(SEARCH("休所",D236)))</formula>
    </cfRule>
    <cfRule type="containsText" dxfId="827" priority="895" operator="containsText" text="休所">
      <formula>NOT(ISERROR(SEARCH("休所",D236)))</formula>
    </cfRule>
    <cfRule type="containsText" dxfId="826" priority="896" operator="containsText" text="長期休暇">
      <formula>NOT(ISERROR(SEARCH("長期休暇",D236)))</formula>
    </cfRule>
  </conditionalFormatting>
  <conditionalFormatting sqref="D238">
    <cfRule type="containsText" dxfId="825" priority="881" operator="containsText" text="土日祝長期：開所とみなす">
      <formula>NOT(ISERROR(SEARCH("土日祝長期：開所とみなす",D238)))</formula>
    </cfRule>
    <cfRule type="containsText" dxfId="824" priority="882" operator="containsText" text="平日：開所とみなす">
      <formula>NOT(ISERROR(SEARCH("平日：開所とみなす",D238)))</formula>
    </cfRule>
    <cfRule type="containsText" dxfId="823" priority="883" operator="containsText" text="長期休暇">
      <formula>NOT(ISERROR(SEARCH("長期休暇",D238)))</formula>
    </cfRule>
    <cfRule type="containsText" dxfId="822" priority="884" operator="containsText" text="平日">
      <formula>NOT(ISERROR(SEARCH("平日",D238)))</formula>
    </cfRule>
    <cfRule type="containsText" dxfId="821" priority="885" operator="containsText" text="平日">
      <formula>NOT(ISERROR(SEARCH("平日",D238)))</formula>
    </cfRule>
    <cfRule type="containsText" dxfId="820" priority="886" operator="containsText" text="休所">
      <formula>NOT(ISERROR(SEARCH("休所",D238)))</formula>
    </cfRule>
    <cfRule type="containsText" dxfId="819" priority="887" operator="containsText" text="休所">
      <formula>NOT(ISERROR(SEARCH("休所",D238)))</formula>
    </cfRule>
    <cfRule type="containsText" dxfId="818" priority="888" operator="containsText" text="長期休暇">
      <formula>NOT(ISERROR(SEARCH("長期休暇",D238)))</formula>
    </cfRule>
  </conditionalFormatting>
  <conditionalFormatting sqref="D239:D241">
    <cfRule type="containsText" dxfId="817" priority="873" operator="containsText" text="土日祝長期：開所とみなす">
      <formula>NOT(ISERROR(SEARCH("土日祝長期：開所とみなす",D239)))</formula>
    </cfRule>
    <cfRule type="containsText" dxfId="816" priority="874" operator="containsText" text="平日：開所とみなす">
      <formula>NOT(ISERROR(SEARCH("平日：開所とみなす",D239)))</formula>
    </cfRule>
    <cfRule type="containsText" dxfId="815" priority="875" operator="containsText" text="長期休暇">
      <formula>NOT(ISERROR(SEARCH("長期休暇",D239)))</formula>
    </cfRule>
    <cfRule type="containsText" dxfId="814" priority="876" operator="containsText" text="平日">
      <formula>NOT(ISERROR(SEARCH("平日",D239)))</formula>
    </cfRule>
    <cfRule type="containsText" dxfId="813" priority="877" operator="containsText" text="平日">
      <formula>NOT(ISERROR(SEARCH("平日",D239)))</formula>
    </cfRule>
    <cfRule type="containsText" dxfId="812" priority="878" operator="containsText" text="休所">
      <formula>NOT(ISERROR(SEARCH("休所",D239)))</formula>
    </cfRule>
    <cfRule type="containsText" dxfId="811" priority="879" operator="containsText" text="休所">
      <formula>NOT(ISERROR(SEARCH("休所",D239)))</formula>
    </cfRule>
    <cfRule type="containsText" dxfId="810" priority="880" operator="containsText" text="長期休暇">
      <formula>NOT(ISERROR(SEARCH("長期休暇",D239)))</formula>
    </cfRule>
  </conditionalFormatting>
  <conditionalFormatting sqref="D244">
    <cfRule type="containsText" dxfId="809" priority="865" operator="containsText" text="土日祝長期：開所とみなす">
      <formula>NOT(ISERROR(SEARCH("土日祝長期：開所とみなす",D244)))</formula>
    </cfRule>
    <cfRule type="containsText" dxfId="808" priority="866" operator="containsText" text="平日：開所とみなす">
      <formula>NOT(ISERROR(SEARCH("平日：開所とみなす",D244)))</formula>
    </cfRule>
    <cfRule type="containsText" dxfId="807" priority="867" operator="containsText" text="長期休暇">
      <formula>NOT(ISERROR(SEARCH("長期休暇",D244)))</formula>
    </cfRule>
    <cfRule type="containsText" dxfId="806" priority="868" operator="containsText" text="平日">
      <formula>NOT(ISERROR(SEARCH("平日",D244)))</formula>
    </cfRule>
    <cfRule type="containsText" dxfId="805" priority="869" operator="containsText" text="平日">
      <formula>NOT(ISERROR(SEARCH("平日",D244)))</formula>
    </cfRule>
    <cfRule type="containsText" dxfId="804" priority="870" operator="containsText" text="休所">
      <formula>NOT(ISERROR(SEARCH("休所",D244)))</formula>
    </cfRule>
    <cfRule type="containsText" dxfId="803" priority="871" operator="containsText" text="休所">
      <formula>NOT(ISERROR(SEARCH("休所",D244)))</formula>
    </cfRule>
    <cfRule type="containsText" dxfId="802" priority="872" operator="containsText" text="長期休暇">
      <formula>NOT(ISERROR(SEARCH("長期休暇",D244)))</formula>
    </cfRule>
  </conditionalFormatting>
  <conditionalFormatting sqref="D242">
    <cfRule type="containsText" dxfId="801" priority="857" operator="containsText" text="土日祝長期：開所とみなす">
      <formula>NOT(ISERROR(SEARCH("土日祝長期：開所とみなす",D242)))</formula>
    </cfRule>
    <cfRule type="containsText" dxfId="800" priority="858" operator="containsText" text="平日：開所とみなす">
      <formula>NOT(ISERROR(SEARCH("平日：開所とみなす",D242)))</formula>
    </cfRule>
    <cfRule type="containsText" dxfId="799" priority="859" operator="containsText" text="長期休暇">
      <formula>NOT(ISERROR(SEARCH("長期休暇",D242)))</formula>
    </cfRule>
    <cfRule type="containsText" dxfId="798" priority="860" operator="containsText" text="平日">
      <formula>NOT(ISERROR(SEARCH("平日",D242)))</formula>
    </cfRule>
    <cfRule type="containsText" dxfId="797" priority="861" operator="containsText" text="平日">
      <formula>NOT(ISERROR(SEARCH("平日",D242)))</formula>
    </cfRule>
    <cfRule type="containsText" dxfId="796" priority="862" operator="containsText" text="休所">
      <formula>NOT(ISERROR(SEARCH("休所",D242)))</formula>
    </cfRule>
    <cfRule type="containsText" dxfId="795" priority="863" operator="containsText" text="休所">
      <formula>NOT(ISERROR(SEARCH("休所",D242)))</formula>
    </cfRule>
    <cfRule type="containsText" dxfId="794" priority="864" operator="containsText" text="長期休暇">
      <formula>NOT(ISERROR(SEARCH("長期休暇",D242)))</formula>
    </cfRule>
  </conditionalFormatting>
  <conditionalFormatting sqref="D243">
    <cfRule type="containsText" dxfId="793" priority="849" operator="containsText" text="土日祝長期：開所とみなす">
      <formula>NOT(ISERROR(SEARCH("土日祝長期：開所とみなす",D243)))</formula>
    </cfRule>
    <cfRule type="containsText" dxfId="792" priority="850" operator="containsText" text="平日：開所とみなす">
      <formula>NOT(ISERROR(SEARCH("平日：開所とみなす",D243)))</formula>
    </cfRule>
    <cfRule type="containsText" dxfId="791" priority="851" operator="containsText" text="長期休暇">
      <formula>NOT(ISERROR(SEARCH("長期休暇",D243)))</formula>
    </cfRule>
    <cfRule type="containsText" dxfId="790" priority="852" operator="containsText" text="平日">
      <formula>NOT(ISERROR(SEARCH("平日",D243)))</formula>
    </cfRule>
    <cfRule type="containsText" dxfId="789" priority="853" operator="containsText" text="平日">
      <formula>NOT(ISERROR(SEARCH("平日",D243)))</formula>
    </cfRule>
    <cfRule type="containsText" dxfId="788" priority="854" operator="containsText" text="休所">
      <formula>NOT(ISERROR(SEARCH("休所",D243)))</formula>
    </cfRule>
    <cfRule type="containsText" dxfId="787" priority="855" operator="containsText" text="休所">
      <formula>NOT(ISERROR(SEARCH("休所",D243)))</formula>
    </cfRule>
    <cfRule type="containsText" dxfId="786" priority="856" operator="containsText" text="長期休暇">
      <formula>NOT(ISERROR(SEARCH("長期休暇",D243)))</formula>
    </cfRule>
  </conditionalFormatting>
  <conditionalFormatting sqref="D245">
    <cfRule type="containsText" dxfId="785" priority="841" operator="containsText" text="土日祝長期：開所とみなす">
      <formula>NOT(ISERROR(SEARCH("土日祝長期：開所とみなす",D245)))</formula>
    </cfRule>
    <cfRule type="containsText" dxfId="784" priority="842" operator="containsText" text="平日：開所とみなす">
      <formula>NOT(ISERROR(SEARCH("平日：開所とみなす",D245)))</formula>
    </cfRule>
    <cfRule type="containsText" dxfId="783" priority="843" operator="containsText" text="長期休暇">
      <formula>NOT(ISERROR(SEARCH("長期休暇",D245)))</formula>
    </cfRule>
    <cfRule type="containsText" dxfId="782" priority="844" operator="containsText" text="平日">
      <formula>NOT(ISERROR(SEARCH("平日",D245)))</formula>
    </cfRule>
    <cfRule type="containsText" dxfId="781" priority="845" operator="containsText" text="平日">
      <formula>NOT(ISERROR(SEARCH("平日",D245)))</formula>
    </cfRule>
    <cfRule type="containsText" dxfId="780" priority="846" operator="containsText" text="休所">
      <formula>NOT(ISERROR(SEARCH("休所",D245)))</formula>
    </cfRule>
    <cfRule type="containsText" dxfId="779" priority="847" operator="containsText" text="休所">
      <formula>NOT(ISERROR(SEARCH("休所",D245)))</formula>
    </cfRule>
    <cfRule type="containsText" dxfId="778" priority="848" operator="containsText" text="長期休暇">
      <formula>NOT(ISERROR(SEARCH("長期休暇",D245)))</formula>
    </cfRule>
  </conditionalFormatting>
  <conditionalFormatting sqref="D246:D248">
    <cfRule type="containsText" dxfId="777" priority="833" operator="containsText" text="土日祝長期：開所とみなす">
      <formula>NOT(ISERROR(SEARCH("土日祝長期：開所とみなす",D246)))</formula>
    </cfRule>
    <cfRule type="containsText" dxfId="776" priority="834" operator="containsText" text="平日：開所とみなす">
      <formula>NOT(ISERROR(SEARCH("平日：開所とみなす",D246)))</formula>
    </cfRule>
    <cfRule type="containsText" dxfId="775" priority="835" operator="containsText" text="長期休暇">
      <formula>NOT(ISERROR(SEARCH("長期休暇",D246)))</formula>
    </cfRule>
    <cfRule type="containsText" dxfId="774" priority="836" operator="containsText" text="平日">
      <formula>NOT(ISERROR(SEARCH("平日",D246)))</formula>
    </cfRule>
    <cfRule type="containsText" dxfId="773" priority="837" operator="containsText" text="平日">
      <formula>NOT(ISERROR(SEARCH("平日",D246)))</formula>
    </cfRule>
    <cfRule type="containsText" dxfId="772" priority="838" operator="containsText" text="休所">
      <formula>NOT(ISERROR(SEARCH("休所",D246)))</formula>
    </cfRule>
    <cfRule type="containsText" dxfId="771" priority="839" operator="containsText" text="休所">
      <formula>NOT(ISERROR(SEARCH("休所",D246)))</formula>
    </cfRule>
    <cfRule type="containsText" dxfId="770" priority="840" operator="containsText" text="長期休暇">
      <formula>NOT(ISERROR(SEARCH("長期休暇",D246)))</formula>
    </cfRule>
  </conditionalFormatting>
  <conditionalFormatting sqref="D251">
    <cfRule type="containsText" dxfId="769" priority="825" operator="containsText" text="土日祝長期：開所とみなす">
      <formula>NOT(ISERROR(SEARCH("土日祝長期：開所とみなす",D251)))</formula>
    </cfRule>
    <cfRule type="containsText" dxfId="768" priority="826" operator="containsText" text="平日：開所とみなす">
      <formula>NOT(ISERROR(SEARCH("平日：開所とみなす",D251)))</formula>
    </cfRule>
    <cfRule type="containsText" dxfId="767" priority="827" operator="containsText" text="長期休暇">
      <formula>NOT(ISERROR(SEARCH("長期休暇",D251)))</formula>
    </cfRule>
    <cfRule type="containsText" dxfId="766" priority="828" operator="containsText" text="平日">
      <formula>NOT(ISERROR(SEARCH("平日",D251)))</formula>
    </cfRule>
    <cfRule type="containsText" dxfId="765" priority="829" operator="containsText" text="平日">
      <formula>NOT(ISERROR(SEARCH("平日",D251)))</formula>
    </cfRule>
    <cfRule type="containsText" dxfId="764" priority="830" operator="containsText" text="休所">
      <formula>NOT(ISERROR(SEARCH("休所",D251)))</formula>
    </cfRule>
    <cfRule type="containsText" dxfId="763" priority="831" operator="containsText" text="休所">
      <formula>NOT(ISERROR(SEARCH("休所",D251)))</formula>
    </cfRule>
    <cfRule type="containsText" dxfId="762" priority="832" operator="containsText" text="長期休暇">
      <formula>NOT(ISERROR(SEARCH("長期休暇",D251)))</formula>
    </cfRule>
  </conditionalFormatting>
  <conditionalFormatting sqref="D249">
    <cfRule type="containsText" dxfId="761" priority="817" operator="containsText" text="土日祝長期：開所とみなす">
      <formula>NOT(ISERROR(SEARCH("土日祝長期：開所とみなす",D249)))</formula>
    </cfRule>
    <cfRule type="containsText" dxfId="760" priority="818" operator="containsText" text="平日：開所とみなす">
      <formula>NOT(ISERROR(SEARCH("平日：開所とみなす",D249)))</formula>
    </cfRule>
    <cfRule type="containsText" dxfId="759" priority="819" operator="containsText" text="長期休暇">
      <formula>NOT(ISERROR(SEARCH("長期休暇",D249)))</formula>
    </cfRule>
    <cfRule type="containsText" dxfId="758" priority="820" operator="containsText" text="平日">
      <formula>NOT(ISERROR(SEARCH("平日",D249)))</formula>
    </cfRule>
    <cfRule type="containsText" dxfId="757" priority="821" operator="containsText" text="平日">
      <formula>NOT(ISERROR(SEARCH("平日",D249)))</formula>
    </cfRule>
    <cfRule type="containsText" dxfId="756" priority="822" operator="containsText" text="休所">
      <formula>NOT(ISERROR(SEARCH("休所",D249)))</formula>
    </cfRule>
    <cfRule type="containsText" dxfId="755" priority="823" operator="containsText" text="休所">
      <formula>NOT(ISERROR(SEARCH("休所",D249)))</formula>
    </cfRule>
    <cfRule type="containsText" dxfId="754" priority="824" operator="containsText" text="長期休暇">
      <formula>NOT(ISERROR(SEARCH("長期休暇",D249)))</formula>
    </cfRule>
  </conditionalFormatting>
  <conditionalFormatting sqref="D250">
    <cfRule type="containsText" dxfId="753" priority="809" operator="containsText" text="土日祝長期：開所とみなす">
      <formula>NOT(ISERROR(SEARCH("土日祝長期：開所とみなす",D250)))</formula>
    </cfRule>
    <cfRule type="containsText" dxfId="752" priority="810" operator="containsText" text="平日：開所とみなす">
      <formula>NOT(ISERROR(SEARCH("平日：開所とみなす",D250)))</formula>
    </cfRule>
    <cfRule type="containsText" dxfId="751" priority="811" operator="containsText" text="長期休暇">
      <formula>NOT(ISERROR(SEARCH("長期休暇",D250)))</formula>
    </cfRule>
    <cfRule type="containsText" dxfId="750" priority="812" operator="containsText" text="平日">
      <formula>NOT(ISERROR(SEARCH("平日",D250)))</formula>
    </cfRule>
    <cfRule type="containsText" dxfId="749" priority="813" operator="containsText" text="平日">
      <formula>NOT(ISERROR(SEARCH("平日",D250)))</formula>
    </cfRule>
    <cfRule type="containsText" dxfId="748" priority="814" operator="containsText" text="休所">
      <formula>NOT(ISERROR(SEARCH("休所",D250)))</formula>
    </cfRule>
    <cfRule type="containsText" dxfId="747" priority="815" operator="containsText" text="休所">
      <formula>NOT(ISERROR(SEARCH("休所",D250)))</formula>
    </cfRule>
    <cfRule type="containsText" dxfId="746" priority="816" operator="containsText" text="長期休暇">
      <formula>NOT(ISERROR(SEARCH("長期休暇",D250)))</formula>
    </cfRule>
  </conditionalFormatting>
  <conditionalFormatting sqref="D252">
    <cfRule type="containsText" dxfId="745" priority="801" operator="containsText" text="土日祝長期：開所とみなす">
      <formula>NOT(ISERROR(SEARCH("土日祝長期：開所とみなす",D252)))</formula>
    </cfRule>
    <cfRule type="containsText" dxfId="744" priority="802" operator="containsText" text="平日：開所とみなす">
      <formula>NOT(ISERROR(SEARCH("平日：開所とみなす",D252)))</formula>
    </cfRule>
    <cfRule type="containsText" dxfId="743" priority="803" operator="containsText" text="長期休暇">
      <formula>NOT(ISERROR(SEARCH("長期休暇",D252)))</formula>
    </cfRule>
    <cfRule type="containsText" dxfId="742" priority="804" operator="containsText" text="平日">
      <formula>NOT(ISERROR(SEARCH("平日",D252)))</formula>
    </cfRule>
    <cfRule type="containsText" dxfId="741" priority="805" operator="containsText" text="平日">
      <formula>NOT(ISERROR(SEARCH("平日",D252)))</formula>
    </cfRule>
    <cfRule type="containsText" dxfId="740" priority="806" operator="containsText" text="休所">
      <formula>NOT(ISERROR(SEARCH("休所",D252)))</formula>
    </cfRule>
    <cfRule type="containsText" dxfId="739" priority="807" operator="containsText" text="休所">
      <formula>NOT(ISERROR(SEARCH("休所",D252)))</formula>
    </cfRule>
    <cfRule type="containsText" dxfId="738" priority="808" operator="containsText" text="長期休暇">
      <formula>NOT(ISERROR(SEARCH("長期休暇",D252)))</formula>
    </cfRule>
  </conditionalFormatting>
  <conditionalFormatting sqref="D253:D255">
    <cfRule type="containsText" dxfId="737" priority="793" operator="containsText" text="土日祝長期：開所とみなす">
      <formula>NOT(ISERROR(SEARCH("土日祝長期：開所とみなす",D253)))</formula>
    </cfRule>
    <cfRule type="containsText" dxfId="736" priority="794" operator="containsText" text="平日：開所とみなす">
      <formula>NOT(ISERROR(SEARCH("平日：開所とみなす",D253)))</formula>
    </cfRule>
    <cfRule type="containsText" dxfId="735" priority="795" operator="containsText" text="長期休暇">
      <formula>NOT(ISERROR(SEARCH("長期休暇",D253)))</formula>
    </cfRule>
    <cfRule type="containsText" dxfId="734" priority="796" operator="containsText" text="平日">
      <formula>NOT(ISERROR(SEARCH("平日",D253)))</formula>
    </cfRule>
    <cfRule type="containsText" dxfId="733" priority="797" operator="containsText" text="平日">
      <formula>NOT(ISERROR(SEARCH("平日",D253)))</formula>
    </cfRule>
    <cfRule type="containsText" dxfId="732" priority="798" operator="containsText" text="休所">
      <formula>NOT(ISERROR(SEARCH("休所",D253)))</formula>
    </cfRule>
    <cfRule type="containsText" dxfId="731" priority="799" operator="containsText" text="休所">
      <formula>NOT(ISERROR(SEARCH("休所",D253)))</formula>
    </cfRule>
    <cfRule type="containsText" dxfId="730" priority="800" operator="containsText" text="長期休暇">
      <formula>NOT(ISERROR(SEARCH("長期休暇",D253)))</formula>
    </cfRule>
  </conditionalFormatting>
  <conditionalFormatting sqref="D258">
    <cfRule type="containsText" dxfId="729" priority="785" operator="containsText" text="土日祝長期：開所とみなす">
      <formula>NOT(ISERROR(SEARCH("土日祝長期：開所とみなす",D258)))</formula>
    </cfRule>
    <cfRule type="containsText" dxfId="728" priority="786" operator="containsText" text="平日：開所とみなす">
      <formula>NOT(ISERROR(SEARCH("平日：開所とみなす",D258)))</formula>
    </cfRule>
    <cfRule type="containsText" dxfId="727" priority="787" operator="containsText" text="長期休暇">
      <formula>NOT(ISERROR(SEARCH("長期休暇",D258)))</formula>
    </cfRule>
    <cfRule type="containsText" dxfId="726" priority="788" operator="containsText" text="平日">
      <formula>NOT(ISERROR(SEARCH("平日",D258)))</formula>
    </cfRule>
    <cfRule type="containsText" dxfId="725" priority="789" operator="containsText" text="平日">
      <formula>NOT(ISERROR(SEARCH("平日",D258)))</formula>
    </cfRule>
    <cfRule type="containsText" dxfId="724" priority="790" operator="containsText" text="休所">
      <formula>NOT(ISERROR(SEARCH("休所",D258)))</formula>
    </cfRule>
    <cfRule type="containsText" dxfId="723" priority="791" operator="containsText" text="休所">
      <formula>NOT(ISERROR(SEARCH("休所",D258)))</formula>
    </cfRule>
    <cfRule type="containsText" dxfId="722" priority="792" operator="containsText" text="長期休暇">
      <formula>NOT(ISERROR(SEARCH("長期休暇",D258)))</formula>
    </cfRule>
  </conditionalFormatting>
  <conditionalFormatting sqref="D256">
    <cfRule type="containsText" dxfId="721" priority="777" operator="containsText" text="土日祝長期：開所とみなす">
      <formula>NOT(ISERROR(SEARCH("土日祝長期：開所とみなす",D256)))</formula>
    </cfRule>
    <cfRule type="containsText" dxfId="720" priority="778" operator="containsText" text="平日：開所とみなす">
      <formula>NOT(ISERROR(SEARCH("平日：開所とみなす",D256)))</formula>
    </cfRule>
    <cfRule type="containsText" dxfId="719" priority="779" operator="containsText" text="長期休暇">
      <formula>NOT(ISERROR(SEARCH("長期休暇",D256)))</formula>
    </cfRule>
    <cfRule type="containsText" dxfId="718" priority="780" operator="containsText" text="平日">
      <formula>NOT(ISERROR(SEARCH("平日",D256)))</formula>
    </cfRule>
    <cfRule type="containsText" dxfId="717" priority="781" operator="containsText" text="平日">
      <formula>NOT(ISERROR(SEARCH("平日",D256)))</formula>
    </cfRule>
    <cfRule type="containsText" dxfId="716" priority="782" operator="containsText" text="休所">
      <formula>NOT(ISERROR(SEARCH("休所",D256)))</formula>
    </cfRule>
    <cfRule type="containsText" dxfId="715" priority="783" operator="containsText" text="休所">
      <formula>NOT(ISERROR(SEARCH("休所",D256)))</formula>
    </cfRule>
    <cfRule type="containsText" dxfId="714" priority="784" operator="containsText" text="長期休暇">
      <formula>NOT(ISERROR(SEARCH("長期休暇",D256)))</formula>
    </cfRule>
  </conditionalFormatting>
  <conditionalFormatting sqref="D257">
    <cfRule type="containsText" dxfId="713" priority="769" operator="containsText" text="土日祝長期：開所とみなす">
      <formula>NOT(ISERROR(SEARCH("土日祝長期：開所とみなす",D257)))</formula>
    </cfRule>
    <cfRule type="containsText" dxfId="712" priority="770" operator="containsText" text="平日：開所とみなす">
      <formula>NOT(ISERROR(SEARCH("平日：開所とみなす",D257)))</formula>
    </cfRule>
    <cfRule type="containsText" dxfId="711" priority="771" operator="containsText" text="長期休暇">
      <formula>NOT(ISERROR(SEARCH("長期休暇",D257)))</formula>
    </cfRule>
    <cfRule type="containsText" dxfId="710" priority="772" operator="containsText" text="平日">
      <formula>NOT(ISERROR(SEARCH("平日",D257)))</formula>
    </cfRule>
    <cfRule type="containsText" dxfId="709" priority="773" operator="containsText" text="平日">
      <formula>NOT(ISERROR(SEARCH("平日",D257)))</formula>
    </cfRule>
    <cfRule type="containsText" dxfId="708" priority="774" operator="containsText" text="休所">
      <formula>NOT(ISERROR(SEARCH("休所",D257)))</formula>
    </cfRule>
    <cfRule type="containsText" dxfId="707" priority="775" operator="containsText" text="休所">
      <formula>NOT(ISERROR(SEARCH("休所",D257)))</formula>
    </cfRule>
    <cfRule type="containsText" dxfId="706" priority="776" operator="containsText" text="長期休暇">
      <formula>NOT(ISERROR(SEARCH("長期休暇",D257)))</formula>
    </cfRule>
  </conditionalFormatting>
  <conditionalFormatting sqref="D259">
    <cfRule type="containsText" dxfId="705" priority="761" operator="containsText" text="土日祝長期：開所とみなす">
      <formula>NOT(ISERROR(SEARCH("土日祝長期：開所とみなす",D259)))</formula>
    </cfRule>
    <cfRule type="containsText" dxfId="704" priority="762" operator="containsText" text="平日：開所とみなす">
      <formula>NOT(ISERROR(SEARCH("平日：開所とみなす",D259)))</formula>
    </cfRule>
    <cfRule type="containsText" dxfId="703" priority="763" operator="containsText" text="長期休暇">
      <formula>NOT(ISERROR(SEARCH("長期休暇",D259)))</formula>
    </cfRule>
    <cfRule type="containsText" dxfId="702" priority="764" operator="containsText" text="平日">
      <formula>NOT(ISERROR(SEARCH("平日",D259)))</formula>
    </cfRule>
    <cfRule type="containsText" dxfId="701" priority="765" operator="containsText" text="平日">
      <formula>NOT(ISERROR(SEARCH("平日",D259)))</formula>
    </cfRule>
    <cfRule type="containsText" dxfId="700" priority="766" operator="containsText" text="休所">
      <formula>NOT(ISERROR(SEARCH("休所",D259)))</formula>
    </cfRule>
    <cfRule type="containsText" dxfId="699" priority="767" operator="containsText" text="休所">
      <formula>NOT(ISERROR(SEARCH("休所",D259)))</formula>
    </cfRule>
    <cfRule type="containsText" dxfId="698" priority="768" operator="containsText" text="長期休暇">
      <formula>NOT(ISERROR(SEARCH("長期休暇",D259)))</formula>
    </cfRule>
  </conditionalFormatting>
  <conditionalFormatting sqref="D260:D262">
    <cfRule type="containsText" dxfId="697" priority="753" operator="containsText" text="土日祝長期：開所とみなす">
      <formula>NOT(ISERROR(SEARCH("土日祝長期：開所とみなす",D260)))</formula>
    </cfRule>
    <cfRule type="containsText" dxfId="696" priority="754" operator="containsText" text="平日：開所とみなす">
      <formula>NOT(ISERROR(SEARCH("平日：開所とみなす",D260)))</formula>
    </cfRule>
    <cfRule type="containsText" dxfId="695" priority="755" operator="containsText" text="長期休暇">
      <formula>NOT(ISERROR(SEARCH("長期休暇",D260)))</formula>
    </cfRule>
    <cfRule type="containsText" dxfId="694" priority="756" operator="containsText" text="平日">
      <formula>NOT(ISERROR(SEARCH("平日",D260)))</formula>
    </cfRule>
    <cfRule type="containsText" dxfId="693" priority="757" operator="containsText" text="平日">
      <formula>NOT(ISERROR(SEARCH("平日",D260)))</formula>
    </cfRule>
    <cfRule type="containsText" dxfId="692" priority="758" operator="containsText" text="休所">
      <formula>NOT(ISERROR(SEARCH("休所",D260)))</formula>
    </cfRule>
    <cfRule type="containsText" dxfId="691" priority="759" operator="containsText" text="休所">
      <formula>NOT(ISERROR(SEARCH("休所",D260)))</formula>
    </cfRule>
    <cfRule type="containsText" dxfId="690" priority="760" operator="containsText" text="長期休暇">
      <formula>NOT(ISERROR(SEARCH("長期休暇",D260)))</formula>
    </cfRule>
  </conditionalFormatting>
  <conditionalFormatting sqref="D265">
    <cfRule type="containsText" dxfId="689" priority="745" operator="containsText" text="土日祝長期：開所とみなす">
      <formula>NOT(ISERROR(SEARCH("土日祝長期：開所とみなす",D265)))</formula>
    </cfRule>
    <cfRule type="containsText" dxfId="688" priority="746" operator="containsText" text="平日：開所とみなす">
      <formula>NOT(ISERROR(SEARCH("平日：開所とみなす",D265)))</formula>
    </cfRule>
    <cfRule type="containsText" dxfId="687" priority="747" operator="containsText" text="長期休暇">
      <formula>NOT(ISERROR(SEARCH("長期休暇",D265)))</formula>
    </cfRule>
    <cfRule type="containsText" dxfId="686" priority="748" operator="containsText" text="平日">
      <formula>NOT(ISERROR(SEARCH("平日",D265)))</formula>
    </cfRule>
    <cfRule type="containsText" dxfId="685" priority="749" operator="containsText" text="平日">
      <formula>NOT(ISERROR(SEARCH("平日",D265)))</formula>
    </cfRule>
    <cfRule type="containsText" dxfId="684" priority="750" operator="containsText" text="休所">
      <formula>NOT(ISERROR(SEARCH("休所",D265)))</formula>
    </cfRule>
    <cfRule type="containsText" dxfId="683" priority="751" operator="containsText" text="休所">
      <formula>NOT(ISERROR(SEARCH("休所",D265)))</formula>
    </cfRule>
    <cfRule type="containsText" dxfId="682" priority="752" operator="containsText" text="長期休暇">
      <formula>NOT(ISERROR(SEARCH("長期休暇",D265)))</formula>
    </cfRule>
  </conditionalFormatting>
  <conditionalFormatting sqref="D263">
    <cfRule type="containsText" dxfId="681" priority="737" operator="containsText" text="土日祝長期：開所とみなす">
      <formula>NOT(ISERROR(SEARCH("土日祝長期：開所とみなす",D263)))</formula>
    </cfRule>
    <cfRule type="containsText" dxfId="680" priority="738" operator="containsText" text="平日：開所とみなす">
      <formula>NOT(ISERROR(SEARCH("平日：開所とみなす",D263)))</formula>
    </cfRule>
    <cfRule type="containsText" dxfId="679" priority="739" operator="containsText" text="長期休暇">
      <formula>NOT(ISERROR(SEARCH("長期休暇",D263)))</formula>
    </cfRule>
    <cfRule type="containsText" dxfId="678" priority="740" operator="containsText" text="平日">
      <formula>NOT(ISERROR(SEARCH("平日",D263)))</formula>
    </cfRule>
    <cfRule type="containsText" dxfId="677" priority="741" operator="containsText" text="平日">
      <formula>NOT(ISERROR(SEARCH("平日",D263)))</formula>
    </cfRule>
    <cfRule type="containsText" dxfId="676" priority="742" operator="containsText" text="休所">
      <formula>NOT(ISERROR(SEARCH("休所",D263)))</formula>
    </cfRule>
    <cfRule type="containsText" dxfId="675" priority="743" operator="containsText" text="休所">
      <formula>NOT(ISERROR(SEARCH("休所",D263)))</formula>
    </cfRule>
    <cfRule type="containsText" dxfId="674" priority="744" operator="containsText" text="長期休暇">
      <formula>NOT(ISERROR(SEARCH("長期休暇",D263)))</formula>
    </cfRule>
  </conditionalFormatting>
  <conditionalFormatting sqref="D264">
    <cfRule type="containsText" dxfId="673" priority="729" operator="containsText" text="土日祝長期：開所とみなす">
      <formula>NOT(ISERROR(SEARCH("土日祝長期：開所とみなす",D264)))</formula>
    </cfRule>
    <cfRule type="containsText" dxfId="672" priority="730" operator="containsText" text="平日：開所とみなす">
      <formula>NOT(ISERROR(SEARCH("平日：開所とみなす",D264)))</formula>
    </cfRule>
    <cfRule type="containsText" dxfId="671" priority="731" operator="containsText" text="長期休暇">
      <formula>NOT(ISERROR(SEARCH("長期休暇",D264)))</formula>
    </cfRule>
    <cfRule type="containsText" dxfId="670" priority="732" operator="containsText" text="平日">
      <formula>NOT(ISERROR(SEARCH("平日",D264)))</formula>
    </cfRule>
    <cfRule type="containsText" dxfId="669" priority="733" operator="containsText" text="平日">
      <formula>NOT(ISERROR(SEARCH("平日",D264)))</formula>
    </cfRule>
    <cfRule type="containsText" dxfId="668" priority="734" operator="containsText" text="休所">
      <formula>NOT(ISERROR(SEARCH("休所",D264)))</formula>
    </cfRule>
    <cfRule type="containsText" dxfId="667" priority="735" operator="containsText" text="休所">
      <formula>NOT(ISERROR(SEARCH("休所",D264)))</formula>
    </cfRule>
    <cfRule type="containsText" dxfId="666" priority="736" operator="containsText" text="長期休暇">
      <formula>NOT(ISERROR(SEARCH("長期休暇",D264)))</formula>
    </cfRule>
  </conditionalFormatting>
  <conditionalFormatting sqref="D266">
    <cfRule type="containsText" dxfId="665" priority="721" operator="containsText" text="土日祝長期：開所とみなす">
      <formula>NOT(ISERROR(SEARCH("土日祝長期：開所とみなす",D266)))</formula>
    </cfRule>
    <cfRule type="containsText" dxfId="664" priority="722" operator="containsText" text="平日：開所とみなす">
      <formula>NOT(ISERROR(SEARCH("平日：開所とみなす",D266)))</formula>
    </cfRule>
    <cfRule type="containsText" dxfId="663" priority="723" operator="containsText" text="長期休暇">
      <formula>NOT(ISERROR(SEARCH("長期休暇",D266)))</formula>
    </cfRule>
    <cfRule type="containsText" dxfId="662" priority="724" operator="containsText" text="平日">
      <formula>NOT(ISERROR(SEARCH("平日",D266)))</formula>
    </cfRule>
    <cfRule type="containsText" dxfId="661" priority="725" operator="containsText" text="平日">
      <formula>NOT(ISERROR(SEARCH("平日",D266)))</formula>
    </cfRule>
    <cfRule type="containsText" dxfId="660" priority="726" operator="containsText" text="休所">
      <formula>NOT(ISERROR(SEARCH("休所",D266)))</formula>
    </cfRule>
    <cfRule type="containsText" dxfId="659" priority="727" operator="containsText" text="休所">
      <formula>NOT(ISERROR(SEARCH("休所",D266)))</formula>
    </cfRule>
    <cfRule type="containsText" dxfId="658" priority="728" operator="containsText" text="長期休暇">
      <formula>NOT(ISERROR(SEARCH("長期休暇",D266)))</formula>
    </cfRule>
  </conditionalFormatting>
  <conditionalFormatting sqref="D267:D269">
    <cfRule type="containsText" dxfId="657" priority="713" operator="containsText" text="土日祝長期：開所とみなす">
      <formula>NOT(ISERROR(SEARCH("土日祝長期：開所とみなす",D267)))</formula>
    </cfRule>
    <cfRule type="containsText" dxfId="656" priority="714" operator="containsText" text="平日：開所とみなす">
      <formula>NOT(ISERROR(SEARCH("平日：開所とみなす",D267)))</formula>
    </cfRule>
    <cfRule type="containsText" dxfId="655" priority="715" operator="containsText" text="長期休暇">
      <formula>NOT(ISERROR(SEARCH("長期休暇",D267)))</formula>
    </cfRule>
    <cfRule type="containsText" dxfId="654" priority="716" operator="containsText" text="平日">
      <formula>NOT(ISERROR(SEARCH("平日",D267)))</formula>
    </cfRule>
    <cfRule type="containsText" dxfId="653" priority="717" operator="containsText" text="平日">
      <formula>NOT(ISERROR(SEARCH("平日",D267)))</formula>
    </cfRule>
    <cfRule type="containsText" dxfId="652" priority="718" operator="containsText" text="休所">
      <formula>NOT(ISERROR(SEARCH("休所",D267)))</formula>
    </cfRule>
    <cfRule type="containsText" dxfId="651" priority="719" operator="containsText" text="休所">
      <formula>NOT(ISERROR(SEARCH("休所",D267)))</formula>
    </cfRule>
    <cfRule type="containsText" dxfId="650" priority="720" operator="containsText" text="長期休暇">
      <formula>NOT(ISERROR(SEARCH("長期休暇",D267)))</formula>
    </cfRule>
  </conditionalFormatting>
  <conditionalFormatting sqref="D272">
    <cfRule type="containsText" dxfId="649" priority="705" operator="containsText" text="土日祝長期：開所とみなす">
      <formula>NOT(ISERROR(SEARCH("土日祝長期：開所とみなす",D272)))</formula>
    </cfRule>
    <cfRule type="containsText" dxfId="648" priority="706" operator="containsText" text="平日：開所とみなす">
      <formula>NOT(ISERROR(SEARCH("平日：開所とみなす",D272)))</formula>
    </cfRule>
    <cfRule type="containsText" dxfId="647" priority="707" operator="containsText" text="長期休暇">
      <formula>NOT(ISERROR(SEARCH("長期休暇",D272)))</formula>
    </cfRule>
    <cfRule type="containsText" dxfId="646" priority="708" operator="containsText" text="平日">
      <formula>NOT(ISERROR(SEARCH("平日",D272)))</formula>
    </cfRule>
    <cfRule type="containsText" dxfId="645" priority="709" operator="containsText" text="平日">
      <formula>NOT(ISERROR(SEARCH("平日",D272)))</formula>
    </cfRule>
    <cfRule type="containsText" dxfId="644" priority="710" operator="containsText" text="休所">
      <formula>NOT(ISERROR(SEARCH("休所",D272)))</formula>
    </cfRule>
    <cfRule type="containsText" dxfId="643" priority="711" operator="containsText" text="休所">
      <formula>NOT(ISERROR(SEARCH("休所",D272)))</formula>
    </cfRule>
    <cfRule type="containsText" dxfId="642" priority="712" operator="containsText" text="長期休暇">
      <formula>NOT(ISERROR(SEARCH("長期休暇",D272)))</formula>
    </cfRule>
  </conditionalFormatting>
  <conditionalFormatting sqref="D270">
    <cfRule type="containsText" dxfId="641" priority="697" operator="containsText" text="土日祝長期：開所とみなす">
      <formula>NOT(ISERROR(SEARCH("土日祝長期：開所とみなす",D270)))</formula>
    </cfRule>
    <cfRule type="containsText" dxfId="640" priority="698" operator="containsText" text="平日：開所とみなす">
      <formula>NOT(ISERROR(SEARCH("平日：開所とみなす",D270)))</formula>
    </cfRule>
    <cfRule type="containsText" dxfId="639" priority="699" operator="containsText" text="長期休暇">
      <formula>NOT(ISERROR(SEARCH("長期休暇",D270)))</formula>
    </cfRule>
    <cfRule type="containsText" dxfId="638" priority="700" operator="containsText" text="平日">
      <formula>NOT(ISERROR(SEARCH("平日",D270)))</formula>
    </cfRule>
    <cfRule type="containsText" dxfId="637" priority="701" operator="containsText" text="平日">
      <formula>NOT(ISERROR(SEARCH("平日",D270)))</formula>
    </cfRule>
    <cfRule type="containsText" dxfId="636" priority="702" operator="containsText" text="休所">
      <formula>NOT(ISERROR(SEARCH("休所",D270)))</formula>
    </cfRule>
    <cfRule type="containsText" dxfId="635" priority="703" operator="containsText" text="休所">
      <formula>NOT(ISERROR(SEARCH("休所",D270)))</formula>
    </cfRule>
    <cfRule type="containsText" dxfId="634" priority="704" operator="containsText" text="長期休暇">
      <formula>NOT(ISERROR(SEARCH("長期休暇",D270)))</formula>
    </cfRule>
  </conditionalFormatting>
  <conditionalFormatting sqref="D271">
    <cfRule type="containsText" dxfId="633" priority="689" operator="containsText" text="土日祝長期：開所とみなす">
      <formula>NOT(ISERROR(SEARCH("土日祝長期：開所とみなす",D271)))</formula>
    </cfRule>
    <cfRule type="containsText" dxfId="632" priority="690" operator="containsText" text="平日：開所とみなす">
      <formula>NOT(ISERROR(SEARCH("平日：開所とみなす",D271)))</formula>
    </cfRule>
    <cfRule type="containsText" dxfId="631" priority="691" operator="containsText" text="長期休暇">
      <formula>NOT(ISERROR(SEARCH("長期休暇",D271)))</formula>
    </cfRule>
    <cfRule type="containsText" dxfId="630" priority="692" operator="containsText" text="平日">
      <formula>NOT(ISERROR(SEARCH("平日",D271)))</formula>
    </cfRule>
    <cfRule type="containsText" dxfId="629" priority="693" operator="containsText" text="平日">
      <formula>NOT(ISERROR(SEARCH("平日",D271)))</formula>
    </cfRule>
    <cfRule type="containsText" dxfId="628" priority="694" operator="containsText" text="休所">
      <formula>NOT(ISERROR(SEARCH("休所",D271)))</formula>
    </cfRule>
    <cfRule type="containsText" dxfId="627" priority="695" operator="containsText" text="休所">
      <formula>NOT(ISERROR(SEARCH("休所",D271)))</formula>
    </cfRule>
    <cfRule type="containsText" dxfId="626" priority="696" operator="containsText" text="長期休暇">
      <formula>NOT(ISERROR(SEARCH("長期休暇",D271)))</formula>
    </cfRule>
  </conditionalFormatting>
  <conditionalFormatting sqref="D273:D276">
    <cfRule type="containsText" dxfId="625" priority="681" operator="containsText" text="土日祝長期：開所とみなす">
      <formula>NOT(ISERROR(SEARCH("土日祝長期：開所とみなす",D273)))</formula>
    </cfRule>
    <cfRule type="containsText" dxfId="624" priority="682" operator="containsText" text="平日：開所とみなす">
      <formula>NOT(ISERROR(SEARCH("平日：開所とみなす",D273)))</formula>
    </cfRule>
    <cfRule type="containsText" dxfId="623" priority="683" operator="containsText" text="長期休暇">
      <formula>NOT(ISERROR(SEARCH("長期休暇",D273)))</formula>
    </cfRule>
    <cfRule type="containsText" dxfId="622" priority="684" operator="containsText" text="平日">
      <formula>NOT(ISERROR(SEARCH("平日",D273)))</formula>
    </cfRule>
    <cfRule type="containsText" dxfId="621" priority="685" operator="containsText" text="平日">
      <formula>NOT(ISERROR(SEARCH("平日",D273)))</formula>
    </cfRule>
    <cfRule type="containsText" dxfId="620" priority="686" operator="containsText" text="休所">
      <formula>NOT(ISERROR(SEARCH("休所",D273)))</formula>
    </cfRule>
    <cfRule type="containsText" dxfId="619" priority="687" operator="containsText" text="休所">
      <formula>NOT(ISERROR(SEARCH("休所",D273)))</formula>
    </cfRule>
    <cfRule type="containsText" dxfId="618" priority="688" operator="containsText" text="長期休暇">
      <formula>NOT(ISERROR(SEARCH("長期休暇",D273)))</formula>
    </cfRule>
  </conditionalFormatting>
  <conditionalFormatting sqref="D288:D290">
    <cfRule type="containsText" dxfId="617" priority="665" operator="containsText" text="土日祝長期：開所とみなす">
      <formula>NOT(ISERROR(SEARCH("土日祝長期：開所とみなす",D288)))</formula>
    </cfRule>
    <cfRule type="containsText" dxfId="616" priority="666" operator="containsText" text="平日：開所とみなす">
      <formula>NOT(ISERROR(SEARCH("平日：開所とみなす",D288)))</formula>
    </cfRule>
    <cfRule type="containsText" dxfId="615" priority="667" operator="containsText" text="長期休暇">
      <formula>NOT(ISERROR(SEARCH("長期休暇",D288)))</formula>
    </cfRule>
    <cfRule type="containsText" dxfId="614" priority="668" operator="containsText" text="平日">
      <formula>NOT(ISERROR(SEARCH("平日",D288)))</formula>
    </cfRule>
    <cfRule type="containsText" dxfId="613" priority="669" operator="containsText" text="平日">
      <formula>NOT(ISERROR(SEARCH("平日",D288)))</formula>
    </cfRule>
    <cfRule type="containsText" dxfId="612" priority="670" operator="containsText" text="休所">
      <formula>NOT(ISERROR(SEARCH("休所",D288)))</formula>
    </cfRule>
    <cfRule type="containsText" dxfId="611" priority="671" operator="containsText" text="休所">
      <formula>NOT(ISERROR(SEARCH("休所",D288)))</formula>
    </cfRule>
    <cfRule type="containsText" dxfId="610" priority="672" operator="containsText" text="長期休暇">
      <formula>NOT(ISERROR(SEARCH("長期休暇",D288)))</formula>
    </cfRule>
  </conditionalFormatting>
  <conditionalFormatting sqref="D293">
    <cfRule type="containsText" dxfId="609" priority="657" operator="containsText" text="土日祝長期：開所とみなす">
      <formula>NOT(ISERROR(SEARCH("土日祝長期：開所とみなす",D293)))</formula>
    </cfRule>
    <cfRule type="containsText" dxfId="608" priority="658" operator="containsText" text="平日：開所とみなす">
      <formula>NOT(ISERROR(SEARCH("平日：開所とみなす",D293)))</formula>
    </cfRule>
    <cfRule type="containsText" dxfId="607" priority="659" operator="containsText" text="長期休暇">
      <formula>NOT(ISERROR(SEARCH("長期休暇",D293)))</formula>
    </cfRule>
    <cfRule type="containsText" dxfId="606" priority="660" operator="containsText" text="平日">
      <formula>NOT(ISERROR(SEARCH("平日",D293)))</formula>
    </cfRule>
    <cfRule type="containsText" dxfId="605" priority="661" operator="containsText" text="平日">
      <formula>NOT(ISERROR(SEARCH("平日",D293)))</formula>
    </cfRule>
    <cfRule type="containsText" dxfId="604" priority="662" operator="containsText" text="休所">
      <formula>NOT(ISERROR(SEARCH("休所",D293)))</formula>
    </cfRule>
    <cfRule type="containsText" dxfId="603" priority="663" operator="containsText" text="休所">
      <formula>NOT(ISERROR(SEARCH("休所",D293)))</formula>
    </cfRule>
    <cfRule type="containsText" dxfId="602" priority="664" operator="containsText" text="長期休暇">
      <formula>NOT(ISERROR(SEARCH("長期休暇",D293)))</formula>
    </cfRule>
  </conditionalFormatting>
  <conditionalFormatting sqref="D291">
    <cfRule type="containsText" dxfId="601" priority="649" operator="containsText" text="土日祝長期：開所とみなす">
      <formula>NOT(ISERROR(SEARCH("土日祝長期：開所とみなす",D291)))</formula>
    </cfRule>
    <cfRule type="containsText" dxfId="600" priority="650" operator="containsText" text="平日：開所とみなす">
      <formula>NOT(ISERROR(SEARCH("平日：開所とみなす",D291)))</formula>
    </cfRule>
    <cfRule type="containsText" dxfId="599" priority="651" operator="containsText" text="長期休暇">
      <formula>NOT(ISERROR(SEARCH("長期休暇",D291)))</formula>
    </cfRule>
    <cfRule type="containsText" dxfId="598" priority="652" operator="containsText" text="平日">
      <formula>NOT(ISERROR(SEARCH("平日",D291)))</formula>
    </cfRule>
    <cfRule type="containsText" dxfId="597" priority="653" operator="containsText" text="平日">
      <formula>NOT(ISERROR(SEARCH("平日",D291)))</formula>
    </cfRule>
    <cfRule type="containsText" dxfId="596" priority="654" operator="containsText" text="休所">
      <formula>NOT(ISERROR(SEARCH("休所",D291)))</formula>
    </cfRule>
    <cfRule type="containsText" dxfId="595" priority="655" operator="containsText" text="休所">
      <formula>NOT(ISERROR(SEARCH("休所",D291)))</formula>
    </cfRule>
    <cfRule type="containsText" dxfId="594" priority="656" operator="containsText" text="長期休暇">
      <formula>NOT(ISERROR(SEARCH("長期休暇",D291)))</formula>
    </cfRule>
  </conditionalFormatting>
  <conditionalFormatting sqref="D292">
    <cfRule type="containsText" dxfId="593" priority="641" operator="containsText" text="土日祝長期：開所とみなす">
      <formula>NOT(ISERROR(SEARCH("土日祝長期：開所とみなす",D292)))</formula>
    </cfRule>
    <cfRule type="containsText" dxfId="592" priority="642" operator="containsText" text="平日：開所とみなす">
      <formula>NOT(ISERROR(SEARCH("平日：開所とみなす",D292)))</formula>
    </cfRule>
    <cfRule type="containsText" dxfId="591" priority="643" operator="containsText" text="長期休暇">
      <formula>NOT(ISERROR(SEARCH("長期休暇",D292)))</formula>
    </cfRule>
    <cfRule type="containsText" dxfId="590" priority="644" operator="containsText" text="平日">
      <formula>NOT(ISERROR(SEARCH("平日",D292)))</formula>
    </cfRule>
    <cfRule type="containsText" dxfId="589" priority="645" operator="containsText" text="平日">
      <formula>NOT(ISERROR(SEARCH("平日",D292)))</formula>
    </cfRule>
    <cfRule type="containsText" dxfId="588" priority="646" operator="containsText" text="休所">
      <formula>NOT(ISERROR(SEARCH("休所",D292)))</formula>
    </cfRule>
    <cfRule type="containsText" dxfId="587" priority="647" operator="containsText" text="休所">
      <formula>NOT(ISERROR(SEARCH("休所",D292)))</formula>
    </cfRule>
    <cfRule type="containsText" dxfId="586" priority="648" operator="containsText" text="長期休暇">
      <formula>NOT(ISERROR(SEARCH("長期休暇",D292)))</formula>
    </cfRule>
  </conditionalFormatting>
  <conditionalFormatting sqref="D294">
    <cfRule type="containsText" dxfId="585" priority="633" operator="containsText" text="土日祝長期：開所とみなす">
      <formula>NOT(ISERROR(SEARCH("土日祝長期：開所とみなす",D294)))</formula>
    </cfRule>
    <cfRule type="containsText" dxfId="584" priority="634" operator="containsText" text="平日：開所とみなす">
      <formula>NOT(ISERROR(SEARCH("平日：開所とみなす",D294)))</formula>
    </cfRule>
    <cfRule type="containsText" dxfId="583" priority="635" operator="containsText" text="長期休暇">
      <formula>NOT(ISERROR(SEARCH("長期休暇",D294)))</formula>
    </cfRule>
    <cfRule type="containsText" dxfId="582" priority="636" operator="containsText" text="平日">
      <formula>NOT(ISERROR(SEARCH("平日",D294)))</formula>
    </cfRule>
    <cfRule type="containsText" dxfId="581" priority="637" operator="containsText" text="平日">
      <formula>NOT(ISERROR(SEARCH("平日",D294)))</formula>
    </cfRule>
    <cfRule type="containsText" dxfId="580" priority="638" operator="containsText" text="休所">
      <formula>NOT(ISERROR(SEARCH("休所",D294)))</formula>
    </cfRule>
    <cfRule type="containsText" dxfId="579" priority="639" operator="containsText" text="休所">
      <formula>NOT(ISERROR(SEARCH("休所",D294)))</formula>
    </cfRule>
    <cfRule type="containsText" dxfId="578" priority="640" operator="containsText" text="長期休暇">
      <formula>NOT(ISERROR(SEARCH("長期休暇",D294)))</formula>
    </cfRule>
  </conditionalFormatting>
  <conditionalFormatting sqref="D295:D297">
    <cfRule type="containsText" dxfId="577" priority="625" operator="containsText" text="土日祝長期：開所とみなす">
      <formula>NOT(ISERROR(SEARCH("土日祝長期：開所とみなす",D295)))</formula>
    </cfRule>
    <cfRule type="containsText" dxfId="576" priority="626" operator="containsText" text="平日：開所とみなす">
      <formula>NOT(ISERROR(SEARCH("平日：開所とみなす",D295)))</formula>
    </cfRule>
    <cfRule type="containsText" dxfId="575" priority="627" operator="containsText" text="長期休暇">
      <formula>NOT(ISERROR(SEARCH("長期休暇",D295)))</formula>
    </cfRule>
    <cfRule type="containsText" dxfId="574" priority="628" operator="containsText" text="平日">
      <formula>NOT(ISERROR(SEARCH("平日",D295)))</formula>
    </cfRule>
    <cfRule type="containsText" dxfId="573" priority="629" operator="containsText" text="平日">
      <formula>NOT(ISERROR(SEARCH("平日",D295)))</formula>
    </cfRule>
    <cfRule type="containsText" dxfId="572" priority="630" operator="containsText" text="休所">
      <formula>NOT(ISERROR(SEARCH("休所",D295)))</formula>
    </cfRule>
    <cfRule type="containsText" dxfId="571" priority="631" operator="containsText" text="休所">
      <formula>NOT(ISERROR(SEARCH("休所",D295)))</formula>
    </cfRule>
    <cfRule type="containsText" dxfId="570" priority="632" operator="containsText" text="長期休暇">
      <formula>NOT(ISERROR(SEARCH("長期休暇",D295)))</formula>
    </cfRule>
  </conditionalFormatting>
  <conditionalFormatting sqref="D300">
    <cfRule type="containsText" dxfId="569" priority="617" operator="containsText" text="土日祝長期：開所とみなす">
      <formula>NOT(ISERROR(SEARCH("土日祝長期：開所とみなす",D300)))</formula>
    </cfRule>
    <cfRule type="containsText" dxfId="568" priority="618" operator="containsText" text="平日：開所とみなす">
      <formula>NOT(ISERROR(SEARCH("平日：開所とみなす",D300)))</formula>
    </cfRule>
    <cfRule type="containsText" dxfId="567" priority="619" operator="containsText" text="長期休暇">
      <formula>NOT(ISERROR(SEARCH("長期休暇",D300)))</formula>
    </cfRule>
    <cfRule type="containsText" dxfId="566" priority="620" operator="containsText" text="平日">
      <formula>NOT(ISERROR(SEARCH("平日",D300)))</formula>
    </cfRule>
    <cfRule type="containsText" dxfId="565" priority="621" operator="containsText" text="平日">
      <formula>NOT(ISERROR(SEARCH("平日",D300)))</formula>
    </cfRule>
    <cfRule type="containsText" dxfId="564" priority="622" operator="containsText" text="休所">
      <formula>NOT(ISERROR(SEARCH("休所",D300)))</formula>
    </cfRule>
    <cfRule type="containsText" dxfId="563" priority="623" operator="containsText" text="休所">
      <formula>NOT(ISERROR(SEARCH("休所",D300)))</formula>
    </cfRule>
    <cfRule type="containsText" dxfId="562" priority="624" operator="containsText" text="長期休暇">
      <formula>NOT(ISERROR(SEARCH("長期休暇",D300)))</formula>
    </cfRule>
  </conditionalFormatting>
  <conditionalFormatting sqref="D298">
    <cfRule type="containsText" dxfId="561" priority="609" operator="containsText" text="土日祝長期：開所とみなす">
      <formula>NOT(ISERROR(SEARCH("土日祝長期：開所とみなす",D298)))</formula>
    </cfRule>
    <cfRule type="containsText" dxfId="560" priority="610" operator="containsText" text="平日：開所とみなす">
      <formula>NOT(ISERROR(SEARCH("平日：開所とみなす",D298)))</formula>
    </cfRule>
    <cfRule type="containsText" dxfId="559" priority="611" operator="containsText" text="長期休暇">
      <formula>NOT(ISERROR(SEARCH("長期休暇",D298)))</formula>
    </cfRule>
    <cfRule type="containsText" dxfId="558" priority="612" operator="containsText" text="平日">
      <formula>NOT(ISERROR(SEARCH("平日",D298)))</formula>
    </cfRule>
    <cfRule type="containsText" dxfId="557" priority="613" operator="containsText" text="平日">
      <formula>NOT(ISERROR(SEARCH("平日",D298)))</formula>
    </cfRule>
    <cfRule type="containsText" dxfId="556" priority="614" operator="containsText" text="休所">
      <formula>NOT(ISERROR(SEARCH("休所",D298)))</formula>
    </cfRule>
    <cfRule type="containsText" dxfId="555" priority="615" operator="containsText" text="休所">
      <formula>NOT(ISERROR(SEARCH("休所",D298)))</formula>
    </cfRule>
    <cfRule type="containsText" dxfId="554" priority="616" operator="containsText" text="長期休暇">
      <formula>NOT(ISERROR(SEARCH("長期休暇",D298)))</formula>
    </cfRule>
  </conditionalFormatting>
  <conditionalFormatting sqref="D299">
    <cfRule type="containsText" dxfId="553" priority="601" operator="containsText" text="土日祝長期：開所とみなす">
      <formula>NOT(ISERROR(SEARCH("土日祝長期：開所とみなす",D299)))</formula>
    </cfRule>
    <cfRule type="containsText" dxfId="552" priority="602" operator="containsText" text="平日：開所とみなす">
      <formula>NOT(ISERROR(SEARCH("平日：開所とみなす",D299)))</formula>
    </cfRule>
    <cfRule type="containsText" dxfId="551" priority="603" operator="containsText" text="長期休暇">
      <formula>NOT(ISERROR(SEARCH("長期休暇",D299)))</formula>
    </cfRule>
    <cfRule type="containsText" dxfId="550" priority="604" operator="containsText" text="平日">
      <formula>NOT(ISERROR(SEARCH("平日",D299)))</formula>
    </cfRule>
    <cfRule type="containsText" dxfId="549" priority="605" operator="containsText" text="平日">
      <formula>NOT(ISERROR(SEARCH("平日",D299)))</formula>
    </cfRule>
    <cfRule type="containsText" dxfId="548" priority="606" operator="containsText" text="休所">
      <formula>NOT(ISERROR(SEARCH("休所",D299)))</formula>
    </cfRule>
    <cfRule type="containsText" dxfId="547" priority="607" operator="containsText" text="休所">
      <formula>NOT(ISERROR(SEARCH("休所",D299)))</formula>
    </cfRule>
    <cfRule type="containsText" dxfId="546" priority="608" operator="containsText" text="長期休暇">
      <formula>NOT(ISERROR(SEARCH("長期休暇",D299)))</formula>
    </cfRule>
  </conditionalFormatting>
  <conditionalFormatting sqref="D301">
    <cfRule type="containsText" dxfId="545" priority="593" operator="containsText" text="土日祝長期：開所とみなす">
      <formula>NOT(ISERROR(SEARCH("土日祝長期：開所とみなす",D301)))</formula>
    </cfRule>
    <cfRule type="containsText" dxfId="544" priority="594" operator="containsText" text="平日：開所とみなす">
      <formula>NOT(ISERROR(SEARCH("平日：開所とみなす",D301)))</formula>
    </cfRule>
    <cfRule type="containsText" dxfId="543" priority="595" operator="containsText" text="長期休暇">
      <formula>NOT(ISERROR(SEARCH("長期休暇",D301)))</formula>
    </cfRule>
    <cfRule type="containsText" dxfId="542" priority="596" operator="containsText" text="平日">
      <formula>NOT(ISERROR(SEARCH("平日",D301)))</formula>
    </cfRule>
    <cfRule type="containsText" dxfId="541" priority="597" operator="containsText" text="平日">
      <formula>NOT(ISERROR(SEARCH("平日",D301)))</formula>
    </cfRule>
    <cfRule type="containsText" dxfId="540" priority="598" operator="containsText" text="休所">
      <formula>NOT(ISERROR(SEARCH("休所",D301)))</formula>
    </cfRule>
    <cfRule type="containsText" dxfId="539" priority="599" operator="containsText" text="休所">
      <formula>NOT(ISERROR(SEARCH("休所",D301)))</formula>
    </cfRule>
    <cfRule type="containsText" dxfId="538" priority="600" operator="containsText" text="長期休暇">
      <formula>NOT(ISERROR(SEARCH("長期休暇",D301)))</formula>
    </cfRule>
  </conditionalFormatting>
  <conditionalFormatting sqref="D302:D304">
    <cfRule type="containsText" dxfId="537" priority="585" operator="containsText" text="土日祝長期：開所とみなす">
      <formula>NOT(ISERROR(SEARCH("土日祝長期：開所とみなす",D302)))</formula>
    </cfRule>
    <cfRule type="containsText" dxfId="536" priority="586" operator="containsText" text="平日：開所とみなす">
      <formula>NOT(ISERROR(SEARCH("平日：開所とみなす",D302)))</formula>
    </cfRule>
    <cfRule type="containsText" dxfId="535" priority="587" operator="containsText" text="長期休暇">
      <formula>NOT(ISERROR(SEARCH("長期休暇",D302)))</formula>
    </cfRule>
    <cfRule type="containsText" dxfId="534" priority="588" operator="containsText" text="平日">
      <formula>NOT(ISERROR(SEARCH("平日",D302)))</formula>
    </cfRule>
    <cfRule type="containsText" dxfId="533" priority="589" operator="containsText" text="平日">
      <formula>NOT(ISERROR(SEARCH("平日",D302)))</formula>
    </cfRule>
    <cfRule type="containsText" dxfId="532" priority="590" operator="containsText" text="休所">
      <formula>NOT(ISERROR(SEARCH("休所",D302)))</formula>
    </cfRule>
    <cfRule type="containsText" dxfId="531" priority="591" operator="containsText" text="休所">
      <formula>NOT(ISERROR(SEARCH("休所",D302)))</formula>
    </cfRule>
    <cfRule type="containsText" dxfId="530" priority="592" operator="containsText" text="長期休暇">
      <formula>NOT(ISERROR(SEARCH("長期休暇",D302)))</formula>
    </cfRule>
  </conditionalFormatting>
  <conditionalFormatting sqref="D307">
    <cfRule type="containsText" dxfId="529" priority="577" operator="containsText" text="土日祝長期：開所とみなす">
      <formula>NOT(ISERROR(SEARCH("土日祝長期：開所とみなす",D307)))</formula>
    </cfRule>
    <cfRule type="containsText" dxfId="528" priority="578" operator="containsText" text="平日：開所とみなす">
      <formula>NOT(ISERROR(SEARCH("平日：開所とみなす",D307)))</formula>
    </cfRule>
    <cfRule type="containsText" dxfId="527" priority="579" operator="containsText" text="長期休暇">
      <formula>NOT(ISERROR(SEARCH("長期休暇",D307)))</formula>
    </cfRule>
    <cfRule type="containsText" dxfId="526" priority="580" operator="containsText" text="平日">
      <formula>NOT(ISERROR(SEARCH("平日",D307)))</formula>
    </cfRule>
    <cfRule type="containsText" dxfId="525" priority="581" operator="containsText" text="平日">
      <formula>NOT(ISERROR(SEARCH("平日",D307)))</formula>
    </cfRule>
    <cfRule type="containsText" dxfId="524" priority="582" operator="containsText" text="休所">
      <formula>NOT(ISERROR(SEARCH("休所",D307)))</formula>
    </cfRule>
    <cfRule type="containsText" dxfId="523" priority="583" operator="containsText" text="休所">
      <formula>NOT(ISERROR(SEARCH("休所",D307)))</formula>
    </cfRule>
    <cfRule type="containsText" dxfId="522" priority="584" operator="containsText" text="長期休暇">
      <formula>NOT(ISERROR(SEARCH("長期休暇",D307)))</formula>
    </cfRule>
  </conditionalFormatting>
  <conditionalFormatting sqref="D305">
    <cfRule type="containsText" dxfId="521" priority="569" operator="containsText" text="土日祝長期：開所とみなす">
      <formula>NOT(ISERROR(SEARCH("土日祝長期：開所とみなす",D305)))</formula>
    </cfRule>
    <cfRule type="containsText" dxfId="520" priority="570" operator="containsText" text="平日：開所とみなす">
      <formula>NOT(ISERROR(SEARCH("平日：開所とみなす",D305)))</formula>
    </cfRule>
    <cfRule type="containsText" dxfId="519" priority="571" operator="containsText" text="長期休暇">
      <formula>NOT(ISERROR(SEARCH("長期休暇",D305)))</formula>
    </cfRule>
    <cfRule type="containsText" dxfId="518" priority="572" operator="containsText" text="平日">
      <formula>NOT(ISERROR(SEARCH("平日",D305)))</formula>
    </cfRule>
    <cfRule type="containsText" dxfId="517" priority="573" operator="containsText" text="平日">
      <formula>NOT(ISERROR(SEARCH("平日",D305)))</formula>
    </cfRule>
    <cfRule type="containsText" dxfId="516" priority="574" operator="containsText" text="休所">
      <formula>NOT(ISERROR(SEARCH("休所",D305)))</formula>
    </cfRule>
    <cfRule type="containsText" dxfId="515" priority="575" operator="containsText" text="休所">
      <formula>NOT(ISERROR(SEARCH("休所",D305)))</formula>
    </cfRule>
    <cfRule type="containsText" dxfId="514" priority="576" operator="containsText" text="長期休暇">
      <formula>NOT(ISERROR(SEARCH("長期休暇",D305)))</formula>
    </cfRule>
  </conditionalFormatting>
  <conditionalFormatting sqref="D306">
    <cfRule type="containsText" dxfId="513" priority="561" operator="containsText" text="土日祝長期：開所とみなす">
      <formula>NOT(ISERROR(SEARCH("土日祝長期：開所とみなす",D306)))</formula>
    </cfRule>
    <cfRule type="containsText" dxfId="512" priority="562" operator="containsText" text="平日：開所とみなす">
      <formula>NOT(ISERROR(SEARCH("平日：開所とみなす",D306)))</formula>
    </cfRule>
    <cfRule type="containsText" dxfId="511" priority="563" operator="containsText" text="長期休暇">
      <formula>NOT(ISERROR(SEARCH("長期休暇",D306)))</formula>
    </cfRule>
    <cfRule type="containsText" dxfId="510" priority="564" operator="containsText" text="平日">
      <formula>NOT(ISERROR(SEARCH("平日",D306)))</formula>
    </cfRule>
    <cfRule type="containsText" dxfId="509" priority="565" operator="containsText" text="平日">
      <formula>NOT(ISERROR(SEARCH("平日",D306)))</formula>
    </cfRule>
    <cfRule type="containsText" dxfId="508" priority="566" operator="containsText" text="休所">
      <formula>NOT(ISERROR(SEARCH("休所",D306)))</formula>
    </cfRule>
    <cfRule type="containsText" dxfId="507" priority="567" operator="containsText" text="休所">
      <formula>NOT(ISERROR(SEARCH("休所",D306)))</formula>
    </cfRule>
    <cfRule type="containsText" dxfId="506" priority="568" operator="containsText" text="長期休暇">
      <formula>NOT(ISERROR(SEARCH("長期休暇",D306)))</formula>
    </cfRule>
  </conditionalFormatting>
  <conditionalFormatting sqref="D308">
    <cfRule type="containsText" dxfId="505" priority="553" operator="containsText" text="土日祝長期：開所とみなす">
      <formula>NOT(ISERROR(SEARCH("土日祝長期：開所とみなす",D308)))</formula>
    </cfRule>
    <cfRule type="containsText" dxfId="504" priority="554" operator="containsText" text="平日：開所とみなす">
      <formula>NOT(ISERROR(SEARCH("平日：開所とみなす",D308)))</formula>
    </cfRule>
    <cfRule type="containsText" dxfId="503" priority="555" operator="containsText" text="長期休暇">
      <formula>NOT(ISERROR(SEARCH("長期休暇",D308)))</formula>
    </cfRule>
    <cfRule type="containsText" dxfId="502" priority="556" operator="containsText" text="平日">
      <formula>NOT(ISERROR(SEARCH("平日",D308)))</formula>
    </cfRule>
    <cfRule type="containsText" dxfId="501" priority="557" operator="containsText" text="平日">
      <formula>NOT(ISERROR(SEARCH("平日",D308)))</formula>
    </cfRule>
    <cfRule type="containsText" dxfId="500" priority="558" operator="containsText" text="休所">
      <formula>NOT(ISERROR(SEARCH("休所",D308)))</formula>
    </cfRule>
    <cfRule type="containsText" dxfId="499" priority="559" operator="containsText" text="休所">
      <formula>NOT(ISERROR(SEARCH("休所",D308)))</formula>
    </cfRule>
    <cfRule type="containsText" dxfId="498" priority="560" operator="containsText" text="長期休暇">
      <formula>NOT(ISERROR(SEARCH("長期休暇",D308)))</formula>
    </cfRule>
  </conditionalFormatting>
  <conditionalFormatting sqref="D309:D311">
    <cfRule type="containsText" dxfId="497" priority="545" operator="containsText" text="土日祝長期：開所とみなす">
      <formula>NOT(ISERROR(SEARCH("土日祝長期：開所とみなす",D309)))</formula>
    </cfRule>
    <cfRule type="containsText" dxfId="496" priority="546" operator="containsText" text="平日：開所とみなす">
      <formula>NOT(ISERROR(SEARCH("平日：開所とみなす",D309)))</formula>
    </cfRule>
    <cfRule type="containsText" dxfId="495" priority="547" operator="containsText" text="長期休暇">
      <formula>NOT(ISERROR(SEARCH("長期休暇",D309)))</formula>
    </cfRule>
    <cfRule type="containsText" dxfId="494" priority="548" operator="containsText" text="平日">
      <formula>NOT(ISERROR(SEARCH("平日",D309)))</formula>
    </cfRule>
    <cfRule type="containsText" dxfId="493" priority="549" operator="containsText" text="平日">
      <formula>NOT(ISERROR(SEARCH("平日",D309)))</formula>
    </cfRule>
    <cfRule type="containsText" dxfId="492" priority="550" operator="containsText" text="休所">
      <formula>NOT(ISERROR(SEARCH("休所",D309)))</formula>
    </cfRule>
    <cfRule type="containsText" dxfId="491" priority="551" operator="containsText" text="休所">
      <formula>NOT(ISERROR(SEARCH("休所",D309)))</formula>
    </cfRule>
    <cfRule type="containsText" dxfId="490" priority="552" operator="containsText" text="長期休暇">
      <formula>NOT(ISERROR(SEARCH("長期休暇",D309)))</formula>
    </cfRule>
  </conditionalFormatting>
  <conditionalFormatting sqref="D314">
    <cfRule type="containsText" dxfId="489" priority="537" operator="containsText" text="土日祝長期：開所とみなす">
      <formula>NOT(ISERROR(SEARCH("土日祝長期：開所とみなす",D314)))</formula>
    </cfRule>
    <cfRule type="containsText" dxfId="488" priority="538" operator="containsText" text="平日：開所とみなす">
      <formula>NOT(ISERROR(SEARCH("平日：開所とみなす",D314)))</formula>
    </cfRule>
    <cfRule type="containsText" dxfId="487" priority="539" operator="containsText" text="長期休暇">
      <formula>NOT(ISERROR(SEARCH("長期休暇",D314)))</formula>
    </cfRule>
    <cfRule type="containsText" dxfId="486" priority="540" operator="containsText" text="平日">
      <formula>NOT(ISERROR(SEARCH("平日",D314)))</formula>
    </cfRule>
    <cfRule type="containsText" dxfId="485" priority="541" operator="containsText" text="平日">
      <formula>NOT(ISERROR(SEARCH("平日",D314)))</formula>
    </cfRule>
    <cfRule type="containsText" dxfId="484" priority="542" operator="containsText" text="休所">
      <formula>NOT(ISERROR(SEARCH("休所",D314)))</formula>
    </cfRule>
    <cfRule type="containsText" dxfId="483" priority="543" operator="containsText" text="休所">
      <formula>NOT(ISERROR(SEARCH("休所",D314)))</formula>
    </cfRule>
    <cfRule type="containsText" dxfId="482" priority="544" operator="containsText" text="長期休暇">
      <formula>NOT(ISERROR(SEARCH("長期休暇",D314)))</formula>
    </cfRule>
  </conditionalFormatting>
  <conditionalFormatting sqref="D312">
    <cfRule type="containsText" dxfId="481" priority="529" operator="containsText" text="土日祝長期：開所とみなす">
      <formula>NOT(ISERROR(SEARCH("土日祝長期：開所とみなす",D312)))</formula>
    </cfRule>
    <cfRule type="containsText" dxfId="480" priority="530" operator="containsText" text="平日：開所とみなす">
      <formula>NOT(ISERROR(SEARCH("平日：開所とみなす",D312)))</formula>
    </cfRule>
    <cfRule type="containsText" dxfId="479" priority="531" operator="containsText" text="長期休暇">
      <formula>NOT(ISERROR(SEARCH("長期休暇",D312)))</formula>
    </cfRule>
    <cfRule type="containsText" dxfId="478" priority="532" operator="containsText" text="平日">
      <formula>NOT(ISERROR(SEARCH("平日",D312)))</formula>
    </cfRule>
    <cfRule type="containsText" dxfId="477" priority="533" operator="containsText" text="平日">
      <formula>NOT(ISERROR(SEARCH("平日",D312)))</formula>
    </cfRule>
    <cfRule type="containsText" dxfId="476" priority="534" operator="containsText" text="休所">
      <formula>NOT(ISERROR(SEARCH("休所",D312)))</formula>
    </cfRule>
    <cfRule type="containsText" dxfId="475" priority="535" operator="containsText" text="休所">
      <formula>NOT(ISERROR(SEARCH("休所",D312)))</formula>
    </cfRule>
    <cfRule type="containsText" dxfId="474" priority="536" operator="containsText" text="長期休暇">
      <formula>NOT(ISERROR(SEARCH("長期休暇",D312)))</formula>
    </cfRule>
  </conditionalFormatting>
  <conditionalFormatting sqref="D313">
    <cfRule type="containsText" dxfId="473" priority="521" operator="containsText" text="土日祝長期：開所とみなす">
      <formula>NOT(ISERROR(SEARCH("土日祝長期：開所とみなす",D313)))</formula>
    </cfRule>
    <cfRule type="containsText" dxfId="472" priority="522" operator="containsText" text="平日：開所とみなす">
      <formula>NOT(ISERROR(SEARCH("平日：開所とみなす",D313)))</formula>
    </cfRule>
    <cfRule type="containsText" dxfId="471" priority="523" operator="containsText" text="長期休暇">
      <formula>NOT(ISERROR(SEARCH("長期休暇",D313)))</formula>
    </cfRule>
    <cfRule type="containsText" dxfId="470" priority="524" operator="containsText" text="平日">
      <formula>NOT(ISERROR(SEARCH("平日",D313)))</formula>
    </cfRule>
    <cfRule type="containsText" dxfId="469" priority="525" operator="containsText" text="平日">
      <formula>NOT(ISERROR(SEARCH("平日",D313)))</formula>
    </cfRule>
    <cfRule type="containsText" dxfId="468" priority="526" operator="containsText" text="休所">
      <formula>NOT(ISERROR(SEARCH("休所",D313)))</formula>
    </cfRule>
    <cfRule type="containsText" dxfId="467" priority="527" operator="containsText" text="休所">
      <formula>NOT(ISERROR(SEARCH("休所",D313)))</formula>
    </cfRule>
    <cfRule type="containsText" dxfId="466" priority="528" operator="containsText" text="長期休暇">
      <formula>NOT(ISERROR(SEARCH("長期休暇",D313)))</formula>
    </cfRule>
  </conditionalFormatting>
  <conditionalFormatting sqref="D315">
    <cfRule type="containsText" dxfId="465" priority="513" operator="containsText" text="土日祝長期：開所とみなす">
      <formula>NOT(ISERROR(SEARCH("土日祝長期：開所とみなす",D315)))</formula>
    </cfRule>
    <cfRule type="containsText" dxfId="464" priority="514" operator="containsText" text="平日：開所とみなす">
      <formula>NOT(ISERROR(SEARCH("平日：開所とみなす",D315)))</formula>
    </cfRule>
    <cfRule type="containsText" dxfId="463" priority="515" operator="containsText" text="長期休暇">
      <formula>NOT(ISERROR(SEARCH("長期休暇",D315)))</formula>
    </cfRule>
    <cfRule type="containsText" dxfId="462" priority="516" operator="containsText" text="平日">
      <formula>NOT(ISERROR(SEARCH("平日",D315)))</formula>
    </cfRule>
    <cfRule type="containsText" dxfId="461" priority="517" operator="containsText" text="平日">
      <formula>NOT(ISERROR(SEARCH("平日",D315)))</formula>
    </cfRule>
    <cfRule type="containsText" dxfId="460" priority="518" operator="containsText" text="休所">
      <formula>NOT(ISERROR(SEARCH("休所",D315)))</formula>
    </cfRule>
    <cfRule type="containsText" dxfId="459" priority="519" operator="containsText" text="休所">
      <formula>NOT(ISERROR(SEARCH("休所",D315)))</formula>
    </cfRule>
    <cfRule type="containsText" dxfId="458" priority="520" operator="containsText" text="長期休暇">
      <formula>NOT(ISERROR(SEARCH("長期休暇",D315)))</formula>
    </cfRule>
  </conditionalFormatting>
  <conditionalFormatting sqref="D316:D318">
    <cfRule type="containsText" dxfId="457" priority="505" operator="containsText" text="土日祝長期：開所とみなす">
      <formula>NOT(ISERROR(SEARCH("土日祝長期：開所とみなす",D316)))</formula>
    </cfRule>
    <cfRule type="containsText" dxfId="456" priority="506" operator="containsText" text="平日：開所とみなす">
      <formula>NOT(ISERROR(SEARCH("平日：開所とみなす",D316)))</formula>
    </cfRule>
    <cfRule type="containsText" dxfId="455" priority="507" operator="containsText" text="長期休暇">
      <formula>NOT(ISERROR(SEARCH("長期休暇",D316)))</formula>
    </cfRule>
    <cfRule type="containsText" dxfId="454" priority="508" operator="containsText" text="平日">
      <formula>NOT(ISERROR(SEARCH("平日",D316)))</formula>
    </cfRule>
    <cfRule type="containsText" dxfId="453" priority="509" operator="containsText" text="平日">
      <formula>NOT(ISERROR(SEARCH("平日",D316)))</formula>
    </cfRule>
    <cfRule type="containsText" dxfId="452" priority="510" operator="containsText" text="休所">
      <formula>NOT(ISERROR(SEARCH("休所",D316)))</formula>
    </cfRule>
    <cfRule type="containsText" dxfId="451" priority="511" operator="containsText" text="休所">
      <formula>NOT(ISERROR(SEARCH("休所",D316)))</formula>
    </cfRule>
    <cfRule type="containsText" dxfId="450" priority="512" operator="containsText" text="長期休暇">
      <formula>NOT(ISERROR(SEARCH("長期休暇",D316)))</formula>
    </cfRule>
  </conditionalFormatting>
  <conditionalFormatting sqref="D321">
    <cfRule type="containsText" dxfId="449" priority="497" operator="containsText" text="土日祝長期：開所とみなす">
      <formula>NOT(ISERROR(SEARCH("土日祝長期：開所とみなす",D321)))</formula>
    </cfRule>
    <cfRule type="containsText" dxfId="448" priority="498" operator="containsText" text="平日：開所とみなす">
      <formula>NOT(ISERROR(SEARCH("平日：開所とみなす",D321)))</formula>
    </cfRule>
    <cfRule type="containsText" dxfId="447" priority="499" operator="containsText" text="長期休暇">
      <formula>NOT(ISERROR(SEARCH("長期休暇",D321)))</formula>
    </cfRule>
    <cfRule type="containsText" dxfId="446" priority="500" operator="containsText" text="平日">
      <formula>NOT(ISERROR(SEARCH("平日",D321)))</formula>
    </cfRule>
    <cfRule type="containsText" dxfId="445" priority="501" operator="containsText" text="平日">
      <formula>NOT(ISERROR(SEARCH("平日",D321)))</formula>
    </cfRule>
    <cfRule type="containsText" dxfId="444" priority="502" operator="containsText" text="休所">
      <formula>NOT(ISERROR(SEARCH("休所",D321)))</formula>
    </cfRule>
    <cfRule type="containsText" dxfId="443" priority="503" operator="containsText" text="休所">
      <formula>NOT(ISERROR(SEARCH("休所",D321)))</formula>
    </cfRule>
    <cfRule type="containsText" dxfId="442" priority="504" operator="containsText" text="長期休暇">
      <formula>NOT(ISERROR(SEARCH("長期休暇",D321)))</formula>
    </cfRule>
  </conditionalFormatting>
  <conditionalFormatting sqref="D319">
    <cfRule type="containsText" dxfId="441" priority="489" operator="containsText" text="土日祝長期：開所とみなす">
      <formula>NOT(ISERROR(SEARCH("土日祝長期：開所とみなす",D319)))</formula>
    </cfRule>
    <cfRule type="containsText" dxfId="440" priority="490" operator="containsText" text="平日：開所とみなす">
      <formula>NOT(ISERROR(SEARCH("平日：開所とみなす",D319)))</formula>
    </cfRule>
    <cfRule type="containsText" dxfId="439" priority="491" operator="containsText" text="長期休暇">
      <formula>NOT(ISERROR(SEARCH("長期休暇",D319)))</formula>
    </cfRule>
    <cfRule type="containsText" dxfId="438" priority="492" operator="containsText" text="平日">
      <formula>NOT(ISERROR(SEARCH("平日",D319)))</formula>
    </cfRule>
    <cfRule type="containsText" dxfId="437" priority="493" operator="containsText" text="平日">
      <formula>NOT(ISERROR(SEARCH("平日",D319)))</formula>
    </cfRule>
    <cfRule type="containsText" dxfId="436" priority="494" operator="containsText" text="休所">
      <formula>NOT(ISERROR(SEARCH("休所",D319)))</formula>
    </cfRule>
    <cfRule type="containsText" dxfId="435" priority="495" operator="containsText" text="休所">
      <formula>NOT(ISERROR(SEARCH("休所",D319)))</formula>
    </cfRule>
    <cfRule type="containsText" dxfId="434" priority="496" operator="containsText" text="長期休暇">
      <formula>NOT(ISERROR(SEARCH("長期休暇",D319)))</formula>
    </cfRule>
  </conditionalFormatting>
  <conditionalFormatting sqref="D320">
    <cfRule type="containsText" dxfId="433" priority="481" operator="containsText" text="土日祝長期：開所とみなす">
      <formula>NOT(ISERROR(SEARCH("土日祝長期：開所とみなす",D320)))</formula>
    </cfRule>
    <cfRule type="containsText" dxfId="432" priority="482" operator="containsText" text="平日：開所とみなす">
      <formula>NOT(ISERROR(SEARCH("平日：開所とみなす",D320)))</formula>
    </cfRule>
    <cfRule type="containsText" dxfId="431" priority="483" operator="containsText" text="長期休暇">
      <formula>NOT(ISERROR(SEARCH("長期休暇",D320)))</formula>
    </cfRule>
    <cfRule type="containsText" dxfId="430" priority="484" operator="containsText" text="平日">
      <formula>NOT(ISERROR(SEARCH("平日",D320)))</formula>
    </cfRule>
    <cfRule type="containsText" dxfId="429" priority="485" operator="containsText" text="平日">
      <formula>NOT(ISERROR(SEARCH("平日",D320)))</formula>
    </cfRule>
    <cfRule type="containsText" dxfId="428" priority="486" operator="containsText" text="休所">
      <formula>NOT(ISERROR(SEARCH("休所",D320)))</formula>
    </cfRule>
    <cfRule type="containsText" dxfId="427" priority="487" operator="containsText" text="休所">
      <formula>NOT(ISERROR(SEARCH("休所",D320)))</formula>
    </cfRule>
    <cfRule type="containsText" dxfId="426" priority="488" operator="containsText" text="長期休暇">
      <formula>NOT(ISERROR(SEARCH("長期休暇",D320)))</formula>
    </cfRule>
  </conditionalFormatting>
  <conditionalFormatting sqref="D323:D325">
    <cfRule type="containsText" dxfId="425" priority="473" operator="containsText" text="土日祝長期：開所とみなす">
      <formula>NOT(ISERROR(SEARCH("土日祝長期：開所とみなす",D323)))</formula>
    </cfRule>
    <cfRule type="containsText" dxfId="424" priority="474" operator="containsText" text="平日：開所とみなす">
      <formula>NOT(ISERROR(SEARCH("平日：開所とみなす",D323)))</formula>
    </cfRule>
    <cfRule type="containsText" dxfId="423" priority="475" operator="containsText" text="長期休暇">
      <formula>NOT(ISERROR(SEARCH("長期休暇",D323)))</formula>
    </cfRule>
    <cfRule type="containsText" dxfId="422" priority="476" operator="containsText" text="平日">
      <formula>NOT(ISERROR(SEARCH("平日",D323)))</formula>
    </cfRule>
    <cfRule type="containsText" dxfId="421" priority="477" operator="containsText" text="平日">
      <formula>NOT(ISERROR(SEARCH("平日",D323)))</formula>
    </cfRule>
    <cfRule type="containsText" dxfId="420" priority="478" operator="containsText" text="休所">
      <formula>NOT(ISERROR(SEARCH("休所",D323)))</formula>
    </cfRule>
    <cfRule type="containsText" dxfId="419" priority="479" operator="containsText" text="休所">
      <formula>NOT(ISERROR(SEARCH("休所",D323)))</formula>
    </cfRule>
    <cfRule type="containsText" dxfId="418" priority="480" operator="containsText" text="長期休暇">
      <formula>NOT(ISERROR(SEARCH("長期休暇",D323)))</formula>
    </cfRule>
  </conditionalFormatting>
  <conditionalFormatting sqref="D328">
    <cfRule type="containsText" dxfId="417" priority="465" operator="containsText" text="土日祝長期：開所とみなす">
      <formula>NOT(ISERROR(SEARCH("土日祝長期：開所とみなす",D328)))</formula>
    </cfRule>
    <cfRule type="containsText" dxfId="416" priority="466" operator="containsText" text="平日：開所とみなす">
      <formula>NOT(ISERROR(SEARCH("平日：開所とみなす",D328)))</formula>
    </cfRule>
    <cfRule type="containsText" dxfId="415" priority="467" operator="containsText" text="長期休暇">
      <formula>NOT(ISERROR(SEARCH("長期休暇",D328)))</formula>
    </cfRule>
    <cfRule type="containsText" dxfId="414" priority="468" operator="containsText" text="平日">
      <formula>NOT(ISERROR(SEARCH("平日",D328)))</formula>
    </cfRule>
    <cfRule type="containsText" dxfId="413" priority="469" operator="containsText" text="平日">
      <formula>NOT(ISERROR(SEARCH("平日",D328)))</formula>
    </cfRule>
    <cfRule type="containsText" dxfId="412" priority="470" operator="containsText" text="休所">
      <formula>NOT(ISERROR(SEARCH("休所",D328)))</formula>
    </cfRule>
    <cfRule type="containsText" dxfId="411" priority="471" operator="containsText" text="休所">
      <formula>NOT(ISERROR(SEARCH("休所",D328)))</formula>
    </cfRule>
    <cfRule type="containsText" dxfId="410" priority="472" operator="containsText" text="長期休暇">
      <formula>NOT(ISERROR(SEARCH("長期休暇",D328)))</formula>
    </cfRule>
  </conditionalFormatting>
  <conditionalFormatting sqref="D326">
    <cfRule type="containsText" dxfId="409" priority="457" operator="containsText" text="土日祝長期：開所とみなす">
      <formula>NOT(ISERROR(SEARCH("土日祝長期：開所とみなす",D326)))</formula>
    </cfRule>
    <cfRule type="containsText" dxfId="408" priority="458" operator="containsText" text="平日：開所とみなす">
      <formula>NOT(ISERROR(SEARCH("平日：開所とみなす",D326)))</formula>
    </cfRule>
    <cfRule type="containsText" dxfId="407" priority="459" operator="containsText" text="長期休暇">
      <formula>NOT(ISERROR(SEARCH("長期休暇",D326)))</formula>
    </cfRule>
    <cfRule type="containsText" dxfId="406" priority="460" operator="containsText" text="平日">
      <formula>NOT(ISERROR(SEARCH("平日",D326)))</formula>
    </cfRule>
    <cfRule type="containsText" dxfId="405" priority="461" operator="containsText" text="平日">
      <formula>NOT(ISERROR(SEARCH("平日",D326)))</formula>
    </cfRule>
    <cfRule type="containsText" dxfId="404" priority="462" operator="containsText" text="休所">
      <formula>NOT(ISERROR(SEARCH("休所",D326)))</formula>
    </cfRule>
    <cfRule type="containsText" dxfId="403" priority="463" operator="containsText" text="休所">
      <formula>NOT(ISERROR(SEARCH("休所",D326)))</formula>
    </cfRule>
    <cfRule type="containsText" dxfId="402" priority="464" operator="containsText" text="長期休暇">
      <formula>NOT(ISERROR(SEARCH("長期休暇",D326)))</formula>
    </cfRule>
  </conditionalFormatting>
  <conditionalFormatting sqref="D327">
    <cfRule type="containsText" dxfId="401" priority="449" operator="containsText" text="土日祝長期：開所とみなす">
      <formula>NOT(ISERROR(SEARCH("土日祝長期：開所とみなす",D327)))</formula>
    </cfRule>
    <cfRule type="containsText" dxfId="400" priority="450" operator="containsText" text="平日：開所とみなす">
      <formula>NOT(ISERROR(SEARCH("平日：開所とみなす",D327)))</formula>
    </cfRule>
    <cfRule type="containsText" dxfId="399" priority="451" operator="containsText" text="長期休暇">
      <formula>NOT(ISERROR(SEARCH("長期休暇",D327)))</formula>
    </cfRule>
    <cfRule type="containsText" dxfId="398" priority="452" operator="containsText" text="平日">
      <formula>NOT(ISERROR(SEARCH("平日",D327)))</formula>
    </cfRule>
    <cfRule type="containsText" dxfId="397" priority="453" operator="containsText" text="平日">
      <formula>NOT(ISERROR(SEARCH("平日",D327)))</formula>
    </cfRule>
    <cfRule type="containsText" dxfId="396" priority="454" operator="containsText" text="休所">
      <formula>NOT(ISERROR(SEARCH("休所",D327)))</formula>
    </cfRule>
    <cfRule type="containsText" dxfId="395" priority="455" operator="containsText" text="休所">
      <formula>NOT(ISERROR(SEARCH("休所",D327)))</formula>
    </cfRule>
    <cfRule type="containsText" dxfId="394" priority="456" operator="containsText" text="長期休暇">
      <formula>NOT(ISERROR(SEARCH("長期休暇",D327)))</formula>
    </cfRule>
  </conditionalFormatting>
  <conditionalFormatting sqref="D329">
    <cfRule type="containsText" dxfId="393" priority="441" operator="containsText" text="土日祝長期：開所とみなす">
      <formula>NOT(ISERROR(SEARCH("土日祝長期：開所とみなす",D329)))</formula>
    </cfRule>
    <cfRule type="containsText" dxfId="392" priority="442" operator="containsText" text="平日：開所とみなす">
      <formula>NOT(ISERROR(SEARCH("平日：開所とみなす",D329)))</formula>
    </cfRule>
    <cfRule type="containsText" dxfId="391" priority="443" operator="containsText" text="長期休暇">
      <formula>NOT(ISERROR(SEARCH("長期休暇",D329)))</formula>
    </cfRule>
    <cfRule type="containsText" dxfId="390" priority="444" operator="containsText" text="平日">
      <formula>NOT(ISERROR(SEARCH("平日",D329)))</formula>
    </cfRule>
    <cfRule type="containsText" dxfId="389" priority="445" operator="containsText" text="平日">
      <formula>NOT(ISERROR(SEARCH("平日",D329)))</formula>
    </cfRule>
    <cfRule type="containsText" dxfId="388" priority="446" operator="containsText" text="休所">
      <formula>NOT(ISERROR(SEARCH("休所",D329)))</formula>
    </cfRule>
    <cfRule type="containsText" dxfId="387" priority="447" operator="containsText" text="休所">
      <formula>NOT(ISERROR(SEARCH("休所",D329)))</formula>
    </cfRule>
    <cfRule type="containsText" dxfId="386" priority="448" operator="containsText" text="長期休暇">
      <formula>NOT(ISERROR(SEARCH("長期休暇",D329)))</formula>
    </cfRule>
  </conditionalFormatting>
  <conditionalFormatting sqref="D330:D332">
    <cfRule type="containsText" dxfId="385" priority="433" operator="containsText" text="土日祝長期：開所とみなす">
      <formula>NOT(ISERROR(SEARCH("土日祝長期：開所とみなす",D330)))</formula>
    </cfRule>
    <cfRule type="containsText" dxfId="384" priority="434" operator="containsText" text="平日：開所とみなす">
      <formula>NOT(ISERROR(SEARCH("平日：開所とみなす",D330)))</formula>
    </cfRule>
    <cfRule type="containsText" dxfId="383" priority="435" operator="containsText" text="長期休暇">
      <formula>NOT(ISERROR(SEARCH("長期休暇",D330)))</formula>
    </cfRule>
    <cfRule type="containsText" dxfId="382" priority="436" operator="containsText" text="平日">
      <formula>NOT(ISERROR(SEARCH("平日",D330)))</formula>
    </cfRule>
    <cfRule type="containsText" dxfId="381" priority="437" operator="containsText" text="平日">
      <formula>NOT(ISERROR(SEARCH("平日",D330)))</formula>
    </cfRule>
    <cfRule type="containsText" dxfId="380" priority="438" operator="containsText" text="休所">
      <formula>NOT(ISERROR(SEARCH("休所",D330)))</formula>
    </cfRule>
    <cfRule type="containsText" dxfId="379" priority="439" operator="containsText" text="休所">
      <formula>NOT(ISERROR(SEARCH("休所",D330)))</formula>
    </cfRule>
    <cfRule type="containsText" dxfId="378" priority="440" operator="containsText" text="長期休暇">
      <formula>NOT(ISERROR(SEARCH("長期休暇",D330)))</formula>
    </cfRule>
  </conditionalFormatting>
  <conditionalFormatting sqref="D335">
    <cfRule type="containsText" dxfId="377" priority="425" operator="containsText" text="土日祝長期：開所とみなす">
      <formula>NOT(ISERROR(SEARCH("土日祝長期：開所とみなす",D335)))</formula>
    </cfRule>
    <cfRule type="containsText" dxfId="376" priority="426" operator="containsText" text="平日：開所とみなす">
      <formula>NOT(ISERROR(SEARCH("平日：開所とみなす",D335)))</formula>
    </cfRule>
    <cfRule type="containsText" dxfId="375" priority="427" operator="containsText" text="長期休暇">
      <formula>NOT(ISERROR(SEARCH("長期休暇",D335)))</formula>
    </cfRule>
    <cfRule type="containsText" dxfId="374" priority="428" operator="containsText" text="平日">
      <formula>NOT(ISERROR(SEARCH("平日",D335)))</formula>
    </cfRule>
    <cfRule type="containsText" dxfId="373" priority="429" operator="containsText" text="平日">
      <formula>NOT(ISERROR(SEARCH("平日",D335)))</formula>
    </cfRule>
    <cfRule type="containsText" dxfId="372" priority="430" operator="containsText" text="休所">
      <formula>NOT(ISERROR(SEARCH("休所",D335)))</formula>
    </cfRule>
    <cfRule type="containsText" dxfId="371" priority="431" operator="containsText" text="休所">
      <formula>NOT(ISERROR(SEARCH("休所",D335)))</formula>
    </cfRule>
    <cfRule type="containsText" dxfId="370" priority="432" operator="containsText" text="長期休暇">
      <formula>NOT(ISERROR(SEARCH("長期休暇",D335)))</formula>
    </cfRule>
  </conditionalFormatting>
  <conditionalFormatting sqref="D333">
    <cfRule type="containsText" dxfId="369" priority="417" operator="containsText" text="土日祝長期：開所とみなす">
      <formula>NOT(ISERROR(SEARCH("土日祝長期：開所とみなす",D333)))</formula>
    </cfRule>
    <cfRule type="containsText" dxfId="368" priority="418" operator="containsText" text="平日：開所とみなす">
      <formula>NOT(ISERROR(SEARCH("平日：開所とみなす",D333)))</formula>
    </cfRule>
    <cfRule type="containsText" dxfId="367" priority="419" operator="containsText" text="長期休暇">
      <formula>NOT(ISERROR(SEARCH("長期休暇",D333)))</formula>
    </cfRule>
    <cfRule type="containsText" dxfId="366" priority="420" operator="containsText" text="平日">
      <formula>NOT(ISERROR(SEARCH("平日",D333)))</formula>
    </cfRule>
    <cfRule type="containsText" dxfId="365" priority="421" operator="containsText" text="平日">
      <formula>NOT(ISERROR(SEARCH("平日",D333)))</formula>
    </cfRule>
    <cfRule type="containsText" dxfId="364" priority="422" operator="containsText" text="休所">
      <formula>NOT(ISERROR(SEARCH("休所",D333)))</formula>
    </cfRule>
    <cfRule type="containsText" dxfId="363" priority="423" operator="containsText" text="休所">
      <formula>NOT(ISERROR(SEARCH("休所",D333)))</formula>
    </cfRule>
    <cfRule type="containsText" dxfId="362" priority="424" operator="containsText" text="長期休暇">
      <formula>NOT(ISERROR(SEARCH("長期休暇",D333)))</formula>
    </cfRule>
  </conditionalFormatting>
  <conditionalFormatting sqref="D336">
    <cfRule type="containsText" dxfId="361" priority="401" operator="containsText" text="土日祝長期：開所とみなす">
      <formula>NOT(ISERROR(SEARCH("土日祝長期：開所とみなす",D336)))</formula>
    </cfRule>
    <cfRule type="containsText" dxfId="360" priority="402" operator="containsText" text="平日：開所とみなす">
      <formula>NOT(ISERROR(SEARCH("平日：開所とみなす",D336)))</formula>
    </cfRule>
    <cfRule type="containsText" dxfId="359" priority="403" operator="containsText" text="長期休暇">
      <formula>NOT(ISERROR(SEARCH("長期休暇",D336)))</formula>
    </cfRule>
    <cfRule type="containsText" dxfId="358" priority="404" operator="containsText" text="平日">
      <formula>NOT(ISERROR(SEARCH("平日",D336)))</formula>
    </cfRule>
    <cfRule type="containsText" dxfId="357" priority="405" operator="containsText" text="平日">
      <formula>NOT(ISERROR(SEARCH("平日",D336)))</formula>
    </cfRule>
    <cfRule type="containsText" dxfId="356" priority="406" operator="containsText" text="休所">
      <formula>NOT(ISERROR(SEARCH("休所",D336)))</formula>
    </cfRule>
    <cfRule type="containsText" dxfId="355" priority="407" operator="containsText" text="休所">
      <formula>NOT(ISERROR(SEARCH("休所",D336)))</formula>
    </cfRule>
    <cfRule type="containsText" dxfId="354" priority="408" operator="containsText" text="長期休暇">
      <formula>NOT(ISERROR(SEARCH("長期休暇",D336)))</formula>
    </cfRule>
  </conditionalFormatting>
  <conditionalFormatting sqref="D337:D339">
    <cfRule type="containsText" dxfId="353" priority="393" operator="containsText" text="土日祝長期：開所とみなす">
      <formula>NOT(ISERROR(SEARCH("土日祝長期：開所とみなす",D337)))</formula>
    </cfRule>
    <cfRule type="containsText" dxfId="352" priority="394" operator="containsText" text="平日：開所とみなす">
      <formula>NOT(ISERROR(SEARCH("平日：開所とみなす",D337)))</formula>
    </cfRule>
    <cfRule type="containsText" dxfId="351" priority="395" operator="containsText" text="長期休暇">
      <formula>NOT(ISERROR(SEARCH("長期休暇",D337)))</formula>
    </cfRule>
    <cfRule type="containsText" dxfId="350" priority="396" operator="containsText" text="平日">
      <formula>NOT(ISERROR(SEARCH("平日",D337)))</formula>
    </cfRule>
    <cfRule type="containsText" dxfId="349" priority="397" operator="containsText" text="平日">
      <formula>NOT(ISERROR(SEARCH("平日",D337)))</formula>
    </cfRule>
    <cfRule type="containsText" dxfId="348" priority="398" operator="containsText" text="休所">
      <formula>NOT(ISERROR(SEARCH("休所",D337)))</formula>
    </cfRule>
    <cfRule type="containsText" dxfId="347" priority="399" operator="containsText" text="休所">
      <formula>NOT(ISERROR(SEARCH("休所",D337)))</formula>
    </cfRule>
    <cfRule type="containsText" dxfId="346" priority="400" operator="containsText" text="長期休暇">
      <formula>NOT(ISERROR(SEARCH("長期休暇",D337)))</formula>
    </cfRule>
  </conditionalFormatting>
  <conditionalFormatting sqref="D342">
    <cfRule type="containsText" dxfId="345" priority="385" operator="containsText" text="土日祝長期：開所とみなす">
      <formula>NOT(ISERROR(SEARCH("土日祝長期：開所とみなす",D342)))</formula>
    </cfRule>
    <cfRule type="containsText" dxfId="344" priority="386" operator="containsText" text="平日：開所とみなす">
      <formula>NOT(ISERROR(SEARCH("平日：開所とみなす",D342)))</formula>
    </cfRule>
    <cfRule type="containsText" dxfId="343" priority="387" operator="containsText" text="長期休暇">
      <formula>NOT(ISERROR(SEARCH("長期休暇",D342)))</formula>
    </cfRule>
    <cfRule type="containsText" dxfId="342" priority="388" operator="containsText" text="平日">
      <formula>NOT(ISERROR(SEARCH("平日",D342)))</formula>
    </cfRule>
    <cfRule type="containsText" dxfId="341" priority="389" operator="containsText" text="平日">
      <formula>NOT(ISERROR(SEARCH("平日",D342)))</formula>
    </cfRule>
    <cfRule type="containsText" dxfId="340" priority="390" operator="containsText" text="休所">
      <formula>NOT(ISERROR(SEARCH("休所",D342)))</formula>
    </cfRule>
    <cfRule type="containsText" dxfId="339" priority="391" operator="containsText" text="休所">
      <formula>NOT(ISERROR(SEARCH("休所",D342)))</formula>
    </cfRule>
    <cfRule type="containsText" dxfId="338" priority="392" operator="containsText" text="長期休暇">
      <formula>NOT(ISERROR(SEARCH("長期休暇",D342)))</formula>
    </cfRule>
  </conditionalFormatting>
  <conditionalFormatting sqref="D340">
    <cfRule type="containsText" dxfId="337" priority="377" operator="containsText" text="土日祝長期：開所とみなす">
      <formula>NOT(ISERROR(SEARCH("土日祝長期：開所とみなす",D340)))</formula>
    </cfRule>
    <cfRule type="containsText" dxfId="336" priority="378" operator="containsText" text="平日：開所とみなす">
      <formula>NOT(ISERROR(SEARCH("平日：開所とみなす",D340)))</formula>
    </cfRule>
    <cfRule type="containsText" dxfId="335" priority="379" operator="containsText" text="長期休暇">
      <formula>NOT(ISERROR(SEARCH("長期休暇",D340)))</formula>
    </cfRule>
    <cfRule type="containsText" dxfId="334" priority="380" operator="containsText" text="平日">
      <formula>NOT(ISERROR(SEARCH("平日",D340)))</formula>
    </cfRule>
    <cfRule type="containsText" dxfId="333" priority="381" operator="containsText" text="平日">
      <formula>NOT(ISERROR(SEARCH("平日",D340)))</formula>
    </cfRule>
    <cfRule type="containsText" dxfId="332" priority="382" operator="containsText" text="休所">
      <formula>NOT(ISERROR(SEARCH("休所",D340)))</formula>
    </cfRule>
    <cfRule type="containsText" dxfId="331" priority="383" operator="containsText" text="休所">
      <formula>NOT(ISERROR(SEARCH("休所",D340)))</formula>
    </cfRule>
    <cfRule type="containsText" dxfId="330" priority="384" operator="containsText" text="長期休暇">
      <formula>NOT(ISERROR(SEARCH("長期休暇",D340)))</formula>
    </cfRule>
  </conditionalFormatting>
  <conditionalFormatting sqref="D341">
    <cfRule type="containsText" dxfId="329" priority="369" operator="containsText" text="土日祝長期：開所とみなす">
      <formula>NOT(ISERROR(SEARCH("土日祝長期：開所とみなす",D341)))</formula>
    </cfRule>
    <cfRule type="containsText" dxfId="328" priority="370" operator="containsText" text="平日：開所とみなす">
      <formula>NOT(ISERROR(SEARCH("平日：開所とみなす",D341)))</formula>
    </cfRule>
    <cfRule type="containsText" dxfId="327" priority="371" operator="containsText" text="長期休暇">
      <formula>NOT(ISERROR(SEARCH("長期休暇",D341)))</formula>
    </cfRule>
    <cfRule type="containsText" dxfId="326" priority="372" operator="containsText" text="平日">
      <formula>NOT(ISERROR(SEARCH("平日",D341)))</formula>
    </cfRule>
    <cfRule type="containsText" dxfId="325" priority="373" operator="containsText" text="平日">
      <formula>NOT(ISERROR(SEARCH("平日",D341)))</formula>
    </cfRule>
    <cfRule type="containsText" dxfId="324" priority="374" operator="containsText" text="休所">
      <formula>NOT(ISERROR(SEARCH("休所",D341)))</formula>
    </cfRule>
    <cfRule type="containsText" dxfId="323" priority="375" operator="containsText" text="休所">
      <formula>NOT(ISERROR(SEARCH("休所",D341)))</formula>
    </cfRule>
    <cfRule type="containsText" dxfId="322" priority="376" operator="containsText" text="長期休暇">
      <formula>NOT(ISERROR(SEARCH("長期休暇",D341)))</formula>
    </cfRule>
  </conditionalFormatting>
  <conditionalFormatting sqref="D349">
    <cfRule type="containsText" dxfId="321" priority="345" operator="containsText" text="土日祝長期：開所とみなす">
      <formula>NOT(ISERROR(SEARCH("土日祝長期：開所とみなす",D349)))</formula>
    </cfRule>
    <cfRule type="containsText" dxfId="320" priority="346" operator="containsText" text="平日：開所とみなす">
      <formula>NOT(ISERROR(SEARCH("平日：開所とみなす",D349)))</formula>
    </cfRule>
    <cfRule type="containsText" dxfId="319" priority="347" operator="containsText" text="長期休暇">
      <formula>NOT(ISERROR(SEARCH("長期休暇",D349)))</formula>
    </cfRule>
    <cfRule type="containsText" dxfId="318" priority="348" operator="containsText" text="平日">
      <formula>NOT(ISERROR(SEARCH("平日",D349)))</formula>
    </cfRule>
    <cfRule type="containsText" dxfId="317" priority="349" operator="containsText" text="平日">
      <formula>NOT(ISERROR(SEARCH("平日",D349)))</formula>
    </cfRule>
    <cfRule type="containsText" dxfId="316" priority="350" operator="containsText" text="休所">
      <formula>NOT(ISERROR(SEARCH("休所",D349)))</formula>
    </cfRule>
    <cfRule type="containsText" dxfId="315" priority="351" operator="containsText" text="休所">
      <formula>NOT(ISERROR(SEARCH("休所",D349)))</formula>
    </cfRule>
    <cfRule type="containsText" dxfId="314" priority="352" operator="containsText" text="長期休暇">
      <formula>NOT(ISERROR(SEARCH("長期休暇",D349)))</formula>
    </cfRule>
  </conditionalFormatting>
  <conditionalFormatting sqref="D348">
    <cfRule type="containsText" dxfId="313" priority="329" operator="containsText" text="土日祝長期：開所とみなす">
      <formula>NOT(ISERROR(SEARCH("土日祝長期：開所とみなす",D348)))</formula>
    </cfRule>
    <cfRule type="containsText" dxfId="312" priority="330" operator="containsText" text="平日：開所とみなす">
      <formula>NOT(ISERROR(SEARCH("平日：開所とみなす",D348)))</formula>
    </cfRule>
    <cfRule type="containsText" dxfId="311" priority="331" operator="containsText" text="長期休暇">
      <formula>NOT(ISERROR(SEARCH("長期休暇",D348)))</formula>
    </cfRule>
    <cfRule type="containsText" dxfId="310" priority="332" operator="containsText" text="平日">
      <formula>NOT(ISERROR(SEARCH("平日",D348)))</formula>
    </cfRule>
    <cfRule type="containsText" dxfId="309" priority="333" operator="containsText" text="平日">
      <formula>NOT(ISERROR(SEARCH("平日",D348)))</formula>
    </cfRule>
    <cfRule type="containsText" dxfId="308" priority="334" operator="containsText" text="休所">
      <formula>NOT(ISERROR(SEARCH("休所",D348)))</formula>
    </cfRule>
    <cfRule type="containsText" dxfId="307" priority="335" operator="containsText" text="休所">
      <formula>NOT(ISERROR(SEARCH("休所",D348)))</formula>
    </cfRule>
    <cfRule type="containsText" dxfId="306" priority="336" operator="containsText" text="長期休暇">
      <formula>NOT(ISERROR(SEARCH("長期休暇",D348)))</formula>
    </cfRule>
  </conditionalFormatting>
  <conditionalFormatting sqref="D356">
    <cfRule type="containsText" dxfId="305" priority="305" operator="containsText" text="土日祝長期：開所とみなす">
      <formula>NOT(ISERROR(SEARCH("土日祝長期：開所とみなす",D356)))</formula>
    </cfRule>
    <cfRule type="containsText" dxfId="304" priority="306" operator="containsText" text="平日：開所とみなす">
      <formula>NOT(ISERROR(SEARCH("平日：開所とみなす",D356)))</formula>
    </cfRule>
    <cfRule type="containsText" dxfId="303" priority="307" operator="containsText" text="長期休暇">
      <formula>NOT(ISERROR(SEARCH("長期休暇",D356)))</formula>
    </cfRule>
    <cfRule type="containsText" dxfId="302" priority="308" operator="containsText" text="平日">
      <formula>NOT(ISERROR(SEARCH("平日",D356)))</formula>
    </cfRule>
    <cfRule type="containsText" dxfId="301" priority="309" operator="containsText" text="平日">
      <formula>NOT(ISERROR(SEARCH("平日",D356)))</formula>
    </cfRule>
    <cfRule type="containsText" dxfId="300" priority="310" operator="containsText" text="休所">
      <formula>NOT(ISERROR(SEARCH("休所",D356)))</formula>
    </cfRule>
    <cfRule type="containsText" dxfId="299" priority="311" operator="containsText" text="休所">
      <formula>NOT(ISERROR(SEARCH("休所",D356)))</formula>
    </cfRule>
    <cfRule type="containsText" dxfId="298" priority="312" operator="containsText" text="長期休暇">
      <formula>NOT(ISERROR(SEARCH("長期休暇",D356)))</formula>
    </cfRule>
  </conditionalFormatting>
  <conditionalFormatting sqref="D355">
    <cfRule type="containsText" dxfId="297" priority="289" operator="containsText" text="土日祝長期：開所とみなす">
      <formula>NOT(ISERROR(SEARCH("土日祝長期：開所とみなす",D355)))</formula>
    </cfRule>
    <cfRule type="containsText" dxfId="296" priority="290" operator="containsText" text="平日：開所とみなす">
      <formula>NOT(ISERROR(SEARCH("平日：開所とみなす",D355)))</formula>
    </cfRule>
    <cfRule type="containsText" dxfId="295" priority="291" operator="containsText" text="長期休暇">
      <formula>NOT(ISERROR(SEARCH("長期休暇",D355)))</formula>
    </cfRule>
    <cfRule type="containsText" dxfId="294" priority="292" operator="containsText" text="平日">
      <formula>NOT(ISERROR(SEARCH("平日",D355)))</formula>
    </cfRule>
    <cfRule type="containsText" dxfId="293" priority="293" operator="containsText" text="平日">
      <formula>NOT(ISERROR(SEARCH("平日",D355)))</formula>
    </cfRule>
    <cfRule type="containsText" dxfId="292" priority="294" operator="containsText" text="休所">
      <formula>NOT(ISERROR(SEARCH("休所",D355)))</formula>
    </cfRule>
    <cfRule type="containsText" dxfId="291" priority="295" operator="containsText" text="休所">
      <formula>NOT(ISERROR(SEARCH("休所",D355)))</formula>
    </cfRule>
    <cfRule type="containsText" dxfId="290" priority="296" operator="containsText" text="長期休暇">
      <formula>NOT(ISERROR(SEARCH("長期休暇",D355)))</formula>
    </cfRule>
  </conditionalFormatting>
  <conditionalFormatting sqref="D357">
    <cfRule type="containsText" dxfId="289" priority="281" operator="containsText" text="土日祝長期：開所とみなす">
      <formula>NOT(ISERROR(SEARCH("土日祝長期：開所とみなす",D357)))</formula>
    </cfRule>
    <cfRule type="containsText" dxfId="288" priority="282" operator="containsText" text="平日：開所とみなす">
      <formula>NOT(ISERROR(SEARCH("平日：開所とみなす",D357)))</formula>
    </cfRule>
    <cfRule type="containsText" dxfId="287" priority="283" operator="containsText" text="長期休暇">
      <formula>NOT(ISERROR(SEARCH("長期休暇",D357)))</formula>
    </cfRule>
    <cfRule type="containsText" dxfId="286" priority="284" operator="containsText" text="平日">
      <formula>NOT(ISERROR(SEARCH("平日",D357)))</formula>
    </cfRule>
    <cfRule type="containsText" dxfId="285" priority="285" operator="containsText" text="平日">
      <formula>NOT(ISERROR(SEARCH("平日",D357)))</formula>
    </cfRule>
    <cfRule type="containsText" dxfId="284" priority="286" operator="containsText" text="休所">
      <formula>NOT(ISERROR(SEARCH("休所",D357)))</formula>
    </cfRule>
    <cfRule type="containsText" dxfId="283" priority="287" operator="containsText" text="休所">
      <formula>NOT(ISERROR(SEARCH("休所",D357)))</formula>
    </cfRule>
    <cfRule type="containsText" dxfId="282" priority="288" operator="containsText" text="長期休暇">
      <formula>NOT(ISERROR(SEARCH("長期休暇",D357)))</formula>
    </cfRule>
  </conditionalFormatting>
  <conditionalFormatting sqref="D358:D360">
    <cfRule type="containsText" dxfId="281" priority="273" operator="containsText" text="土日祝長期：開所とみなす">
      <formula>NOT(ISERROR(SEARCH("土日祝長期：開所とみなす",D358)))</formula>
    </cfRule>
    <cfRule type="containsText" dxfId="280" priority="274" operator="containsText" text="平日：開所とみなす">
      <formula>NOT(ISERROR(SEARCH("平日：開所とみなす",D358)))</formula>
    </cfRule>
    <cfRule type="containsText" dxfId="279" priority="275" operator="containsText" text="長期休暇">
      <formula>NOT(ISERROR(SEARCH("長期休暇",D358)))</formula>
    </cfRule>
    <cfRule type="containsText" dxfId="278" priority="276" operator="containsText" text="平日">
      <formula>NOT(ISERROR(SEARCH("平日",D358)))</formula>
    </cfRule>
    <cfRule type="containsText" dxfId="277" priority="277" operator="containsText" text="平日">
      <formula>NOT(ISERROR(SEARCH("平日",D358)))</formula>
    </cfRule>
    <cfRule type="containsText" dxfId="276" priority="278" operator="containsText" text="休所">
      <formula>NOT(ISERROR(SEARCH("休所",D358)))</formula>
    </cfRule>
    <cfRule type="containsText" dxfId="275" priority="279" operator="containsText" text="休所">
      <formula>NOT(ISERROR(SEARCH("休所",D358)))</formula>
    </cfRule>
    <cfRule type="containsText" dxfId="274" priority="280" operator="containsText" text="長期休暇">
      <formula>NOT(ISERROR(SEARCH("長期休暇",D358)))</formula>
    </cfRule>
  </conditionalFormatting>
  <conditionalFormatting sqref="D363">
    <cfRule type="containsText" dxfId="273" priority="265" operator="containsText" text="土日祝長期：開所とみなす">
      <formula>NOT(ISERROR(SEARCH("土日祝長期：開所とみなす",D363)))</formula>
    </cfRule>
    <cfRule type="containsText" dxfId="272" priority="266" operator="containsText" text="平日：開所とみなす">
      <formula>NOT(ISERROR(SEARCH("平日：開所とみなす",D363)))</formula>
    </cfRule>
    <cfRule type="containsText" dxfId="271" priority="267" operator="containsText" text="長期休暇">
      <formula>NOT(ISERROR(SEARCH("長期休暇",D363)))</formula>
    </cfRule>
    <cfRule type="containsText" dxfId="270" priority="268" operator="containsText" text="平日">
      <formula>NOT(ISERROR(SEARCH("平日",D363)))</formula>
    </cfRule>
    <cfRule type="containsText" dxfId="269" priority="269" operator="containsText" text="平日">
      <formula>NOT(ISERROR(SEARCH("平日",D363)))</formula>
    </cfRule>
    <cfRule type="containsText" dxfId="268" priority="270" operator="containsText" text="休所">
      <formula>NOT(ISERROR(SEARCH("休所",D363)))</formula>
    </cfRule>
    <cfRule type="containsText" dxfId="267" priority="271" operator="containsText" text="休所">
      <formula>NOT(ISERROR(SEARCH("休所",D363)))</formula>
    </cfRule>
    <cfRule type="containsText" dxfId="266" priority="272" operator="containsText" text="長期休暇">
      <formula>NOT(ISERROR(SEARCH("長期休暇",D363)))</formula>
    </cfRule>
  </conditionalFormatting>
  <conditionalFormatting sqref="D361">
    <cfRule type="containsText" dxfId="265" priority="257" operator="containsText" text="土日祝長期：開所とみなす">
      <formula>NOT(ISERROR(SEARCH("土日祝長期：開所とみなす",D361)))</formula>
    </cfRule>
    <cfRule type="containsText" dxfId="264" priority="258" operator="containsText" text="平日：開所とみなす">
      <formula>NOT(ISERROR(SEARCH("平日：開所とみなす",D361)))</formula>
    </cfRule>
    <cfRule type="containsText" dxfId="263" priority="259" operator="containsText" text="長期休暇">
      <formula>NOT(ISERROR(SEARCH("長期休暇",D361)))</formula>
    </cfRule>
    <cfRule type="containsText" dxfId="262" priority="260" operator="containsText" text="平日">
      <formula>NOT(ISERROR(SEARCH("平日",D361)))</formula>
    </cfRule>
    <cfRule type="containsText" dxfId="261" priority="261" operator="containsText" text="平日">
      <formula>NOT(ISERROR(SEARCH("平日",D361)))</formula>
    </cfRule>
    <cfRule type="containsText" dxfId="260" priority="262" operator="containsText" text="休所">
      <formula>NOT(ISERROR(SEARCH("休所",D361)))</formula>
    </cfRule>
    <cfRule type="containsText" dxfId="259" priority="263" operator="containsText" text="休所">
      <formula>NOT(ISERROR(SEARCH("休所",D361)))</formula>
    </cfRule>
    <cfRule type="containsText" dxfId="258" priority="264" operator="containsText" text="長期休暇">
      <formula>NOT(ISERROR(SEARCH("長期休暇",D361)))</formula>
    </cfRule>
  </conditionalFormatting>
  <conditionalFormatting sqref="D362">
    <cfRule type="containsText" dxfId="257" priority="249" operator="containsText" text="土日祝長期：開所とみなす">
      <formula>NOT(ISERROR(SEARCH("土日祝長期：開所とみなす",D362)))</formula>
    </cfRule>
    <cfRule type="containsText" dxfId="256" priority="250" operator="containsText" text="平日：開所とみなす">
      <formula>NOT(ISERROR(SEARCH("平日：開所とみなす",D362)))</formula>
    </cfRule>
    <cfRule type="containsText" dxfId="255" priority="251" operator="containsText" text="長期休暇">
      <formula>NOT(ISERROR(SEARCH("長期休暇",D362)))</formula>
    </cfRule>
    <cfRule type="containsText" dxfId="254" priority="252" operator="containsText" text="平日">
      <formula>NOT(ISERROR(SEARCH("平日",D362)))</formula>
    </cfRule>
    <cfRule type="containsText" dxfId="253" priority="253" operator="containsText" text="平日">
      <formula>NOT(ISERROR(SEARCH("平日",D362)))</formula>
    </cfRule>
    <cfRule type="containsText" dxfId="252" priority="254" operator="containsText" text="休所">
      <formula>NOT(ISERROR(SEARCH("休所",D362)))</formula>
    </cfRule>
    <cfRule type="containsText" dxfId="251" priority="255" operator="containsText" text="休所">
      <formula>NOT(ISERROR(SEARCH("休所",D362)))</formula>
    </cfRule>
    <cfRule type="containsText" dxfId="250" priority="256" operator="containsText" text="長期休暇">
      <formula>NOT(ISERROR(SEARCH("長期休暇",D362)))</formula>
    </cfRule>
  </conditionalFormatting>
  <conditionalFormatting sqref="D370">
    <cfRule type="containsText" dxfId="249" priority="241" operator="containsText" text="土日祝長期：開所とみなす">
      <formula>NOT(ISERROR(SEARCH("土日祝長期：開所とみなす",D370)))</formula>
    </cfRule>
    <cfRule type="containsText" dxfId="248" priority="242" operator="containsText" text="平日：開所とみなす">
      <formula>NOT(ISERROR(SEARCH("平日：開所とみなす",D370)))</formula>
    </cfRule>
    <cfRule type="containsText" dxfId="247" priority="243" operator="containsText" text="長期休暇">
      <formula>NOT(ISERROR(SEARCH("長期休暇",D370)))</formula>
    </cfRule>
    <cfRule type="containsText" dxfId="246" priority="244" operator="containsText" text="平日">
      <formula>NOT(ISERROR(SEARCH("平日",D370)))</formula>
    </cfRule>
    <cfRule type="containsText" dxfId="245" priority="245" operator="containsText" text="平日">
      <formula>NOT(ISERROR(SEARCH("平日",D370)))</formula>
    </cfRule>
    <cfRule type="containsText" dxfId="244" priority="246" operator="containsText" text="休所">
      <formula>NOT(ISERROR(SEARCH("休所",D370)))</formula>
    </cfRule>
    <cfRule type="containsText" dxfId="243" priority="247" operator="containsText" text="休所">
      <formula>NOT(ISERROR(SEARCH("休所",D370)))</formula>
    </cfRule>
    <cfRule type="containsText" dxfId="242" priority="248" operator="containsText" text="長期休暇">
      <formula>NOT(ISERROR(SEARCH("長期休暇",D370)))</formula>
    </cfRule>
  </conditionalFormatting>
  <conditionalFormatting sqref="D369">
    <cfRule type="containsText" dxfId="241" priority="233" operator="containsText" text="土日祝長期：開所とみなす">
      <formula>NOT(ISERROR(SEARCH("土日祝長期：開所とみなす",D369)))</formula>
    </cfRule>
    <cfRule type="containsText" dxfId="240" priority="234" operator="containsText" text="平日：開所とみなす">
      <formula>NOT(ISERROR(SEARCH("平日：開所とみなす",D369)))</formula>
    </cfRule>
    <cfRule type="containsText" dxfId="239" priority="235" operator="containsText" text="長期休暇">
      <formula>NOT(ISERROR(SEARCH("長期休暇",D369)))</formula>
    </cfRule>
    <cfRule type="containsText" dxfId="238" priority="236" operator="containsText" text="平日">
      <formula>NOT(ISERROR(SEARCH("平日",D369)))</formula>
    </cfRule>
    <cfRule type="containsText" dxfId="237" priority="237" operator="containsText" text="平日">
      <formula>NOT(ISERROR(SEARCH("平日",D369)))</formula>
    </cfRule>
    <cfRule type="containsText" dxfId="236" priority="238" operator="containsText" text="休所">
      <formula>NOT(ISERROR(SEARCH("休所",D369)))</formula>
    </cfRule>
    <cfRule type="containsText" dxfId="235" priority="239" operator="containsText" text="休所">
      <formula>NOT(ISERROR(SEARCH("休所",D369)))</formula>
    </cfRule>
    <cfRule type="containsText" dxfId="234" priority="240" operator="containsText" text="長期休暇">
      <formula>NOT(ISERROR(SEARCH("長期休暇",D369)))</formula>
    </cfRule>
  </conditionalFormatting>
  <conditionalFormatting sqref="D364:D368">
    <cfRule type="containsText" dxfId="233" priority="225" operator="containsText" text="土日祝長期：開所とみなす">
      <formula>NOT(ISERROR(SEARCH("土日祝長期：開所とみなす",D364)))</formula>
    </cfRule>
    <cfRule type="containsText" dxfId="232" priority="226" operator="containsText" text="平日：開所とみなす">
      <formula>NOT(ISERROR(SEARCH("平日：開所とみなす",D364)))</formula>
    </cfRule>
    <cfRule type="containsText" dxfId="231" priority="227" operator="containsText" text="長期休暇">
      <formula>NOT(ISERROR(SEARCH("長期休暇",D364)))</formula>
    </cfRule>
    <cfRule type="containsText" dxfId="230" priority="228" operator="containsText" text="平日">
      <formula>NOT(ISERROR(SEARCH("平日",D364)))</formula>
    </cfRule>
    <cfRule type="containsText" dxfId="229" priority="229" operator="containsText" text="平日">
      <formula>NOT(ISERROR(SEARCH("平日",D364)))</formula>
    </cfRule>
    <cfRule type="containsText" dxfId="228" priority="230" operator="containsText" text="休所">
      <formula>NOT(ISERROR(SEARCH("休所",D364)))</formula>
    </cfRule>
    <cfRule type="containsText" dxfId="227" priority="231" operator="containsText" text="休所">
      <formula>NOT(ISERROR(SEARCH("休所",D364)))</formula>
    </cfRule>
    <cfRule type="containsText" dxfId="226" priority="232" operator="containsText" text="長期休暇">
      <formula>NOT(ISERROR(SEARCH("長期休暇",D364)))</formula>
    </cfRule>
  </conditionalFormatting>
  <conditionalFormatting sqref="D47">
    <cfRule type="containsText" dxfId="225" priority="217" operator="containsText" text="土日祝長期：開所とみなす">
      <formula>NOT(ISERROR(SEARCH("土日祝長期：開所とみなす",D47)))</formula>
    </cfRule>
    <cfRule type="containsText" dxfId="224" priority="218" operator="containsText" text="平日：開所とみなす">
      <formula>NOT(ISERROR(SEARCH("平日：開所とみなす",D47)))</formula>
    </cfRule>
    <cfRule type="containsText" dxfId="223" priority="219" operator="containsText" text="長期休暇">
      <formula>NOT(ISERROR(SEARCH("長期休暇",D47)))</formula>
    </cfRule>
    <cfRule type="containsText" dxfId="222" priority="220" operator="containsText" text="平日">
      <formula>NOT(ISERROR(SEARCH("平日",D47)))</formula>
    </cfRule>
    <cfRule type="containsText" dxfId="221" priority="221" operator="containsText" text="平日">
      <formula>NOT(ISERROR(SEARCH("平日",D47)))</formula>
    </cfRule>
    <cfRule type="containsText" dxfId="220" priority="222" operator="containsText" text="休所">
      <formula>NOT(ISERROR(SEARCH("休所",D47)))</formula>
    </cfRule>
    <cfRule type="containsText" dxfId="219" priority="223" operator="containsText" text="休所">
      <formula>NOT(ISERROR(SEARCH("休所",D47)))</formula>
    </cfRule>
    <cfRule type="containsText" dxfId="218" priority="224" operator="containsText" text="長期休暇">
      <formula>NOT(ISERROR(SEARCH("長期休暇",D47)))</formula>
    </cfRule>
  </conditionalFormatting>
  <conditionalFormatting sqref="D54">
    <cfRule type="containsText" dxfId="217" priority="209" operator="containsText" text="土日祝長期：開所とみなす">
      <formula>NOT(ISERROR(SEARCH("土日祝長期：開所とみなす",D54)))</formula>
    </cfRule>
    <cfRule type="containsText" dxfId="216" priority="210" operator="containsText" text="平日：開所とみなす">
      <formula>NOT(ISERROR(SEARCH("平日：開所とみなす",D54)))</formula>
    </cfRule>
    <cfRule type="containsText" dxfId="215" priority="211" operator="containsText" text="長期休暇">
      <formula>NOT(ISERROR(SEARCH("長期休暇",D54)))</formula>
    </cfRule>
    <cfRule type="containsText" dxfId="214" priority="212" operator="containsText" text="平日">
      <formula>NOT(ISERROR(SEARCH("平日",D54)))</formula>
    </cfRule>
    <cfRule type="containsText" dxfId="213" priority="213" operator="containsText" text="平日">
      <formula>NOT(ISERROR(SEARCH("平日",D54)))</formula>
    </cfRule>
    <cfRule type="containsText" dxfId="212" priority="214" operator="containsText" text="休所">
      <formula>NOT(ISERROR(SEARCH("休所",D54)))</formula>
    </cfRule>
    <cfRule type="containsText" dxfId="211" priority="215" operator="containsText" text="休所">
      <formula>NOT(ISERROR(SEARCH("休所",D54)))</formula>
    </cfRule>
    <cfRule type="containsText" dxfId="210" priority="216" operator="containsText" text="長期休暇">
      <formula>NOT(ISERROR(SEARCH("長期休暇",D54)))</formula>
    </cfRule>
  </conditionalFormatting>
  <conditionalFormatting sqref="D61">
    <cfRule type="containsText" dxfId="209" priority="201" operator="containsText" text="土日祝長期：開所とみなす">
      <formula>NOT(ISERROR(SEARCH("土日祝長期：開所とみなす",D61)))</formula>
    </cfRule>
    <cfRule type="containsText" dxfId="208" priority="202" operator="containsText" text="平日：開所とみなす">
      <formula>NOT(ISERROR(SEARCH("平日：開所とみなす",D61)))</formula>
    </cfRule>
    <cfRule type="containsText" dxfId="207" priority="203" operator="containsText" text="長期休暇">
      <formula>NOT(ISERROR(SEARCH("長期休暇",D61)))</formula>
    </cfRule>
    <cfRule type="containsText" dxfId="206" priority="204" operator="containsText" text="平日">
      <formula>NOT(ISERROR(SEARCH("平日",D61)))</formula>
    </cfRule>
    <cfRule type="containsText" dxfId="205" priority="205" operator="containsText" text="平日">
      <formula>NOT(ISERROR(SEARCH("平日",D61)))</formula>
    </cfRule>
    <cfRule type="containsText" dxfId="204" priority="206" operator="containsText" text="休所">
      <formula>NOT(ISERROR(SEARCH("休所",D61)))</formula>
    </cfRule>
    <cfRule type="containsText" dxfId="203" priority="207" operator="containsText" text="休所">
      <formula>NOT(ISERROR(SEARCH("休所",D61)))</formula>
    </cfRule>
    <cfRule type="containsText" dxfId="202" priority="208" operator="containsText" text="長期休暇">
      <formula>NOT(ISERROR(SEARCH("長期休暇",D61)))</formula>
    </cfRule>
  </conditionalFormatting>
  <conditionalFormatting sqref="D75">
    <cfRule type="containsText" dxfId="201" priority="193" operator="containsText" text="土日祝長期：開所とみなす">
      <formula>NOT(ISERROR(SEARCH("土日祝長期：開所とみなす",D75)))</formula>
    </cfRule>
    <cfRule type="containsText" dxfId="200" priority="194" operator="containsText" text="平日：開所とみなす">
      <formula>NOT(ISERROR(SEARCH("平日：開所とみなす",D75)))</formula>
    </cfRule>
    <cfRule type="containsText" dxfId="199" priority="195" operator="containsText" text="長期休暇">
      <formula>NOT(ISERROR(SEARCH("長期休暇",D75)))</formula>
    </cfRule>
    <cfRule type="containsText" dxfId="198" priority="196" operator="containsText" text="平日">
      <formula>NOT(ISERROR(SEARCH("平日",D75)))</formula>
    </cfRule>
    <cfRule type="containsText" dxfId="197" priority="197" operator="containsText" text="平日">
      <formula>NOT(ISERROR(SEARCH("平日",D75)))</formula>
    </cfRule>
    <cfRule type="containsText" dxfId="196" priority="198" operator="containsText" text="休所">
      <formula>NOT(ISERROR(SEARCH("休所",D75)))</formula>
    </cfRule>
    <cfRule type="containsText" dxfId="195" priority="199" operator="containsText" text="休所">
      <formula>NOT(ISERROR(SEARCH("休所",D75)))</formula>
    </cfRule>
    <cfRule type="containsText" dxfId="194" priority="200" operator="containsText" text="長期休暇">
      <formula>NOT(ISERROR(SEARCH("長期休暇",D75)))</formula>
    </cfRule>
  </conditionalFormatting>
  <conditionalFormatting sqref="D68">
    <cfRule type="containsText" dxfId="193" priority="185" operator="containsText" text="土日祝長期：開所とみなす">
      <formula>NOT(ISERROR(SEARCH("土日祝長期：開所とみなす",D68)))</formula>
    </cfRule>
    <cfRule type="containsText" dxfId="192" priority="186" operator="containsText" text="平日：開所とみなす">
      <formula>NOT(ISERROR(SEARCH("平日：開所とみなす",D68)))</formula>
    </cfRule>
    <cfRule type="containsText" dxfId="191" priority="187" operator="containsText" text="長期休暇">
      <formula>NOT(ISERROR(SEARCH("長期休暇",D68)))</formula>
    </cfRule>
    <cfRule type="containsText" dxfId="190" priority="188" operator="containsText" text="平日">
      <formula>NOT(ISERROR(SEARCH("平日",D68)))</formula>
    </cfRule>
    <cfRule type="containsText" dxfId="189" priority="189" operator="containsText" text="平日">
      <formula>NOT(ISERROR(SEARCH("平日",D68)))</formula>
    </cfRule>
    <cfRule type="containsText" dxfId="188" priority="190" operator="containsText" text="休所">
      <formula>NOT(ISERROR(SEARCH("休所",D68)))</formula>
    </cfRule>
    <cfRule type="containsText" dxfId="187" priority="191" operator="containsText" text="休所">
      <formula>NOT(ISERROR(SEARCH("休所",D68)))</formula>
    </cfRule>
    <cfRule type="containsText" dxfId="186" priority="192" operator="containsText" text="長期休暇">
      <formula>NOT(ISERROR(SEARCH("長期休暇",D68)))</formula>
    </cfRule>
  </conditionalFormatting>
  <conditionalFormatting sqref="D82">
    <cfRule type="containsText" dxfId="185" priority="177" operator="containsText" text="土日祝長期：開所とみなす">
      <formula>NOT(ISERROR(SEARCH("土日祝長期：開所とみなす",D82)))</formula>
    </cfRule>
    <cfRule type="containsText" dxfId="184" priority="178" operator="containsText" text="平日：開所とみなす">
      <formula>NOT(ISERROR(SEARCH("平日：開所とみなす",D82)))</formula>
    </cfRule>
    <cfRule type="containsText" dxfId="183" priority="179" operator="containsText" text="長期休暇">
      <formula>NOT(ISERROR(SEARCH("長期休暇",D82)))</formula>
    </cfRule>
    <cfRule type="containsText" dxfId="182" priority="180" operator="containsText" text="平日">
      <formula>NOT(ISERROR(SEARCH("平日",D82)))</formula>
    </cfRule>
    <cfRule type="containsText" dxfId="181" priority="181" operator="containsText" text="平日">
      <formula>NOT(ISERROR(SEARCH("平日",D82)))</formula>
    </cfRule>
    <cfRule type="containsText" dxfId="180" priority="182" operator="containsText" text="休所">
      <formula>NOT(ISERROR(SEARCH("休所",D82)))</formula>
    </cfRule>
    <cfRule type="containsText" dxfId="179" priority="183" operator="containsText" text="休所">
      <formula>NOT(ISERROR(SEARCH("休所",D82)))</formula>
    </cfRule>
    <cfRule type="containsText" dxfId="178" priority="184" operator="containsText" text="長期休暇">
      <formula>NOT(ISERROR(SEARCH("長期休暇",D82)))</formula>
    </cfRule>
  </conditionalFormatting>
  <conditionalFormatting sqref="D89">
    <cfRule type="containsText" dxfId="177" priority="169" operator="containsText" text="土日祝長期：開所とみなす">
      <formula>NOT(ISERROR(SEARCH("土日祝長期：開所とみなす",D89)))</formula>
    </cfRule>
    <cfRule type="containsText" dxfId="176" priority="170" operator="containsText" text="平日：開所とみなす">
      <formula>NOT(ISERROR(SEARCH("平日：開所とみなす",D89)))</formula>
    </cfRule>
    <cfRule type="containsText" dxfId="175" priority="171" operator="containsText" text="長期休暇">
      <formula>NOT(ISERROR(SEARCH("長期休暇",D89)))</formula>
    </cfRule>
    <cfRule type="containsText" dxfId="174" priority="172" operator="containsText" text="平日">
      <formula>NOT(ISERROR(SEARCH("平日",D89)))</formula>
    </cfRule>
    <cfRule type="containsText" dxfId="173" priority="173" operator="containsText" text="平日">
      <formula>NOT(ISERROR(SEARCH("平日",D89)))</formula>
    </cfRule>
    <cfRule type="containsText" dxfId="172" priority="174" operator="containsText" text="休所">
      <formula>NOT(ISERROR(SEARCH("休所",D89)))</formula>
    </cfRule>
    <cfRule type="containsText" dxfId="171" priority="175" operator="containsText" text="休所">
      <formula>NOT(ISERROR(SEARCH("休所",D89)))</formula>
    </cfRule>
    <cfRule type="containsText" dxfId="170" priority="176" operator="containsText" text="長期休暇">
      <formula>NOT(ISERROR(SEARCH("長期休暇",D89)))</formula>
    </cfRule>
  </conditionalFormatting>
  <conditionalFormatting sqref="D96">
    <cfRule type="containsText" dxfId="169" priority="161" operator="containsText" text="土日祝長期：開所とみなす">
      <formula>NOT(ISERROR(SEARCH("土日祝長期：開所とみなす",D96)))</formula>
    </cfRule>
    <cfRule type="containsText" dxfId="168" priority="162" operator="containsText" text="平日：開所とみなす">
      <formula>NOT(ISERROR(SEARCH("平日：開所とみなす",D96)))</formula>
    </cfRule>
    <cfRule type="containsText" dxfId="167" priority="163" operator="containsText" text="長期休暇">
      <formula>NOT(ISERROR(SEARCH("長期休暇",D96)))</formula>
    </cfRule>
    <cfRule type="containsText" dxfId="166" priority="164" operator="containsText" text="平日">
      <formula>NOT(ISERROR(SEARCH("平日",D96)))</formula>
    </cfRule>
    <cfRule type="containsText" dxfId="165" priority="165" operator="containsText" text="平日">
      <formula>NOT(ISERROR(SEARCH("平日",D96)))</formula>
    </cfRule>
    <cfRule type="containsText" dxfId="164" priority="166" operator="containsText" text="休所">
      <formula>NOT(ISERROR(SEARCH("休所",D96)))</formula>
    </cfRule>
    <cfRule type="containsText" dxfId="163" priority="167" operator="containsText" text="休所">
      <formula>NOT(ISERROR(SEARCH("休所",D96)))</formula>
    </cfRule>
    <cfRule type="containsText" dxfId="162" priority="168" operator="containsText" text="長期休暇">
      <formula>NOT(ISERROR(SEARCH("長期休暇",D96)))</formula>
    </cfRule>
  </conditionalFormatting>
  <conditionalFormatting sqref="D103">
    <cfRule type="containsText" dxfId="161" priority="153" operator="containsText" text="土日祝長期：開所とみなす">
      <formula>NOT(ISERROR(SEARCH("土日祝長期：開所とみなす",D103)))</formula>
    </cfRule>
    <cfRule type="containsText" dxfId="160" priority="154" operator="containsText" text="平日：開所とみなす">
      <formula>NOT(ISERROR(SEARCH("平日：開所とみなす",D103)))</formula>
    </cfRule>
    <cfRule type="containsText" dxfId="159" priority="155" operator="containsText" text="長期休暇">
      <formula>NOT(ISERROR(SEARCH("長期休暇",D103)))</formula>
    </cfRule>
    <cfRule type="containsText" dxfId="158" priority="156" operator="containsText" text="平日">
      <formula>NOT(ISERROR(SEARCH("平日",D103)))</formula>
    </cfRule>
    <cfRule type="containsText" dxfId="157" priority="157" operator="containsText" text="平日">
      <formula>NOT(ISERROR(SEARCH("平日",D103)))</formula>
    </cfRule>
    <cfRule type="containsText" dxfId="156" priority="158" operator="containsText" text="休所">
      <formula>NOT(ISERROR(SEARCH("休所",D103)))</formula>
    </cfRule>
    <cfRule type="containsText" dxfId="155" priority="159" operator="containsText" text="休所">
      <formula>NOT(ISERROR(SEARCH("休所",D103)))</formula>
    </cfRule>
    <cfRule type="containsText" dxfId="154" priority="160" operator="containsText" text="長期休暇">
      <formula>NOT(ISERROR(SEARCH("長期休暇",D103)))</formula>
    </cfRule>
  </conditionalFormatting>
  <conditionalFormatting sqref="D110">
    <cfRule type="containsText" dxfId="153" priority="145" operator="containsText" text="土日祝長期：開所とみなす">
      <formula>NOT(ISERROR(SEARCH("土日祝長期：開所とみなす",D110)))</formula>
    </cfRule>
    <cfRule type="containsText" dxfId="152" priority="146" operator="containsText" text="平日：開所とみなす">
      <formula>NOT(ISERROR(SEARCH("平日：開所とみなす",D110)))</formula>
    </cfRule>
    <cfRule type="containsText" dxfId="151" priority="147" operator="containsText" text="長期休暇">
      <formula>NOT(ISERROR(SEARCH("長期休暇",D110)))</formula>
    </cfRule>
    <cfRule type="containsText" dxfId="150" priority="148" operator="containsText" text="平日">
      <formula>NOT(ISERROR(SEARCH("平日",D110)))</formula>
    </cfRule>
    <cfRule type="containsText" dxfId="149" priority="149" operator="containsText" text="平日">
      <formula>NOT(ISERROR(SEARCH("平日",D110)))</formula>
    </cfRule>
    <cfRule type="containsText" dxfId="148" priority="150" operator="containsText" text="休所">
      <formula>NOT(ISERROR(SEARCH("休所",D110)))</formula>
    </cfRule>
    <cfRule type="containsText" dxfId="147" priority="151" operator="containsText" text="休所">
      <formula>NOT(ISERROR(SEARCH("休所",D110)))</formula>
    </cfRule>
    <cfRule type="containsText" dxfId="146" priority="152" operator="containsText" text="長期休暇">
      <formula>NOT(ISERROR(SEARCH("長期休暇",D110)))</formula>
    </cfRule>
  </conditionalFormatting>
  <conditionalFormatting sqref="D116:D117">
    <cfRule type="containsText" dxfId="145" priority="137" operator="containsText" text="土日祝長期：開所とみなす">
      <formula>NOT(ISERROR(SEARCH("土日祝長期：開所とみなす",D116)))</formula>
    </cfRule>
    <cfRule type="containsText" dxfId="144" priority="138" operator="containsText" text="平日：開所とみなす">
      <formula>NOT(ISERROR(SEARCH("平日：開所とみなす",D116)))</formula>
    </cfRule>
    <cfRule type="containsText" dxfId="143" priority="139" operator="containsText" text="長期休暇">
      <formula>NOT(ISERROR(SEARCH("長期休暇",D116)))</formula>
    </cfRule>
    <cfRule type="containsText" dxfId="142" priority="140" operator="containsText" text="平日">
      <formula>NOT(ISERROR(SEARCH("平日",D116)))</formula>
    </cfRule>
    <cfRule type="containsText" dxfId="141" priority="141" operator="containsText" text="平日">
      <formula>NOT(ISERROR(SEARCH("平日",D116)))</formula>
    </cfRule>
    <cfRule type="containsText" dxfId="140" priority="142" operator="containsText" text="休所">
      <formula>NOT(ISERROR(SEARCH("休所",D116)))</formula>
    </cfRule>
    <cfRule type="containsText" dxfId="139" priority="143" operator="containsText" text="休所">
      <formula>NOT(ISERROR(SEARCH("休所",D116)))</formula>
    </cfRule>
    <cfRule type="containsText" dxfId="138" priority="144" operator="containsText" text="長期休暇">
      <formula>NOT(ISERROR(SEARCH("長期休暇",D116)))</formula>
    </cfRule>
  </conditionalFormatting>
  <conditionalFormatting sqref="D119:D124">
    <cfRule type="containsText" dxfId="137" priority="129" operator="containsText" text="土日祝長期：開所とみなす">
      <formula>NOT(ISERROR(SEARCH("土日祝長期：開所とみなす",D119)))</formula>
    </cfRule>
    <cfRule type="containsText" dxfId="136" priority="130" operator="containsText" text="平日：開所とみなす">
      <formula>NOT(ISERROR(SEARCH("平日：開所とみなす",D119)))</formula>
    </cfRule>
    <cfRule type="containsText" dxfId="135" priority="131" operator="containsText" text="長期休暇">
      <formula>NOT(ISERROR(SEARCH("長期休暇",D119)))</formula>
    </cfRule>
    <cfRule type="containsText" dxfId="134" priority="132" operator="containsText" text="平日">
      <formula>NOT(ISERROR(SEARCH("平日",D119)))</formula>
    </cfRule>
    <cfRule type="containsText" dxfId="133" priority="133" operator="containsText" text="平日">
      <formula>NOT(ISERROR(SEARCH("平日",D119)))</formula>
    </cfRule>
    <cfRule type="containsText" dxfId="132" priority="134" operator="containsText" text="休所">
      <formula>NOT(ISERROR(SEARCH("休所",D119)))</formula>
    </cfRule>
    <cfRule type="containsText" dxfId="131" priority="135" operator="containsText" text="休所">
      <formula>NOT(ISERROR(SEARCH("休所",D119)))</formula>
    </cfRule>
    <cfRule type="containsText" dxfId="130" priority="136" operator="containsText" text="長期休暇">
      <formula>NOT(ISERROR(SEARCH("長期休暇",D119)))</formula>
    </cfRule>
  </conditionalFormatting>
  <conditionalFormatting sqref="D159">
    <cfRule type="containsText" dxfId="129" priority="121" operator="containsText" text="土日祝長期：開所とみなす">
      <formula>NOT(ISERROR(SEARCH("土日祝長期：開所とみなす",D159)))</formula>
    </cfRule>
    <cfRule type="containsText" dxfId="128" priority="122" operator="containsText" text="平日：開所とみなす">
      <formula>NOT(ISERROR(SEARCH("平日：開所とみなす",D159)))</formula>
    </cfRule>
    <cfRule type="containsText" dxfId="127" priority="123" operator="containsText" text="長期休暇">
      <formula>NOT(ISERROR(SEARCH("長期休暇",D159)))</formula>
    </cfRule>
    <cfRule type="containsText" dxfId="126" priority="124" operator="containsText" text="平日">
      <formula>NOT(ISERROR(SEARCH("平日",D159)))</formula>
    </cfRule>
    <cfRule type="containsText" dxfId="125" priority="125" operator="containsText" text="平日">
      <formula>NOT(ISERROR(SEARCH("平日",D159)))</formula>
    </cfRule>
    <cfRule type="containsText" dxfId="124" priority="126" operator="containsText" text="休所">
      <formula>NOT(ISERROR(SEARCH("休所",D159)))</formula>
    </cfRule>
    <cfRule type="containsText" dxfId="123" priority="127" operator="containsText" text="休所">
      <formula>NOT(ISERROR(SEARCH("休所",D159)))</formula>
    </cfRule>
    <cfRule type="containsText" dxfId="122" priority="128" operator="containsText" text="長期休暇">
      <formula>NOT(ISERROR(SEARCH("長期休暇",D159)))</formula>
    </cfRule>
  </conditionalFormatting>
  <conditionalFormatting sqref="D166">
    <cfRule type="containsText" dxfId="121" priority="113" operator="containsText" text="土日祝長期：開所とみなす">
      <formula>NOT(ISERROR(SEARCH("土日祝長期：開所とみなす",D166)))</formula>
    </cfRule>
    <cfRule type="containsText" dxfId="120" priority="114" operator="containsText" text="平日：開所とみなす">
      <formula>NOT(ISERROR(SEARCH("平日：開所とみなす",D166)))</formula>
    </cfRule>
    <cfRule type="containsText" dxfId="119" priority="115" operator="containsText" text="長期休暇">
      <formula>NOT(ISERROR(SEARCH("長期休暇",D166)))</formula>
    </cfRule>
    <cfRule type="containsText" dxfId="118" priority="116" operator="containsText" text="平日">
      <formula>NOT(ISERROR(SEARCH("平日",D166)))</formula>
    </cfRule>
    <cfRule type="containsText" dxfId="117" priority="117" operator="containsText" text="平日">
      <formula>NOT(ISERROR(SEARCH("平日",D166)))</formula>
    </cfRule>
    <cfRule type="containsText" dxfId="116" priority="118" operator="containsText" text="休所">
      <formula>NOT(ISERROR(SEARCH("休所",D166)))</formula>
    </cfRule>
    <cfRule type="containsText" dxfId="115" priority="119" operator="containsText" text="休所">
      <formula>NOT(ISERROR(SEARCH("休所",D166)))</formula>
    </cfRule>
    <cfRule type="containsText" dxfId="114" priority="120" operator="containsText" text="長期休暇">
      <formula>NOT(ISERROR(SEARCH("長期休暇",D166)))</formula>
    </cfRule>
  </conditionalFormatting>
  <conditionalFormatting sqref="D173">
    <cfRule type="containsText" dxfId="113" priority="105" operator="containsText" text="土日祝長期：開所とみなす">
      <formula>NOT(ISERROR(SEARCH("土日祝長期：開所とみなす",D173)))</formula>
    </cfRule>
    <cfRule type="containsText" dxfId="112" priority="106" operator="containsText" text="平日：開所とみなす">
      <formula>NOT(ISERROR(SEARCH("平日：開所とみなす",D173)))</formula>
    </cfRule>
    <cfRule type="containsText" dxfId="111" priority="107" operator="containsText" text="長期休暇">
      <formula>NOT(ISERROR(SEARCH("長期休暇",D173)))</formula>
    </cfRule>
    <cfRule type="containsText" dxfId="110" priority="108" operator="containsText" text="平日">
      <formula>NOT(ISERROR(SEARCH("平日",D173)))</formula>
    </cfRule>
    <cfRule type="containsText" dxfId="109" priority="109" operator="containsText" text="平日">
      <formula>NOT(ISERROR(SEARCH("平日",D173)))</formula>
    </cfRule>
    <cfRule type="containsText" dxfId="108" priority="110" operator="containsText" text="休所">
      <formula>NOT(ISERROR(SEARCH("休所",D173)))</formula>
    </cfRule>
    <cfRule type="containsText" dxfId="107" priority="111" operator="containsText" text="休所">
      <formula>NOT(ISERROR(SEARCH("休所",D173)))</formula>
    </cfRule>
    <cfRule type="containsText" dxfId="106" priority="112" operator="containsText" text="長期休暇">
      <formula>NOT(ISERROR(SEARCH("長期休暇",D173)))</formula>
    </cfRule>
  </conditionalFormatting>
  <conditionalFormatting sqref="D180">
    <cfRule type="containsText" dxfId="105" priority="97" operator="containsText" text="土日祝長期：開所とみなす">
      <formula>NOT(ISERROR(SEARCH("土日祝長期：開所とみなす",D180)))</formula>
    </cfRule>
    <cfRule type="containsText" dxfId="104" priority="98" operator="containsText" text="平日：開所とみなす">
      <formula>NOT(ISERROR(SEARCH("平日：開所とみなす",D180)))</formula>
    </cfRule>
    <cfRule type="containsText" dxfId="103" priority="99" operator="containsText" text="長期休暇">
      <formula>NOT(ISERROR(SEARCH("長期休暇",D180)))</formula>
    </cfRule>
    <cfRule type="containsText" dxfId="102" priority="100" operator="containsText" text="平日">
      <formula>NOT(ISERROR(SEARCH("平日",D180)))</formula>
    </cfRule>
    <cfRule type="containsText" dxfId="101" priority="101" operator="containsText" text="平日">
      <formula>NOT(ISERROR(SEARCH("平日",D180)))</formula>
    </cfRule>
    <cfRule type="containsText" dxfId="100" priority="102" operator="containsText" text="休所">
      <formula>NOT(ISERROR(SEARCH("休所",D180)))</formula>
    </cfRule>
    <cfRule type="containsText" dxfId="99" priority="103" operator="containsText" text="休所">
      <formula>NOT(ISERROR(SEARCH("休所",D180)))</formula>
    </cfRule>
    <cfRule type="containsText" dxfId="98" priority="104" operator="containsText" text="長期休暇">
      <formula>NOT(ISERROR(SEARCH("長期休暇",D180)))</formula>
    </cfRule>
  </conditionalFormatting>
  <conditionalFormatting sqref="D175">
    <cfRule type="containsText" dxfId="97" priority="89" operator="containsText" text="土日祝長期：開所とみなす">
      <formula>NOT(ISERROR(SEARCH("土日祝長期：開所とみなす",D175)))</formula>
    </cfRule>
    <cfRule type="containsText" dxfId="96" priority="90" operator="containsText" text="平日：開所とみなす">
      <formula>NOT(ISERROR(SEARCH("平日：開所とみなす",D175)))</formula>
    </cfRule>
    <cfRule type="containsText" dxfId="95" priority="91" operator="containsText" text="長期休暇">
      <formula>NOT(ISERROR(SEARCH("長期休暇",D175)))</formula>
    </cfRule>
    <cfRule type="containsText" dxfId="94" priority="92" operator="containsText" text="平日">
      <formula>NOT(ISERROR(SEARCH("平日",D175)))</formula>
    </cfRule>
    <cfRule type="containsText" dxfId="93" priority="93" operator="containsText" text="平日">
      <formula>NOT(ISERROR(SEARCH("平日",D175)))</formula>
    </cfRule>
    <cfRule type="containsText" dxfId="92" priority="94" operator="containsText" text="休所">
      <formula>NOT(ISERROR(SEARCH("休所",D175)))</formula>
    </cfRule>
    <cfRule type="containsText" dxfId="91" priority="95" operator="containsText" text="休所">
      <formula>NOT(ISERROR(SEARCH("休所",D175)))</formula>
    </cfRule>
    <cfRule type="containsText" dxfId="90" priority="96" operator="containsText" text="長期休暇">
      <formula>NOT(ISERROR(SEARCH("長期休暇",D175)))</formula>
    </cfRule>
  </conditionalFormatting>
  <conditionalFormatting sqref="D194">
    <cfRule type="containsText" dxfId="89" priority="81" operator="containsText" text="土日祝長期：開所とみなす">
      <formula>NOT(ISERROR(SEARCH("土日祝長期：開所とみなす",D194)))</formula>
    </cfRule>
    <cfRule type="containsText" dxfId="88" priority="82" operator="containsText" text="平日：開所とみなす">
      <formula>NOT(ISERROR(SEARCH("平日：開所とみなす",D194)))</formula>
    </cfRule>
    <cfRule type="containsText" dxfId="87" priority="83" operator="containsText" text="長期休暇">
      <formula>NOT(ISERROR(SEARCH("長期休暇",D194)))</formula>
    </cfRule>
    <cfRule type="containsText" dxfId="86" priority="84" operator="containsText" text="平日">
      <formula>NOT(ISERROR(SEARCH("平日",D194)))</formula>
    </cfRule>
    <cfRule type="containsText" dxfId="85" priority="85" operator="containsText" text="平日">
      <formula>NOT(ISERROR(SEARCH("平日",D194)))</formula>
    </cfRule>
    <cfRule type="containsText" dxfId="84" priority="86" operator="containsText" text="休所">
      <formula>NOT(ISERROR(SEARCH("休所",D194)))</formula>
    </cfRule>
    <cfRule type="containsText" dxfId="83" priority="87" operator="containsText" text="休所">
      <formula>NOT(ISERROR(SEARCH("休所",D194)))</formula>
    </cfRule>
    <cfRule type="containsText" dxfId="82" priority="88" operator="containsText" text="長期休暇">
      <formula>NOT(ISERROR(SEARCH("長期休暇",D194)))</formula>
    </cfRule>
  </conditionalFormatting>
  <conditionalFormatting sqref="D196">
    <cfRule type="containsText" dxfId="81" priority="73" operator="containsText" text="土日祝長期：開所とみなす">
      <formula>NOT(ISERROR(SEARCH("土日祝長期：開所とみなす",D196)))</formula>
    </cfRule>
    <cfRule type="containsText" dxfId="80" priority="74" operator="containsText" text="平日：開所とみなす">
      <formula>NOT(ISERROR(SEARCH("平日：開所とみなす",D196)))</formula>
    </cfRule>
    <cfRule type="containsText" dxfId="79" priority="75" operator="containsText" text="長期休暇">
      <formula>NOT(ISERROR(SEARCH("長期休暇",D196)))</formula>
    </cfRule>
    <cfRule type="containsText" dxfId="78" priority="76" operator="containsText" text="平日">
      <formula>NOT(ISERROR(SEARCH("平日",D196)))</formula>
    </cfRule>
    <cfRule type="containsText" dxfId="77" priority="77" operator="containsText" text="平日">
      <formula>NOT(ISERROR(SEARCH("平日",D196)))</formula>
    </cfRule>
    <cfRule type="containsText" dxfId="76" priority="78" operator="containsText" text="休所">
      <formula>NOT(ISERROR(SEARCH("休所",D196)))</formula>
    </cfRule>
    <cfRule type="containsText" dxfId="75" priority="79" operator="containsText" text="休所">
      <formula>NOT(ISERROR(SEARCH("休所",D196)))</formula>
    </cfRule>
    <cfRule type="containsText" dxfId="74" priority="80" operator="containsText" text="長期休暇">
      <formula>NOT(ISERROR(SEARCH("長期休暇",D196)))</formula>
    </cfRule>
  </conditionalFormatting>
  <conditionalFormatting sqref="D201">
    <cfRule type="containsText" dxfId="73" priority="65" operator="containsText" text="土日祝長期：開所とみなす">
      <formula>NOT(ISERROR(SEARCH("土日祝長期：開所とみなす",D201)))</formula>
    </cfRule>
    <cfRule type="containsText" dxfId="72" priority="66" operator="containsText" text="平日：開所とみなす">
      <formula>NOT(ISERROR(SEARCH("平日：開所とみなす",D201)))</formula>
    </cfRule>
    <cfRule type="containsText" dxfId="71" priority="67" operator="containsText" text="長期休暇">
      <formula>NOT(ISERROR(SEARCH("長期休暇",D201)))</formula>
    </cfRule>
    <cfRule type="containsText" dxfId="70" priority="68" operator="containsText" text="平日">
      <formula>NOT(ISERROR(SEARCH("平日",D201)))</formula>
    </cfRule>
    <cfRule type="containsText" dxfId="69" priority="69" operator="containsText" text="平日">
      <formula>NOT(ISERROR(SEARCH("平日",D201)))</formula>
    </cfRule>
    <cfRule type="containsText" dxfId="68" priority="70" operator="containsText" text="休所">
      <formula>NOT(ISERROR(SEARCH("休所",D201)))</formula>
    </cfRule>
    <cfRule type="containsText" dxfId="67" priority="71" operator="containsText" text="休所">
      <formula>NOT(ISERROR(SEARCH("休所",D201)))</formula>
    </cfRule>
    <cfRule type="containsText" dxfId="66" priority="72" operator="containsText" text="長期休暇">
      <formula>NOT(ISERROR(SEARCH("長期休暇",D201)))</formula>
    </cfRule>
  </conditionalFormatting>
  <conditionalFormatting sqref="D334">
    <cfRule type="containsText" dxfId="65" priority="57" operator="containsText" text="土日祝長期：開所とみなす">
      <formula>NOT(ISERROR(SEARCH("土日祝長期：開所とみなす",D334)))</formula>
    </cfRule>
    <cfRule type="containsText" dxfId="64" priority="58" operator="containsText" text="平日：開所とみなす">
      <formula>NOT(ISERROR(SEARCH("平日：開所とみなす",D334)))</formula>
    </cfRule>
    <cfRule type="containsText" dxfId="63" priority="59" operator="containsText" text="長期休暇">
      <formula>NOT(ISERROR(SEARCH("長期休暇",D334)))</formula>
    </cfRule>
    <cfRule type="containsText" dxfId="62" priority="60" operator="containsText" text="平日">
      <formula>NOT(ISERROR(SEARCH("平日",D334)))</formula>
    </cfRule>
    <cfRule type="containsText" dxfId="61" priority="61" operator="containsText" text="平日">
      <formula>NOT(ISERROR(SEARCH("平日",D334)))</formula>
    </cfRule>
    <cfRule type="containsText" dxfId="60" priority="62" operator="containsText" text="休所">
      <formula>NOT(ISERROR(SEARCH("休所",D334)))</formula>
    </cfRule>
    <cfRule type="containsText" dxfId="59" priority="63" operator="containsText" text="休所">
      <formula>NOT(ISERROR(SEARCH("休所",D334)))</formula>
    </cfRule>
    <cfRule type="containsText" dxfId="58" priority="64" operator="containsText" text="長期休暇">
      <formula>NOT(ISERROR(SEARCH("長期休暇",D334)))</formula>
    </cfRule>
  </conditionalFormatting>
  <conditionalFormatting sqref="D105:D109">
    <cfRule type="containsText" dxfId="57" priority="49" operator="containsText" text="土日祝長期：開所とみなす">
      <formula>NOT(ISERROR(SEARCH("土日祝長期：開所とみなす",D105)))</formula>
    </cfRule>
    <cfRule type="containsText" dxfId="56" priority="50" operator="containsText" text="平日：開所とみなす">
      <formula>NOT(ISERROR(SEARCH("平日：開所とみなす",D105)))</formula>
    </cfRule>
    <cfRule type="containsText" dxfId="55" priority="51" operator="containsText" text="長期休暇">
      <formula>NOT(ISERROR(SEARCH("長期休暇",D105)))</formula>
    </cfRule>
    <cfRule type="containsText" dxfId="54" priority="52" operator="containsText" text="平日">
      <formula>NOT(ISERROR(SEARCH("平日",D105)))</formula>
    </cfRule>
    <cfRule type="containsText" dxfId="53" priority="53" operator="containsText" text="平日">
      <formula>NOT(ISERROR(SEARCH("平日",D105)))</formula>
    </cfRule>
    <cfRule type="containsText" dxfId="52" priority="54" operator="containsText" text="休所">
      <formula>NOT(ISERROR(SEARCH("休所",D105)))</formula>
    </cfRule>
    <cfRule type="containsText" dxfId="51" priority="55" operator="containsText" text="休所">
      <formula>NOT(ISERROR(SEARCH("休所",D105)))</formula>
    </cfRule>
    <cfRule type="containsText" dxfId="50" priority="56" operator="containsText" text="長期休暇">
      <formula>NOT(ISERROR(SEARCH("長期休暇",D105)))</formula>
    </cfRule>
  </conditionalFormatting>
  <conditionalFormatting sqref="D343">
    <cfRule type="containsText" dxfId="49" priority="41" operator="containsText" text="土日祝長期：開所とみなす">
      <formula>NOT(ISERROR(SEARCH("土日祝長期：開所とみなす",D343)))</formula>
    </cfRule>
    <cfRule type="containsText" dxfId="48" priority="42" operator="containsText" text="平日：開所とみなす">
      <formula>NOT(ISERROR(SEARCH("平日：開所とみなす",D343)))</formula>
    </cfRule>
    <cfRule type="containsText" dxfId="47" priority="43" operator="containsText" text="長期休暇">
      <formula>NOT(ISERROR(SEARCH("長期休暇",D343)))</formula>
    </cfRule>
    <cfRule type="containsText" dxfId="46" priority="44" operator="containsText" text="平日">
      <formula>NOT(ISERROR(SEARCH("平日",D343)))</formula>
    </cfRule>
    <cfRule type="containsText" dxfId="45" priority="45" operator="containsText" text="平日">
      <formula>NOT(ISERROR(SEARCH("平日",D343)))</formula>
    </cfRule>
    <cfRule type="containsText" dxfId="44" priority="46" operator="containsText" text="休所">
      <formula>NOT(ISERROR(SEARCH("休所",D343)))</formula>
    </cfRule>
    <cfRule type="containsText" dxfId="43" priority="47" operator="containsText" text="休所">
      <formula>NOT(ISERROR(SEARCH("休所",D343)))</formula>
    </cfRule>
    <cfRule type="containsText" dxfId="42" priority="48" operator="containsText" text="長期休暇">
      <formula>NOT(ISERROR(SEARCH("長期休暇",D343)))</formula>
    </cfRule>
  </conditionalFormatting>
  <conditionalFormatting sqref="D344:D346">
    <cfRule type="containsText" dxfId="41" priority="33" operator="containsText" text="土日祝長期：開所とみなす">
      <formula>NOT(ISERROR(SEARCH("土日祝長期：開所とみなす",D344)))</formula>
    </cfRule>
    <cfRule type="containsText" dxfId="40" priority="34" operator="containsText" text="平日：開所とみなす">
      <formula>NOT(ISERROR(SEARCH("平日：開所とみなす",D344)))</formula>
    </cfRule>
    <cfRule type="containsText" dxfId="39" priority="35" operator="containsText" text="長期休暇">
      <formula>NOT(ISERROR(SEARCH("長期休暇",D344)))</formula>
    </cfRule>
    <cfRule type="containsText" dxfId="38" priority="36" operator="containsText" text="平日">
      <formula>NOT(ISERROR(SEARCH("平日",D344)))</formula>
    </cfRule>
    <cfRule type="containsText" dxfId="37" priority="37" operator="containsText" text="平日">
      <formula>NOT(ISERROR(SEARCH("平日",D344)))</formula>
    </cfRule>
    <cfRule type="containsText" dxfId="36" priority="38" operator="containsText" text="休所">
      <formula>NOT(ISERROR(SEARCH("休所",D344)))</formula>
    </cfRule>
    <cfRule type="containsText" dxfId="35" priority="39" operator="containsText" text="休所">
      <formula>NOT(ISERROR(SEARCH("休所",D344)))</formula>
    </cfRule>
    <cfRule type="containsText" dxfId="34" priority="40" operator="containsText" text="長期休暇">
      <formula>NOT(ISERROR(SEARCH("長期休暇",D344)))</formula>
    </cfRule>
  </conditionalFormatting>
  <conditionalFormatting sqref="D347">
    <cfRule type="containsText" dxfId="33" priority="25" operator="containsText" text="土日祝長期：開所とみなす">
      <formula>NOT(ISERROR(SEARCH("土日祝長期：開所とみなす",D347)))</formula>
    </cfRule>
    <cfRule type="containsText" dxfId="32" priority="26" operator="containsText" text="平日：開所とみなす">
      <formula>NOT(ISERROR(SEARCH("平日：開所とみなす",D347)))</formula>
    </cfRule>
    <cfRule type="containsText" dxfId="31" priority="27" operator="containsText" text="長期休暇">
      <formula>NOT(ISERROR(SEARCH("長期休暇",D347)))</formula>
    </cfRule>
    <cfRule type="containsText" dxfId="30" priority="28" operator="containsText" text="平日">
      <formula>NOT(ISERROR(SEARCH("平日",D347)))</formula>
    </cfRule>
    <cfRule type="containsText" dxfId="29" priority="29" operator="containsText" text="平日">
      <formula>NOT(ISERROR(SEARCH("平日",D347)))</formula>
    </cfRule>
    <cfRule type="containsText" dxfId="28" priority="30" operator="containsText" text="休所">
      <formula>NOT(ISERROR(SEARCH("休所",D347)))</formula>
    </cfRule>
    <cfRule type="containsText" dxfId="27" priority="31" operator="containsText" text="休所">
      <formula>NOT(ISERROR(SEARCH("休所",D347)))</formula>
    </cfRule>
    <cfRule type="containsText" dxfId="26" priority="32" operator="containsText" text="長期休暇">
      <formula>NOT(ISERROR(SEARCH("長期休暇",D347)))</formula>
    </cfRule>
  </conditionalFormatting>
  <conditionalFormatting sqref="D350">
    <cfRule type="containsText" dxfId="25" priority="17" operator="containsText" text="土日祝長期：開所とみなす">
      <formula>NOT(ISERROR(SEARCH("土日祝長期：開所とみなす",D350)))</formula>
    </cfRule>
    <cfRule type="containsText" dxfId="24" priority="18" operator="containsText" text="平日：開所とみなす">
      <formula>NOT(ISERROR(SEARCH("平日：開所とみなす",D350)))</formula>
    </cfRule>
    <cfRule type="containsText" dxfId="23" priority="19" operator="containsText" text="長期休暇">
      <formula>NOT(ISERROR(SEARCH("長期休暇",D350)))</formula>
    </cfRule>
    <cfRule type="containsText" dxfId="22" priority="20" operator="containsText" text="平日">
      <formula>NOT(ISERROR(SEARCH("平日",D350)))</formula>
    </cfRule>
    <cfRule type="containsText" dxfId="21" priority="21" operator="containsText" text="平日">
      <formula>NOT(ISERROR(SEARCH("平日",D350)))</formula>
    </cfRule>
    <cfRule type="containsText" dxfId="20" priority="22" operator="containsText" text="休所">
      <formula>NOT(ISERROR(SEARCH("休所",D350)))</formula>
    </cfRule>
    <cfRule type="containsText" dxfId="19" priority="23" operator="containsText" text="休所">
      <formula>NOT(ISERROR(SEARCH("休所",D350)))</formula>
    </cfRule>
    <cfRule type="containsText" dxfId="18" priority="24" operator="containsText" text="長期休暇">
      <formula>NOT(ISERROR(SEARCH("長期休暇",D350)))</formula>
    </cfRule>
  </conditionalFormatting>
  <conditionalFormatting sqref="D351:D353">
    <cfRule type="containsText" dxfId="17" priority="9" operator="containsText" text="土日祝長期：開所とみなす">
      <formula>NOT(ISERROR(SEARCH("土日祝長期：開所とみなす",D351)))</formula>
    </cfRule>
    <cfRule type="containsText" dxfId="16" priority="10" operator="containsText" text="平日：開所とみなす">
      <formula>NOT(ISERROR(SEARCH("平日：開所とみなす",D351)))</formula>
    </cfRule>
    <cfRule type="containsText" dxfId="15" priority="11" operator="containsText" text="長期休暇">
      <formula>NOT(ISERROR(SEARCH("長期休暇",D351)))</formula>
    </cfRule>
    <cfRule type="containsText" dxfId="14" priority="12" operator="containsText" text="平日">
      <formula>NOT(ISERROR(SEARCH("平日",D351)))</formula>
    </cfRule>
    <cfRule type="containsText" dxfId="13" priority="13" operator="containsText" text="平日">
      <formula>NOT(ISERROR(SEARCH("平日",D351)))</formula>
    </cfRule>
    <cfRule type="containsText" dxfId="12" priority="14" operator="containsText" text="休所">
      <formula>NOT(ISERROR(SEARCH("休所",D351)))</formula>
    </cfRule>
    <cfRule type="containsText" dxfId="11" priority="15" operator="containsText" text="休所">
      <formula>NOT(ISERROR(SEARCH("休所",D351)))</formula>
    </cfRule>
    <cfRule type="containsText" dxfId="10" priority="16" operator="containsText" text="長期休暇">
      <formula>NOT(ISERROR(SEARCH("長期休暇",D351)))</formula>
    </cfRule>
  </conditionalFormatting>
  <conditionalFormatting sqref="D354">
    <cfRule type="containsText" dxfId="9" priority="1" operator="containsText" text="土日祝長期：開所とみなす">
      <formula>NOT(ISERROR(SEARCH("土日祝長期：開所とみなす",D354)))</formula>
    </cfRule>
    <cfRule type="containsText" dxfId="8" priority="2" operator="containsText" text="平日：開所とみなす">
      <formula>NOT(ISERROR(SEARCH("平日：開所とみなす",D354)))</formula>
    </cfRule>
    <cfRule type="containsText" dxfId="7" priority="3" operator="containsText" text="長期休暇">
      <formula>NOT(ISERROR(SEARCH("長期休暇",D354)))</formula>
    </cfRule>
    <cfRule type="containsText" dxfId="6" priority="4" operator="containsText" text="平日">
      <formula>NOT(ISERROR(SEARCH("平日",D354)))</formula>
    </cfRule>
    <cfRule type="containsText" dxfId="5" priority="5" operator="containsText" text="平日">
      <formula>NOT(ISERROR(SEARCH("平日",D354)))</formula>
    </cfRule>
    <cfRule type="containsText" dxfId="4" priority="6" operator="containsText" text="休所">
      <formula>NOT(ISERROR(SEARCH("休所",D354)))</formula>
    </cfRule>
    <cfRule type="containsText" dxfId="3" priority="7" operator="containsText" text="休所">
      <formula>NOT(ISERROR(SEARCH("休所",D354)))</formula>
    </cfRule>
    <cfRule type="containsText" dxfId="2" priority="8" operator="containsText" text="長期休暇">
      <formula>NOT(ISERROR(SEARCH("長期休暇",D354)))</formula>
    </cfRule>
  </conditionalFormatting>
  <dataValidations count="5">
    <dataValidation type="list" allowBlank="1" showInputMessage="1" showErrorMessage="1" sqref="AK5:AK370 AH5:AH370 AE5:AE370 V13:V370 AB5:AB370 Y5:Y370" xr:uid="{01BDCF2D-68BF-4623-9E64-82C9A6A0396F}">
      <formula1>$AT$11:$AT$31</formula1>
    </dataValidation>
    <dataValidation type="list" allowBlank="1" showInputMessage="1" showErrorMessage="1" sqref="D372" xr:uid="{10C8B1A9-5DFA-4D62-A647-9FC8644DF523}">
      <formula1>#REF!</formula1>
    </dataValidation>
    <dataValidation type="list" allowBlank="1" showInputMessage="1" showErrorMessage="1" sqref="D5:D370" xr:uid="{48CEF912-6032-41E2-A747-330D4E07C883}">
      <formula1>$AS$4:$AS$8</formula1>
    </dataValidation>
    <dataValidation type="list" allowBlank="1" showInputMessage="1" showErrorMessage="1" sqref="Q378:R378" xr:uid="{DC1C0847-FD6F-4608-BAC2-9228225DE383}">
      <formula1>$AS$33</formula1>
    </dataValidation>
    <dataValidation type="list" allowBlank="1" showInputMessage="1" showErrorMessage="1" sqref="S5:S370 V5:V12" xr:uid="{6F6AB574-7090-4F99-8C00-2E7677FFB7A4}">
      <formula1>$AT$11:$AT$30</formula1>
    </dataValidation>
  </dataValidations>
  <pageMargins left="0.70866141732283472" right="0.70866141732283472" top="0.74803149606299213" bottom="0.74803149606299213" header="0.31496062992125984" footer="0.31496062992125984"/>
  <pageSetup paperSize="8" scale="50" fitToHeight="0" orientation="landscape" r:id="rId1"/>
  <rowBreaks count="11" manualBreakCount="11">
    <brk id="34" max="43" man="1"/>
    <brk id="65" max="43" man="1"/>
    <brk id="95" max="43" man="1"/>
    <brk id="126" max="43" man="1"/>
    <brk id="157" max="43" man="1"/>
    <brk id="187" max="43" man="1"/>
    <brk id="218" max="43" man="1"/>
    <brk id="248" max="43" man="1"/>
    <brk id="279" max="43" man="1"/>
    <brk id="310" max="43" man="1"/>
    <brk id="339" max="43" man="1"/>
  </rowBreaks>
  <drawing r:id="rId2"/>
  <extLst>
    <ext xmlns:x14="http://schemas.microsoft.com/office/spreadsheetml/2009/9/main" uri="{78C0D931-6437-407d-A8EE-F0AAD7539E65}">
      <x14:conditionalFormattings>
        <x14:conditionalFormatting xmlns:xm="http://schemas.microsoft.com/office/excel/2006/main">
          <x14:cfRule type="containsText" priority="2949" operator="containsText" id="{FF7BA5F7-BCEE-4E06-A536-C40C9157E4D9}">
            <xm:f>NOT(ISERROR(SEARCH(入力にエラーがあります,D4)))</xm:f>
            <xm:f>入力にエラーがあります</xm:f>
            <x14:dxf>
              <font>
                <b/>
                <i/>
                <color rgb="FFFFFF00"/>
              </font>
              <fill>
                <patternFill patternType="solid">
                  <fgColor auto="1"/>
                  <bgColor rgb="FFFF0000"/>
                </patternFill>
              </fill>
            </x14:dxf>
          </x14:cfRule>
          <xm:sqref>D4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W68"/>
  <sheetViews>
    <sheetView view="pageBreakPreview" topLeftCell="A10" zoomScaleNormal="100" zoomScaleSheetLayoutView="100" workbookViewId="0">
      <selection activeCell="D24" sqref="D24:K25"/>
    </sheetView>
  </sheetViews>
  <sheetFormatPr defaultColWidth="9" defaultRowHeight="13.5"/>
  <cols>
    <col min="1" max="58" width="3.875" style="13" customWidth="1"/>
    <col min="59" max="16384" width="9" style="13"/>
  </cols>
  <sheetData>
    <row r="1" spans="1:23">
      <c r="A1" s="13" t="s">
        <v>640</v>
      </c>
      <c r="T1" s="145"/>
      <c r="U1" s="145"/>
    </row>
    <row r="2" spans="1:23">
      <c r="T2" s="145"/>
      <c r="U2" s="145"/>
    </row>
    <row r="3" spans="1:23">
      <c r="T3" s="145"/>
      <c r="U3" s="145"/>
    </row>
    <row r="4" spans="1:23">
      <c r="T4" s="92"/>
      <c r="U4" s="92"/>
    </row>
    <row r="5" spans="1:23" ht="18.75">
      <c r="A5" s="914" t="s">
        <v>55</v>
      </c>
      <c r="B5" s="914"/>
      <c r="C5" s="914"/>
      <c r="D5" s="914"/>
      <c r="E5" s="914"/>
      <c r="F5" s="914"/>
      <c r="G5" s="914"/>
      <c r="H5" s="914"/>
      <c r="I5" s="914"/>
      <c r="J5" s="914"/>
      <c r="K5" s="914"/>
      <c r="L5" s="914"/>
      <c r="M5" s="914"/>
      <c r="N5" s="914"/>
      <c r="O5" s="914"/>
      <c r="P5" s="914"/>
      <c r="Q5" s="914"/>
      <c r="R5" s="914"/>
      <c r="S5" s="914"/>
      <c r="T5" s="914"/>
      <c r="U5" s="914"/>
      <c r="V5" s="914"/>
      <c r="W5" s="914"/>
    </row>
    <row r="7" spans="1:23" ht="17.25">
      <c r="A7" s="14" t="s">
        <v>54</v>
      </c>
    </row>
    <row r="10" spans="1:23" ht="13.5" customHeight="1">
      <c r="A10" s="918" t="s">
        <v>7</v>
      </c>
      <c r="B10" s="890" t="s">
        <v>57</v>
      </c>
      <c r="C10" s="891"/>
      <c r="D10" s="898" t="s">
        <v>40</v>
      </c>
      <c r="E10" s="899"/>
      <c r="F10" s="899"/>
      <c r="G10" s="899"/>
      <c r="H10" s="900" t="str">
        <f>+'様式６（事業計画変更申請書）'!J9</f>
        <v>横須賀市小川町●●</v>
      </c>
      <c r="I10" s="900"/>
      <c r="J10" s="900"/>
      <c r="K10" s="900"/>
      <c r="L10" s="900"/>
      <c r="M10" s="900"/>
      <c r="N10" s="900"/>
      <c r="O10" s="900"/>
      <c r="P10" s="900"/>
      <c r="Q10" s="900"/>
      <c r="R10" s="900"/>
      <c r="S10" s="900"/>
      <c r="T10" s="900"/>
      <c r="U10" s="900"/>
      <c r="V10" s="900"/>
    </row>
    <row r="11" spans="1:23" ht="13.5" customHeight="1">
      <c r="A11" s="919"/>
      <c r="B11" s="892"/>
      <c r="C11" s="893"/>
      <c r="D11" s="898"/>
      <c r="E11" s="899"/>
      <c r="F11" s="899"/>
      <c r="G11" s="899"/>
      <c r="H11" s="900"/>
      <c r="I11" s="900"/>
      <c r="J11" s="900"/>
      <c r="K11" s="900"/>
      <c r="L11" s="900"/>
      <c r="M11" s="900"/>
      <c r="N11" s="900"/>
      <c r="O11" s="900"/>
      <c r="P11" s="900"/>
      <c r="Q11" s="900"/>
      <c r="R11" s="900"/>
      <c r="S11" s="900"/>
      <c r="T11" s="900"/>
      <c r="U11" s="900"/>
      <c r="V11" s="900"/>
    </row>
    <row r="12" spans="1:23" ht="13.5" customHeight="1">
      <c r="A12" s="919"/>
      <c r="B12" s="892"/>
      <c r="C12" s="893"/>
      <c r="D12" s="898"/>
      <c r="E12" s="899"/>
      <c r="F12" s="899"/>
      <c r="G12" s="899"/>
      <c r="H12" s="900"/>
      <c r="I12" s="900"/>
      <c r="J12" s="900"/>
      <c r="K12" s="900"/>
      <c r="L12" s="900"/>
      <c r="M12" s="900"/>
      <c r="N12" s="900"/>
      <c r="O12" s="900"/>
      <c r="P12" s="900"/>
      <c r="Q12" s="900"/>
      <c r="R12" s="900"/>
      <c r="S12" s="900"/>
      <c r="T12" s="900"/>
      <c r="U12" s="900"/>
      <c r="V12" s="900"/>
    </row>
    <row r="13" spans="1:23" ht="13.5" customHeight="1">
      <c r="A13" s="919"/>
      <c r="B13" s="892"/>
      <c r="C13" s="893"/>
      <c r="D13" s="898" t="s">
        <v>1</v>
      </c>
      <c r="E13" s="899"/>
      <c r="F13" s="899"/>
      <c r="G13" s="899"/>
      <c r="H13" s="900" t="str">
        <f>+'様式６（事業計画変更申請書）'!J10</f>
        <v>●●法人　●●●●</v>
      </c>
      <c r="I13" s="900"/>
      <c r="J13" s="900"/>
      <c r="K13" s="900"/>
      <c r="L13" s="900"/>
      <c r="M13" s="900"/>
      <c r="N13" s="900"/>
      <c r="O13" s="900"/>
      <c r="P13" s="900"/>
      <c r="Q13" s="900"/>
      <c r="R13" s="900"/>
      <c r="S13" s="900"/>
      <c r="T13" s="900"/>
      <c r="U13" s="900"/>
      <c r="V13" s="900"/>
    </row>
    <row r="14" spans="1:23" ht="13.5" customHeight="1">
      <c r="A14" s="919"/>
      <c r="B14" s="892"/>
      <c r="C14" s="893"/>
      <c r="D14" s="898"/>
      <c r="E14" s="899"/>
      <c r="F14" s="899"/>
      <c r="G14" s="899"/>
      <c r="H14" s="900"/>
      <c r="I14" s="900"/>
      <c r="J14" s="900"/>
      <c r="K14" s="900"/>
      <c r="L14" s="900"/>
      <c r="M14" s="900"/>
      <c r="N14" s="900"/>
      <c r="O14" s="900"/>
      <c r="P14" s="900"/>
      <c r="Q14" s="900"/>
      <c r="R14" s="900"/>
      <c r="S14" s="900"/>
      <c r="T14" s="900"/>
      <c r="U14" s="900"/>
      <c r="V14" s="900"/>
    </row>
    <row r="15" spans="1:23" ht="13.5" customHeight="1">
      <c r="A15" s="919"/>
      <c r="B15" s="892"/>
      <c r="C15" s="893"/>
      <c r="D15" s="898"/>
      <c r="E15" s="899"/>
      <c r="F15" s="899"/>
      <c r="G15" s="899"/>
      <c r="H15" s="900"/>
      <c r="I15" s="900"/>
      <c r="J15" s="900"/>
      <c r="K15" s="900"/>
      <c r="L15" s="900"/>
      <c r="M15" s="900"/>
      <c r="N15" s="900"/>
      <c r="O15" s="900"/>
      <c r="P15" s="900"/>
      <c r="Q15" s="900"/>
      <c r="R15" s="900"/>
      <c r="S15" s="900"/>
      <c r="T15" s="900"/>
      <c r="U15" s="900"/>
      <c r="V15" s="900"/>
    </row>
    <row r="16" spans="1:23" ht="13.5" customHeight="1">
      <c r="A16" s="919"/>
      <c r="B16" s="892"/>
      <c r="C16" s="893"/>
      <c r="D16" s="898" t="s">
        <v>56</v>
      </c>
      <c r="E16" s="899"/>
      <c r="F16" s="899"/>
      <c r="G16" s="899"/>
      <c r="H16" s="901" t="str">
        <f>+'様式６（事業計画変更申請書）'!J11</f>
        <v>（役職）</v>
      </c>
      <c r="I16" s="902"/>
      <c r="J16" s="907" t="str">
        <f>+'様式６（事業計画変更申請書）'!L11</f>
        <v>理事長　</v>
      </c>
      <c r="K16" s="907"/>
      <c r="L16" s="907"/>
      <c r="M16" s="907"/>
      <c r="N16" s="907"/>
      <c r="O16" s="907"/>
      <c r="P16" s="907"/>
      <c r="Q16" s="907"/>
      <c r="R16" s="907"/>
      <c r="S16" s="907"/>
      <c r="T16" s="907"/>
      <c r="U16" s="146"/>
      <c r="V16" s="147"/>
    </row>
    <row r="17" spans="1:22" ht="13.5" customHeight="1">
      <c r="A17" s="919"/>
      <c r="B17" s="892"/>
      <c r="C17" s="893"/>
      <c r="D17" s="898"/>
      <c r="E17" s="899"/>
      <c r="F17" s="899"/>
      <c r="G17" s="899"/>
      <c r="H17" s="903"/>
      <c r="I17" s="904"/>
      <c r="J17" s="908"/>
      <c r="K17" s="908"/>
      <c r="L17" s="908"/>
      <c r="M17" s="908"/>
      <c r="N17" s="908"/>
      <c r="O17" s="908"/>
      <c r="P17" s="908"/>
      <c r="Q17" s="908"/>
      <c r="R17" s="908"/>
      <c r="S17" s="908"/>
      <c r="T17" s="908"/>
      <c r="U17" s="148"/>
      <c r="V17" s="149"/>
    </row>
    <row r="18" spans="1:22" ht="13.5" customHeight="1">
      <c r="A18" s="919"/>
      <c r="B18" s="892"/>
      <c r="C18" s="893"/>
      <c r="D18" s="898"/>
      <c r="E18" s="899"/>
      <c r="F18" s="899"/>
      <c r="G18" s="899"/>
      <c r="H18" s="903" t="s">
        <v>167</v>
      </c>
      <c r="I18" s="904"/>
      <c r="J18" s="907" t="str">
        <f>+'様式６（事業計画変更申請書）'!L13</f>
        <v>●●　●●</v>
      </c>
      <c r="K18" s="907"/>
      <c r="L18" s="907"/>
      <c r="M18" s="907"/>
      <c r="N18" s="907"/>
      <c r="O18" s="907"/>
      <c r="P18" s="907"/>
      <c r="Q18" s="907"/>
      <c r="R18" s="907"/>
      <c r="S18" s="907"/>
      <c r="T18" s="907"/>
      <c r="U18" s="148"/>
      <c r="V18" s="149"/>
    </row>
    <row r="19" spans="1:22" ht="13.5" customHeight="1">
      <c r="A19" s="919"/>
      <c r="B19" s="892"/>
      <c r="C19" s="893"/>
      <c r="D19" s="898"/>
      <c r="E19" s="899"/>
      <c r="F19" s="899"/>
      <c r="G19" s="899"/>
      <c r="H19" s="905"/>
      <c r="I19" s="906"/>
      <c r="J19" s="908"/>
      <c r="K19" s="908"/>
      <c r="L19" s="908"/>
      <c r="M19" s="908"/>
      <c r="N19" s="908"/>
      <c r="O19" s="908"/>
      <c r="P19" s="908"/>
      <c r="Q19" s="908"/>
      <c r="R19" s="908"/>
      <c r="S19" s="908"/>
      <c r="T19" s="908"/>
      <c r="U19" s="150"/>
      <c r="V19" s="151"/>
    </row>
    <row r="20" spans="1:22" ht="14.25">
      <c r="A20" s="152"/>
      <c r="B20" s="892"/>
      <c r="C20" s="893"/>
      <c r="D20" s="896" t="s">
        <v>299</v>
      </c>
      <c r="E20" s="896"/>
      <c r="F20" s="896"/>
      <c r="G20" s="896"/>
      <c r="H20" s="896"/>
      <c r="I20" s="896"/>
      <c r="J20" s="896"/>
      <c r="K20" s="896"/>
      <c r="L20" s="888" t="s">
        <v>584</v>
      </c>
      <c r="M20" s="888"/>
      <c r="N20" s="888"/>
      <c r="O20" s="888"/>
      <c r="P20" s="888"/>
      <c r="Q20" s="888"/>
      <c r="R20" s="888"/>
      <c r="S20" s="888"/>
      <c r="T20" s="888"/>
      <c r="U20" s="888"/>
      <c r="V20" s="888"/>
    </row>
    <row r="21" spans="1:22" ht="14.25">
      <c r="A21" s="152"/>
      <c r="B21" s="892"/>
      <c r="C21" s="893"/>
      <c r="D21" s="897" t="s">
        <v>706</v>
      </c>
      <c r="E21" s="897"/>
      <c r="F21" s="897"/>
      <c r="G21" s="897"/>
      <c r="H21" s="897"/>
      <c r="I21" s="897"/>
      <c r="J21" s="897"/>
      <c r="K21" s="897"/>
      <c r="L21" s="889" t="s">
        <v>707</v>
      </c>
      <c r="M21" s="889"/>
      <c r="N21" s="889"/>
      <c r="O21" s="889"/>
      <c r="P21" s="889"/>
      <c r="Q21" s="889"/>
      <c r="R21" s="889"/>
      <c r="S21" s="889"/>
      <c r="T21" s="889"/>
      <c r="U21" s="889"/>
      <c r="V21" s="889"/>
    </row>
    <row r="22" spans="1:22" ht="14.25">
      <c r="A22" s="152"/>
      <c r="B22" s="892"/>
      <c r="C22" s="893"/>
      <c r="D22" s="897"/>
      <c r="E22" s="897"/>
      <c r="F22" s="897"/>
      <c r="G22" s="897"/>
      <c r="H22" s="897"/>
      <c r="I22" s="897"/>
      <c r="J22" s="897"/>
      <c r="K22" s="897"/>
      <c r="L22" s="889"/>
      <c r="M22" s="889"/>
      <c r="N22" s="889"/>
      <c r="O22" s="889"/>
      <c r="P22" s="889"/>
      <c r="Q22" s="889"/>
      <c r="R22" s="889"/>
      <c r="S22" s="889"/>
      <c r="T22" s="889"/>
      <c r="U22" s="889"/>
      <c r="V22" s="889"/>
    </row>
    <row r="23" spans="1:22" ht="14.25">
      <c r="A23" s="152"/>
      <c r="B23" s="892"/>
      <c r="C23" s="893"/>
      <c r="D23" s="896" t="s">
        <v>300</v>
      </c>
      <c r="E23" s="896"/>
      <c r="F23" s="896"/>
      <c r="G23" s="896"/>
      <c r="H23" s="896"/>
      <c r="I23" s="896"/>
      <c r="J23" s="896"/>
      <c r="K23" s="896"/>
      <c r="L23" s="888" t="s">
        <v>585</v>
      </c>
      <c r="M23" s="888"/>
      <c r="N23" s="888"/>
      <c r="O23" s="888"/>
      <c r="P23" s="888"/>
      <c r="Q23" s="888"/>
      <c r="R23" s="888"/>
      <c r="S23" s="888"/>
      <c r="T23" s="888"/>
      <c r="U23" s="888"/>
      <c r="V23" s="888"/>
    </row>
    <row r="24" spans="1:22" ht="14.25">
      <c r="A24" s="152"/>
      <c r="B24" s="892"/>
      <c r="C24" s="893"/>
      <c r="D24" s="897" t="s">
        <v>708</v>
      </c>
      <c r="E24" s="897"/>
      <c r="F24" s="897"/>
      <c r="G24" s="897"/>
      <c r="H24" s="897"/>
      <c r="I24" s="897"/>
      <c r="J24" s="897"/>
      <c r="K24" s="897"/>
      <c r="L24" s="889" t="s">
        <v>709</v>
      </c>
      <c r="M24" s="889"/>
      <c r="N24" s="889"/>
      <c r="O24" s="889"/>
      <c r="P24" s="889"/>
      <c r="Q24" s="889"/>
      <c r="R24" s="889"/>
      <c r="S24" s="889"/>
      <c r="T24" s="889"/>
      <c r="U24" s="889"/>
      <c r="V24" s="889"/>
    </row>
    <row r="25" spans="1:22" ht="13.5" customHeight="1">
      <c r="B25" s="894"/>
      <c r="C25" s="895"/>
      <c r="D25" s="897"/>
      <c r="E25" s="897"/>
      <c r="F25" s="897"/>
      <c r="G25" s="897"/>
      <c r="H25" s="897"/>
      <c r="I25" s="897"/>
      <c r="J25" s="897"/>
      <c r="K25" s="897"/>
      <c r="L25" s="889"/>
      <c r="M25" s="889"/>
      <c r="N25" s="889"/>
      <c r="O25" s="889"/>
      <c r="P25" s="889"/>
      <c r="Q25" s="889"/>
      <c r="R25" s="889"/>
      <c r="S25" s="889"/>
      <c r="T25" s="889"/>
      <c r="U25" s="889"/>
      <c r="V25" s="889"/>
    </row>
    <row r="26" spans="1:22">
      <c r="B26" s="915" t="s">
        <v>58</v>
      </c>
      <c r="C26" s="915"/>
      <c r="D26" s="915"/>
      <c r="E26" s="915"/>
      <c r="F26" s="915"/>
      <c r="G26" s="915"/>
      <c r="H26" s="915"/>
      <c r="I26" s="915"/>
      <c r="J26" s="915"/>
      <c r="K26" s="915"/>
      <c r="L26" s="915"/>
      <c r="M26" s="915"/>
      <c r="N26" s="915"/>
      <c r="O26" s="915"/>
      <c r="P26" s="915"/>
      <c r="Q26" s="915"/>
      <c r="R26" s="915"/>
      <c r="S26" s="915"/>
      <c r="T26" s="915"/>
      <c r="U26" s="915"/>
      <c r="V26" s="915"/>
    </row>
    <row r="27" spans="1:22">
      <c r="B27" s="915"/>
      <c r="C27" s="915"/>
      <c r="D27" s="915"/>
      <c r="E27" s="915"/>
      <c r="F27" s="915"/>
      <c r="G27" s="915"/>
      <c r="H27" s="915"/>
      <c r="I27" s="915"/>
      <c r="J27" s="915"/>
      <c r="K27" s="915"/>
      <c r="L27" s="915"/>
      <c r="M27" s="915"/>
      <c r="N27" s="915"/>
      <c r="O27" s="915"/>
      <c r="P27" s="915"/>
      <c r="Q27" s="915"/>
      <c r="R27" s="915"/>
      <c r="S27" s="915"/>
      <c r="T27" s="915"/>
      <c r="U27" s="915"/>
      <c r="V27" s="915"/>
    </row>
    <row r="29" spans="1:22">
      <c r="B29" s="922" t="s">
        <v>59</v>
      </c>
      <c r="C29" s="911"/>
      <c r="D29" s="911"/>
      <c r="E29" s="923">
        <f>+'様式６（事業計画変更申請書）'!K38</f>
        <v>0</v>
      </c>
      <c r="F29" s="923"/>
      <c r="G29" s="923"/>
      <c r="H29" s="923"/>
      <c r="I29" s="923"/>
      <c r="J29" s="923"/>
      <c r="K29" s="923"/>
      <c r="L29" s="923"/>
      <c r="M29" s="923"/>
      <c r="N29" s="923"/>
      <c r="O29" s="923"/>
      <c r="P29" s="923"/>
      <c r="Q29" s="923"/>
      <c r="R29" s="923"/>
      <c r="S29" s="923"/>
      <c r="T29" s="911" t="s">
        <v>2</v>
      </c>
      <c r="U29" s="911"/>
    </row>
    <row r="30" spans="1:22">
      <c r="B30" s="912"/>
      <c r="C30" s="912"/>
      <c r="D30" s="912"/>
      <c r="E30" s="924"/>
      <c r="F30" s="924"/>
      <c r="G30" s="924"/>
      <c r="H30" s="924"/>
      <c r="I30" s="924"/>
      <c r="J30" s="924"/>
      <c r="K30" s="924"/>
      <c r="L30" s="924"/>
      <c r="M30" s="924"/>
      <c r="N30" s="924"/>
      <c r="O30" s="924"/>
      <c r="P30" s="924"/>
      <c r="Q30" s="924"/>
      <c r="R30" s="924"/>
      <c r="S30" s="924"/>
      <c r="T30" s="912"/>
      <c r="U30" s="912"/>
    </row>
    <row r="32" spans="1:22">
      <c r="B32" s="915" t="s">
        <v>606</v>
      </c>
      <c r="C32" s="915"/>
      <c r="D32" s="915"/>
      <c r="E32" s="915"/>
      <c r="F32" s="915"/>
      <c r="G32" s="915"/>
      <c r="H32" s="915"/>
      <c r="I32" s="915"/>
      <c r="J32" s="915"/>
      <c r="K32" s="915"/>
      <c r="L32" s="915"/>
      <c r="M32" s="915"/>
      <c r="N32" s="915"/>
      <c r="O32" s="915"/>
      <c r="P32" s="915"/>
      <c r="Q32" s="915"/>
      <c r="R32" s="915"/>
      <c r="S32" s="915"/>
      <c r="T32" s="915"/>
      <c r="U32" s="915"/>
      <c r="V32" s="915"/>
    </row>
    <row r="33" spans="1:23">
      <c r="B33" s="915"/>
      <c r="C33" s="915"/>
      <c r="D33" s="915"/>
      <c r="E33" s="915"/>
      <c r="F33" s="915"/>
      <c r="G33" s="915"/>
      <c r="H33" s="915"/>
      <c r="I33" s="915"/>
      <c r="J33" s="915"/>
      <c r="K33" s="915"/>
      <c r="L33" s="915"/>
      <c r="M33" s="915"/>
      <c r="N33" s="915"/>
      <c r="O33" s="915"/>
      <c r="P33" s="915"/>
      <c r="Q33" s="915"/>
      <c r="R33" s="915"/>
      <c r="S33" s="915"/>
      <c r="T33" s="915"/>
      <c r="U33" s="915"/>
      <c r="V33" s="915"/>
    </row>
    <row r="35" spans="1:23">
      <c r="A35" s="916" t="s">
        <v>60</v>
      </c>
      <c r="B35" s="916"/>
      <c r="C35" s="916"/>
      <c r="D35" s="916"/>
      <c r="E35" s="916"/>
      <c r="F35" s="916"/>
      <c r="G35" s="916"/>
      <c r="H35" s="916"/>
      <c r="I35" s="916"/>
      <c r="J35" s="916"/>
      <c r="K35" s="916"/>
      <c r="L35" s="916"/>
      <c r="M35" s="916"/>
      <c r="N35" s="916"/>
      <c r="O35" s="916"/>
      <c r="P35" s="916"/>
      <c r="Q35" s="916"/>
      <c r="R35" s="916"/>
      <c r="S35" s="916"/>
      <c r="T35" s="916"/>
      <c r="U35" s="916"/>
      <c r="V35" s="916"/>
      <c r="W35" s="916"/>
    </row>
    <row r="36" spans="1:23">
      <c r="A36" s="917" t="s">
        <v>189</v>
      </c>
      <c r="B36" s="917"/>
      <c r="C36" s="917"/>
      <c r="D36" s="917"/>
      <c r="E36" s="917"/>
      <c r="F36" s="917"/>
      <c r="G36" s="917"/>
      <c r="H36" s="917"/>
      <c r="I36" s="917"/>
      <c r="J36" s="917"/>
      <c r="K36" s="917"/>
      <c r="L36" s="917"/>
      <c r="M36" s="917"/>
      <c r="N36" s="917"/>
      <c r="O36" s="917"/>
      <c r="P36" s="917"/>
      <c r="Q36" s="917"/>
      <c r="R36" s="917"/>
      <c r="S36" s="917"/>
      <c r="T36" s="917"/>
      <c r="U36" s="917"/>
      <c r="V36" s="917"/>
      <c r="W36" s="917"/>
    </row>
    <row r="37" spans="1:23">
      <c r="A37" s="917"/>
      <c r="B37" s="917"/>
      <c r="C37" s="917"/>
      <c r="D37" s="917"/>
      <c r="E37" s="917"/>
      <c r="F37" s="917"/>
      <c r="G37" s="917"/>
      <c r="H37" s="917"/>
      <c r="I37" s="917"/>
      <c r="J37" s="917"/>
      <c r="K37" s="917"/>
      <c r="L37" s="917"/>
      <c r="M37" s="917"/>
      <c r="N37" s="917"/>
      <c r="O37" s="917"/>
      <c r="P37" s="917"/>
      <c r="Q37" s="917"/>
      <c r="R37" s="917"/>
      <c r="S37" s="917"/>
      <c r="T37" s="917"/>
      <c r="U37" s="917"/>
      <c r="V37" s="917"/>
      <c r="W37" s="917"/>
    </row>
    <row r="38" spans="1:23">
      <c r="A38" s="917"/>
      <c r="B38" s="917"/>
      <c r="C38" s="917"/>
      <c r="D38" s="917"/>
      <c r="E38" s="917"/>
      <c r="F38" s="917"/>
      <c r="G38" s="917"/>
      <c r="H38" s="917"/>
      <c r="I38" s="917"/>
      <c r="J38" s="917"/>
      <c r="K38" s="917"/>
      <c r="L38" s="917"/>
      <c r="M38" s="917"/>
      <c r="N38" s="917"/>
      <c r="O38" s="917"/>
      <c r="P38" s="917"/>
      <c r="Q38" s="917"/>
      <c r="R38" s="917"/>
      <c r="S38" s="917"/>
      <c r="T38" s="917"/>
      <c r="U38" s="917"/>
      <c r="V38" s="917"/>
      <c r="W38" s="917"/>
    </row>
    <row r="40" spans="1:23" ht="13.5" customHeight="1">
      <c r="A40" s="920" t="s">
        <v>8</v>
      </c>
      <c r="B40" s="913" t="s">
        <v>40</v>
      </c>
      <c r="C40" s="913"/>
      <c r="D40" s="913"/>
      <c r="E40" s="913"/>
      <c r="F40" s="913"/>
      <c r="G40" s="913"/>
      <c r="H40" s="900" t="str">
        <f>+H10</f>
        <v>横須賀市小川町●●</v>
      </c>
      <c r="I40" s="900"/>
      <c r="J40" s="900"/>
      <c r="K40" s="900"/>
      <c r="L40" s="900"/>
      <c r="M40" s="900"/>
      <c r="N40" s="900"/>
      <c r="O40" s="900"/>
      <c r="P40" s="900"/>
      <c r="Q40" s="900"/>
      <c r="R40" s="900"/>
      <c r="S40" s="900"/>
      <c r="T40" s="900"/>
      <c r="U40" s="900"/>
      <c r="V40" s="900"/>
    </row>
    <row r="41" spans="1:23" ht="13.5" customHeight="1">
      <c r="A41" s="921"/>
      <c r="B41" s="913"/>
      <c r="C41" s="913"/>
      <c r="D41" s="913"/>
      <c r="E41" s="913"/>
      <c r="F41" s="913"/>
      <c r="G41" s="913"/>
      <c r="H41" s="900"/>
      <c r="I41" s="900"/>
      <c r="J41" s="900"/>
      <c r="K41" s="900"/>
      <c r="L41" s="900"/>
      <c r="M41" s="900"/>
      <c r="N41" s="900"/>
      <c r="O41" s="900"/>
      <c r="P41" s="900"/>
      <c r="Q41" s="900"/>
      <c r="R41" s="900"/>
      <c r="S41" s="900"/>
      <c r="T41" s="900"/>
      <c r="U41" s="900"/>
      <c r="V41" s="900"/>
    </row>
    <row r="42" spans="1:23" ht="13.5" customHeight="1">
      <c r="A42" s="921"/>
      <c r="B42" s="913"/>
      <c r="C42" s="913"/>
      <c r="D42" s="913"/>
      <c r="E42" s="913"/>
      <c r="F42" s="913"/>
      <c r="G42" s="913"/>
      <c r="H42" s="900"/>
      <c r="I42" s="900"/>
      <c r="J42" s="900"/>
      <c r="K42" s="900"/>
      <c r="L42" s="900"/>
      <c r="M42" s="900"/>
      <c r="N42" s="900"/>
      <c r="O42" s="900"/>
      <c r="P42" s="900"/>
      <c r="Q42" s="900"/>
      <c r="R42" s="900"/>
      <c r="S42" s="900"/>
      <c r="T42" s="900"/>
      <c r="U42" s="900"/>
      <c r="V42" s="900"/>
    </row>
    <row r="43" spans="1:23" ht="13.5" customHeight="1">
      <c r="A43" s="921"/>
      <c r="B43" s="913" t="s">
        <v>3</v>
      </c>
      <c r="C43" s="913"/>
      <c r="D43" s="913"/>
      <c r="E43" s="913"/>
      <c r="F43" s="913"/>
      <c r="G43" s="913"/>
      <c r="H43" s="900" t="str">
        <f>+H13</f>
        <v>●●法人　●●●●</v>
      </c>
      <c r="I43" s="900"/>
      <c r="J43" s="900"/>
      <c r="K43" s="900"/>
      <c r="L43" s="900"/>
      <c r="M43" s="900"/>
      <c r="N43" s="900"/>
      <c r="O43" s="900"/>
      <c r="P43" s="900"/>
      <c r="Q43" s="900"/>
      <c r="R43" s="900"/>
      <c r="S43" s="900"/>
      <c r="T43" s="900"/>
      <c r="U43" s="900"/>
      <c r="V43" s="900"/>
    </row>
    <row r="44" spans="1:23" ht="13.5" customHeight="1">
      <c r="A44" s="921"/>
      <c r="B44" s="913"/>
      <c r="C44" s="913"/>
      <c r="D44" s="913"/>
      <c r="E44" s="913"/>
      <c r="F44" s="913"/>
      <c r="G44" s="913"/>
      <c r="H44" s="900"/>
      <c r="I44" s="900"/>
      <c r="J44" s="900"/>
      <c r="K44" s="900"/>
      <c r="L44" s="900"/>
      <c r="M44" s="900"/>
      <c r="N44" s="900"/>
      <c r="O44" s="900"/>
      <c r="P44" s="900"/>
      <c r="Q44" s="900"/>
      <c r="R44" s="900"/>
      <c r="S44" s="900"/>
      <c r="T44" s="900"/>
      <c r="U44" s="900"/>
      <c r="V44" s="900"/>
    </row>
    <row r="45" spans="1:23" ht="13.5" customHeight="1">
      <c r="A45" s="921"/>
      <c r="B45" s="913"/>
      <c r="C45" s="913"/>
      <c r="D45" s="913"/>
      <c r="E45" s="913"/>
      <c r="F45" s="913"/>
      <c r="G45" s="913"/>
      <c r="H45" s="900"/>
      <c r="I45" s="900"/>
      <c r="J45" s="900"/>
      <c r="K45" s="900"/>
      <c r="L45" s="900"/>
      <c r="M45" s="900"/>
      <c r="N45" s="900"/>
      <c r="O45" s="900"/>
      <c r="P45" s="900"/>
      <c r="Q45" s="900"/>
      <c r="R45" s="900"/>
      <c r="S45" s="900"/>
      <c r="T45" s="900"/>
      <c r="U45" s="900"/>
      <c r="V45" s="900"/>
    </row>
    <row r="46" spans="1:23" ht="13.5" customHeight="1">
      <c r="A46" s="921"/>
      <c r="B46" s="913" t="s">
        <v>56</v>
      </c>
      <c r="C46" s="913"/>
      <c r="D46" s="913"/>
      <c r="E46" s="913"/>
      <c r="F46" s="913"/>
      <c r="G46" s="913"/>
      <c r="H46" s="901" t="str">
        <f>+H16</f>
        <v>（役職）</v>
      </c>
      <c r="I46" s="902"/>
      <c r="J46" s="907" t="str">
        <f>+J16</f>
        <v>理事長　</v>
      </c>
      <c r="K46" s="907"/>
      <c r="L46" s="907"/>
      <c r="M46" s="907"/>
      <c r="N46" s="907"/>
      <c r="O46" s="907"/>
      <c r="P46" s="907"/>
      <c r="Q46" s="907"/>
      <c r="R46" s="907"/>
      <c r="S46" s="907"/>
      <c r="T46" s="907"/>
      <c r="U46" s="146"/>
      <c r="V46" s="147"/>
    </row>
    <row r="47" spans="1:23" ht="13.5" customHeight="1">
      <c r="A47" s="921"/>
      <c r="B47" s="913"/>
      <c r="C47" s="913"/>
      <c r="D47" s="913"/>
      <c r="E47" s="913"/>
      <c r="F47" s="913"/>
      <c r="G47" s="913"/>
      <c r="H47" s="903"/>
      <c r="I47" s="904"/>
      <c r="J47" s="908"/>
      <c r="K47" s="908"/>
      <c r="L47" s="908"/>
      <c r="M47" s="908"/>
      <c r="N47" s="908"/>
      <c r="O47" s="908"/>
      <c r="P47" s="908"/>
      <c r="Q47" s="908"/>
      <c r="R47" s="908"/>
      <c r="S47" s="908"/>
      <c r="T47" s="908"/>
      <c r="U47" s="148"/>
      <c r="V47" s="149"/>
    </row>
    <row r="48" spans="1:23" ht="13.5" customHeight="1">
      <c r="A48" s="921"/>
      <c r="B48" s="913"/>
      <c r="C48" s="913"/>
      <c r="D48" s="913"/>
      <c r="E48" s="913"/>
      <c r="F48" s="913"/>
      <c r="G48" s="913"/>
      <c r="H48" s="903" t="s">
        <v>167</v>
      </c>
      <c r="I48" s="904"/>
      <c r="J48" s="907" t="str">
        <f>+J18</f>
        <v>●●　●●</v>
      </c>
      <c r="K48" s="907"/>
      <c r="L48" s="907"/>
      <c r="M48" s="907"/>
      <c r="N48" s="907"/>
      <c r="O48" s="907"/>
      <c r="P48" s="907"/>
      <c r="Q48" s="907"/>
      <c r="R48" s="907"/>
      <c r="S48" s="907"/>
      <c r="T48" s="907"/>
      <c r="U48" s="148"/>
      <c r="V48" s="149"/>
    </row>
    <row r="49" spans="1:22" ht="13.5" customHeight="1">
      <c r="A49" s="921"/>
      <c r="B49" s="913"/>
      <c r="C49" s="913"/>
      <c r="D49" s="913"/>
      <c r="E49" s="913"/>
      <c r="F49" s="913"/>
      <c r="G49" s="913"/>
      <c r="H49" s="905"/>
      <c r="I49" s="906"/>
      <c r="J49" s="908"/>
      <c r="K49" s="908"/>
      <c r="L49" s="908"/>
      <c r="M49" s="908"/>
      <c r="N49" s="908"/>
      <c r="O49" s="908"/>
      <c r="P49" s="908"/>
      <c r="Q49" s="908"/>
      <c r="R49" s="908"/>
      <c r="S49" s="908"/>
      <c r="T49" s="908"/>
      <c r="U49" s="150"/>
      <c r="V49" s="151"/>
    </row>
    <row r="52" spans="1:22">
      <c r="B52" s="925" t="s">
        <v>61</v>
      </c>
      <c r="C52" s="926"/>
      <c r="D52" s="926"/>
      <c r="E52" s="926"/>
      <c r="F52" s="926"/>
      <c r="G52" s="926"/>
      <c r="H52" s="926"/>
      <c r="I52" s="926"/>
      <c r="J52" s="926"/>
      <c r="K52" s="926"/>
      <c r="L52" s="926"/>
      <c r="M52" s="926"/>
      <c r="N52" s="926"/>
      <c r="O52" s="926"/>
      <c r="P52" s="926"/>
      <c r="Q52" s="926"/>
      <c r="R52" s="926"/>
      <c r="S52" s="926"/>
      <c r="T52" s="926"/>
      <c r="U52" s="926"/>
      <c r="V52" s="927"/>
    </row>
    <row r="53" spans="1:22">
      <c r="B53" s="928"/>
      <c r="C53" s="929"/>
      <c r="D53" s="929"/>
      <c r="E53" s="929"/>
      <c r="F53" s="929"/>
      <c r="G53" s="929"/>
      <c r="H53" s="929"/>
      <c r="I53" s="929"/>
      <c r="J53" s="929"/>
      <c r="K53" s="929"/>
      <c r="L53" s="929"/>
      <c r="M53" s="929"/>
      <c r="N53" s="929"/>
      <c r="O53" s="929"/>
      <c r="P53" s="929"/>
      <c r="Q53" s="929"/>
      <c r="R53" s="929"/>
      <c r="S53" s="929"/>
      <c r="T53" s="929"/>
      <c r="U53" s="929"/>
      <c r="V53" s="930"/>
    </row>
    <row r="54" spans="1:22" ht="13.15" customHeight="1">
      <c r="B54" s="931"/>
      <c r="C54" s="932"/>
      <c r="D54" s="932"/>
      <c r="E54" s="932"/>
      <c r="F54" s="932"/>
      <c r="G54" s="933"/>
      <c r="H54" s="940" t="s">
        <v>122</v>
      </c>
      <c r="I54" s="941"/>
      <c r="J54" s="941"/>
      <c r="K54" s="942"/>
      <c r="L54" s="931"/>
      <c r="M54" s="932"/>
      <c r="N54" s="932"/>
      <c r="O54" s="932"/>
      <c r="P54" s="932"/>
      <c r="Q54" s="932"/>
      <c r="R54" s="933"/>
      <c r="S54" s="940" t="s">
        <v>124</v>
      </c>
      <c r="T54" s="941"/>
      <c r="U54" s="941"/>
      <c r="V54" s="942"/>
    </row>
    <row r="55" spans="1:22" ht="11.25" customHeight="1">
      <c r="B55" s="934"/>
      <c r="C55" s="935"/>
      <c r="D55" s="935"/>
      <c r="E55" s="935"/>
      <c r="F55" s="935"/>
      <c r="G55" s="936"/>
      <c r="H55" s="943"/>
      <c r="I55" s="944"/>
      <c r="J55" s="944"/>
      <c r="K55" s="945"/>
      <c r="L55" s="934"/>
      <c r="M55" s="935"/>
      <c r="N55" s="935"/>
      <c r="O55" s="935"/>
      <c r="P55" s="935"/>
      <c r="Q55" s="935"/>
      <c r="R55" s="936"/>
      <c r="S55" s="943"/>
      <c r="T55" s="944"/>
      <c r="U55" s="944"/>
      <c r="V55" s="945"/>
    </row>
    <row r="56" spans="1:22" ht="11.25" customHeight="1">
      <c r="B56" s="934"/>
      <c r="C56" s="935"/>
      <c r="D56" s="935"/>
      <c r="E56" s="935"/>
      <c r="F56" s="935"/>
      <c r="G56" s="936"/>
      <c r="H56" s="943" t="s">
        <v>123</v>
      </c>
      <c r="I56" s="944"/>
      <c r="J56" s="944"/>
      <c r="K56" s="945"/>
      <c r="L56" s="934"/>
      <c r="M56" s="935"/>
      <c r="N56" s="935"/>
      <c r="O56" s="935"/>
      <c r="P56" s="935"/>
      <c r="Q56" s="935"/>
      <c r="R56" s="936"/>
      <c r="S56" s="943" t="s">
        <v>125</v>
      </c>
      <c r="T56" s="944"/>
      <c r="U56" s="944"/>
      <c r="V56" s="945"/>
    </row>
    <row r="57" spans="1:22" ht="13.15" customHeight="1">
      <c r="B57" s="937"/>
      <c r="C57" s="938"/>
      <c r="D57" s="938"/>
      <c r="E57" s="938"/>
      <c r="F57" s="938"/>
      <c r="G57" s="939"/>
      <c r="H57" s="946"/>
      <c r="I57" s="947"/>
      <c r="J57" s="947"/>
      <c r="K57" s="948"/>
      <c r="L57" s="937"/>
      <c r="M57" s="938"/>
      <c r="N57" s="938"/>
      <c r="O57" s="938"/>
      <c r="P57" s="938"/>
      <c r="Q57" s="938"/>
      <c r="R57" s="939"/>
      <c r="S57" s="946"/>
      <c r="T57" s="947"/>
      <c r="U57" s="947"/>
      <c r="V57" s="948"/>
    </row>
    <row r="58" spans="1:22" ht="14.25">
      <c r="B58" s="910" t="s">
        <v>62</v>
      </c>
      <c r="C58" s="910"/>
      <c r="D58" s="910"/>
      <c r="E58" s="910"/>
      <c r="F58" s="910"/>
      <c r="G58" s="910"/>
      <c r="H58" s="910"/>
      <c r="I58" s="949" t="s">
        <v>63</v>
      </c>
      <c r="J58" s="950"/>
      <c r="K58" s="950"/>
      <c r="L58" s="950"/>
      <c r="M58" s="950"/>
      <c r="N58" s="950"/>
      <c r="O58" s="950"/>
      <c r="P58" s="950"/>
      <c r="Q58" s="950"/>
      <c r="R58" s="950"/>
      <c r="S58" s="950"/>
      <c r="T58" s="950"/>
      <c r="U58" s="950"/>
      <c r="V58" s="951"/>
    </row>
    <row r="59" spans="1:22" ht="14.25" customHeight="1">
      <c r="B59" s="909" t="s">
        <v>126</v>
      </c>
      <c r="C59" s="909"/>
      <c r="D59" s="909"/>
      <c r="E59" s="909"/>
      <c r="F59" s="909"/>
      <c r="G59" s="909"/>
      <c r="H59" s="909"/>
      <c r="I59" s="910"/>
      <c r="J59" s="910"/>
      <c r="K59" s="910"/>
      <c r="L59" s="910"/>
      <c r="M59" s="910"/>
      <c r="N59" s="910"/>
      <c r="O59" s="910"/>
      <c r="P59" s="910"/>
      <c r="Q59" s="910"/>
      <c r="R59" s="910"/>
      <c r="S59" s="910"/>
      <c r="T59" s="910"/>
      <c r="U59" s="910"/>
      <c r="V59" s="910"/>
    </row>
    <row r="60" spans="1:22" ht="11.25" customHeight="1">
      <c r="B60" s="909"/>
      <c r="C60" s="909"/>
      <c r="D60" s="909"/>
      <c r="E60" s="909"/>
      <c r="F60" s="909"/>
      <c r="G60" s="909"/>
      <c r="H60" s="909"/>
      <c r="I60" s="910"/>
      <c r="J60" s="910"/>
      <c r="K60" s="910"/>
      <c r="L60" s="910"/>
      <c r="M60" s="910"/>
      <c r="N60" s="910"/>
      <c r="O60" s="910"/>
      <c r="P60" s="910"/>
      <c r="Q60" s="910"/>
      <c r="R60" s="910"/>
      <c r="S60" s="910"/>
      <c r="T60" s="910"/>
      <c r="U60" s="910"/>
      <c r="V60" s="910"/>
    </row>
    <row r="61" spans="1:22" ht="11.25" customHeight="1">
      <c r="B61" s="909" t="s">
        <v>127</v>
      </c>
      <c r="C61" s="909"/>
      <c r="D61" s="909"/>
      <c r="E61" s="909"/>
      <c r="F61" s="909"/>
      <c r="G61" s="909"/>
      <c r="H61" s="909"/>
      <c r="I61" s="910"/>
      <c r="J61" s="910"/>
      <c r="K61" s="910"/>
      <c r="L61" s="910"/>
      <c r="M61" s="910"/>
      <c r="N61" s="910"/>
      <c r="O61" s="910"/>
      <c r="P61" s="910"/>
      <c r="Q61" s="910"/>
      <c r="R61" s="910"/>
      <c r="S61" s="910"/>
      <c r="T61" s="910"/>
      <c r="U61" s="910"/>
      <c r="V61" s="910"/>
    </row>
    <row r="62" spans="1:22" ht="14.25" customHeight="1">
      <c r="B62" s="909"/>
      <c r="C62" s="909"/>
      <c r="D62" s="909"/>
      <c r="E62" s="909"/>
      <c r="F62" s="909"/>
      <c r="G62" s="909"/>
      <c r="H62" s="909"/>
      <c r="I62" s="910"/>
      <c r="J62" s="910"/>
      <c r="K62" s="910"/>
      <c r="L62" s="910"/>
      <c r="M62" s="910"/>
      <c r="N62" s="910"/>
      <c r="O62" s="910"/>
      <c r="P62" s="910"/>
      <c r="Q62" s="910"/>
      <c r="R62" s="910"/>
      <c r="S62" s="910"/>
      <c r="T62" s="910"/>
      <c r="U62" s="910"/>
      <c r="V62" s="910"/>
    </row>
    <row r="63" spans="1:22" ht="14.25" customHeight="1">
      <c r="B63" s="910" t="s">
        <v>67</v>
      </c>
      <c r="C63" s="910"/>
      <c r="D63" s="910"/>
      <c r="E63" s="910"/>
      <c r="F63" s="910"/>
      <c r="G63" s="910"/>
      <c r="H63" s="910"/>
      <c r="I63" s="910"/>
      <c r="J63" s="910"/>
      <c r="K63" s="910"/>
      <c r="L63" s="910"/>
      <c r="M63" s="910"/>
      <c r="N63" s="910"/>
      <c r="O63" s="910"/>
      <c r="P63" s="910"/>
      <c r="Q63" s="910"/>
      <c r="R63" s="910"/>
      <c r="S63" s="910"/>
      <c r="T63" s="910"/>
      <c r="U63" s="910"/>
      <c r="V63" s="910"/>
    </row>
    <row r="64" spans="1:22" ht="14.25" customHeight="1">
      <c r="B64" s="910"/>
      <c r="C64" s="910"/>
      <c r="D64" s="910"/>
      <c r="E64" s="910"/>
      <c r="F64" s="910"/>
      <c r="G64" s="910"/>
      <c r="H64" s="910"/>
      <c r="I64" s="910"/>
      <c r="J64" s="910"/>
      <c r="K64" s="910"/>
      <c r="L64" s="910"/>
      <c r="M64" s="910"/>
      <c r="N64" s="910"/>
      <c r="O64" s="910"/>
      <c r="P64" s="910"/>
      <c r="Q64" s="910"/>
      <c r="R64" s="910"/>
      <c r="S64" s="910"/>
      <c r="T64" s="910"/>
      <c r="U64" s="910"/>
      <c r="V64" s="910"/>
    </row>
    <row r="65" spans="2:22" ht="14.25" customHeight="1">
      <c r="B65" s="910" t="s">
        <v>64</v>
      </c>
      <c r="C65" s="910"/>
      <c r="D65" s="910"/>
      <c r="E65" s="910"/>
      <c r="F65" s="910"/>
      <c r="G65" s="910"/>
      <c r="H65" s="910"/>
      <c r="I65" s="910"/>
      <c r="J65" s="910"/>
      <c r="K65" s="910"/>
      <c r="L65" s="910"/>
      <c r="M65" s="910"/>
      <c r="N65" s="910"/>
      <c r="O65" s="910"/>
      <c r="P65" s="910"/>
      <c r="Q65" s="910"/>
      <c r="R65" s="910"/>
      <c r="S65" s="910"/>
      <c r="T65" s="910"/>
      <c r="U65" s="910"/>
      <c r="V65" s="910"/>
    </row>
    <row r="66" spans="2:22" ht="14.25" customHeight="1">
      <c r="B66" s="910"/>
      <c r="C66" s="910"/>
      <c r="D66" s="910"/>
      <c r="E66" s="910"/>
      <c r="F66" s="910"/>
      <c r="G66" s="910"/>
      <c r="H66" s="910"/>
      <c r="I66" s="910"/>
      <c r="J66" s="910"/>
      <c r="K66" s="910"/>
      <c r="L66" s="910"/>
      <c r="M66" s="910"/>
      <c r="N66" s="910"/>
      <c r="O66" s="910"/>
      <c r="P66" s="910"/>
      <c r="Q66" s="910"/>
      <c r="R66" s="910"/>
      <c r="S66" s="910"/>
      <c r="T66" s="910"/>
      <c r="U66" s="910"/>
      <c r="V66" s="910"/>
    </row>
    <row r="67" spans="2:22" ht="13.5" hidden="1" customHeight="1">
      <c r="B67" s="896" t="s">
        <v>68</v>
      </c>
      <c r="C67" s="896"/>
      <c r="D67" s="896"/>
      <c r="E67" s="896"/>
      <c r="F67" s="896"/>
      <c r="G67" s="896" t="s">
        <v>65</v>
      </c>
      <c r="H67" s="896"/>
      <c r="I67" s="896"/>
      <c r="J67" s="896"/>
      <c r="K67" s="896"/>
      <c r="L67" s="896"/>
      <c r="M67" s="896"/>
      <c r="N67" s="896"/>
      <c r="O67" s="896" t="s">
        <v>66</v>
      </c>
      <c r="P67" s="896"/>
      <c r="Q67" s="896"/>
      <c r="R67" s="896"/>
      <c r="S67" s="896"/>
      <c r="T67" s="896"/>
      <c r="U67" s="896"/>
      <c r="V67" s="896"/>
    </row>
    <row r="68" spans="2:22" ht="13.5" hidden="1" customHeight="1">
      <c r="B68" s="896"/>
      <c r="C68" s="896"/>
      <c r="D68" s="896"/>
      <c r="E68" s="896"/>
      <c r="F68" s="896"/>
      <c r="G68" s="896"/>
      <c r="H68" s="896"/>
      <c r="I68" s="896"/>
      <c r="J68" s="896"/>
      <c r="K68" s="896"/>
      <c r="L68" s="896"/>
      <c r="M68" s="896"/>
      <c r="N68" s="896"/>
      <c r="O68" s="896"/>
      <c r="P68" s="896"/>
      <c r="Q68" s="896"/>
      <c r="R68" s="896"/>
      <c r="S68" s="896"/>
      <c r="T68" s="896"/>
      <c r="U68" s="896"/>
      <c r="V68" s="896"/>
    </row>
  </sheetData>
  <mergeCells count="64">
    <mergeCell ref="B67:F68"/>
    <mergeCell ref="B40:G42"/>
    <mergeCell ref="O67:R68"/>
    <mergeCell ref="S67:V68"/>
    <mergeCell ref="G65:V66"/>
    <mergeCell ref="G63:V64"/>
    <mergeCell ref="B52:V53"/>
    <mergeCell ref="B54:G57"/>
    <mergeCell ref="H54:K55"/>
    <mergeCell ref="H56:K57"/>
    <mergeCell ref="S54:V55"/>
    <mergeCell ref="S56:V57"/>
    <mergeCell ref="L54:R57"/>
    <mergeCell ref="B58:H58"/>
    <mergeCell ref="I58:V58"/>
    <mergeCell ref="B63:F64"/>
    <mergeCell ref="B65:F66"/>
    <mergeCell ref="J18:T19"/>
    <mergeCell ref="G67:J68"/>
    <mergeCell ref="K67:N68"/>
    <mergeCell ref="A5:W5"/>
    <mergeCell ref="B32:V33"/>
    <mergeCell ref="D10:G12"/>
    <mergeCell ref="A35:W35"/>
    <mergeCell ref="A36:W38"/>
    <mergeCell ref="A10:A19"/>
    <mergeCell ref="A40:A49"/>
    <mergeCell ref="H40:V42"/>
    <mergeCell ref="H43:V45"/>
    <mergeCell ref="B26:V27"/>
    <mergeCell ref="B29:D30"/>
    <mergeCell ref="E29:S30"/>
    <mergeCell ref="T29:U30"/>
    <mergeCell ref="B43:G45"/>
    <mergeCell ref="B46:G49"/>
    <mergeCell ref="H46:I47"/>
    <mergeCell ref="H48:I49"/>
    <mergeCell ref="J46:T47"/>
    <mergeCell ref="J48:T49"/>
    <mergeCell ref="B59:H60"/>
    <mergeCell ref="Q59:R62"/>
    <mergeCell ref="S59:T62"/>
    <mergeCell ref="U59:V62"/>
    <mergeCell ref="B61:H62"/>
    <mergeCell ref="I59:J62"/>
    <mergeCell ref="K59:L62"/>
    <mergeCell ref="M59:N62"/>
    <mergeCell ref="O59:P62"/>
    <mergeCell ref="L20:V20"/>
    <mergeCell ref="L21:V22"/>
    <mergeCell ref="L23:V23"/>
    <mergeCell ref="L24:V25"/>
    <mergeCell ref="B10:C25"/>
    <mergeCell ref="D20:K20"/>
    <mergeCell ref="D21:K22"/>
    <mergeCell ref="D23:K23"/>
    <mergeCell ref="D24:K25"/>
    <mergeCell ref="D13:G15"/>
    <mergeCell ref="D16:G19"/>
    <mergeCell ref="H10:V12"/>
    <mergeCell ref="H13:V15"/>
    <mergeCell ref="H16:I17"/>
    <mergeCell ref="H18:I19"/>
    <mergeCell ref="J16:T17"/>
  </mergeCells>
  <phoneticPr fontId="1"/>
  <printOptions horizontalCentered="1" verticalCentered="1"/>
  <pageMargins left="0.70866141732283472" right="0.70866141732283472"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7</xdr:col>
                    <xdr:colOff>85725</xdr:colOff>
                    <xdr:row>53</xdr:row>
                    <xdr:rowOff>66675</xdr:rowOff>
                  </from>
                  <to>
                    <xdr:col>9</xdr:col>
                    <xdr:colOff>123825</xdr:colOff>
                    <xdr:row>54</xdr:row>
                    <xdr:rowOff>85725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7</xdr:col>
                    <xdr:colOff>85725</xdr:colOff>
                    <xdr:row>55</xdr:row>
                    <xdr:rowOff>28575</xdr:rowOff>
                  </from>
                  <to>
                    <xdr:col>9</xdr:col>
                    <xdr:colOff>123825</xdr:colOff>
                    <xdr:row>56</xdr:row>
                    <xdr:rowOff>85725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18</xdr:col>
                    <xdr:colOff>114300</xdr:colOff>
                    <xdr:row>55</xdr:row>
                    <xdr:rowOff>66675</xdr:rowOff>
                  </from>
                  <to>
                    <xdr:col>20</xdr:col>
                    <xdr:colOff>152400</xdr:colOff>
                    <xdr:row>56</xdr:row>
                    <xdr:rowOff>123825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18</xdr:col>
                    <xdr:colOff>104775</xdr:colOff>
                    <xdr:row>53</xdr:row>
                    <xdr:rowOff>66675</xdr:rowOff>
                  </from>
                  <to>
                    <xdr:col>20</xdr:col>
                    <xdr:colOff>142875</xdr:colOff>
                    <xdr:row>54</xdr:row>
                    <xdr:rowOff>85725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76200</xdr:colOff>
                    <xdr:row>60</xdr:row>
                    <xdr:rowOff>76200</xdr:rowOff>
                  </from>
                  <to>
                    <xdr:col>3</xdr:col>
                    <xdr:colOff>114300</xdr:colOff>
                    <xdr:row>61</xdr:row>
                    <xdr:rowOff>142875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76200</xdr:colOff>
                    <xdr:row>58</xdr:row>
                    <xdr:rowOff>66675</xdr:rowOff>
                  </from>
                  <to>
                    <xdr:col>3</xdr:col>
                    <xdr:colOff>114300</xdr:colOff>
                    <xdr:row>59</xdr:row>
                    <xdr:rowOff>85725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7</xdr:col>
                    <xdr:colOff>85725</xdr:colOff>
                    <xdr:row>53</xdr:row>
                    <xdr:rowOff>66675</xdr:rowOff>
                  </from>
                  <to>
                    <xdr:col>9</xdr:col>
                    <xdr:colOff>123825</xdr:colOff>
                    <xdr:row>54</xdr:row>
                    <xdr:rowOff>85725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85725</xdr:colOff>
                    <xdr:row>55</xdr:row>
                    <xdr:rowOff>28575</xdr:rowOff>
                  </from>
                  <to>
                    <xdr:col>9</xdr:col>
                    <xdr:colOff>123825</xdr:colOff>
                    <xdr:row>56</xdr:row>
                    <xdr:rowOff>85725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18</xdr:col>
                    <xdr:colOff>114300</xdr:colOff>
                    <xdr:row>55</xdr:row>
                    <xdr:rowOff>66675</xdr:rowOff>
                  </from>
                  <to>
                    <xdr:col>20</xdr:col>
                    <xdr:colOff>152400</xdr:colOff>
                    <xdr:row>56</xdr:row>
                    <xdr:rowOff>123825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18</xdr:col>
                    <xdr:colOff>104775</xdr:colOff>
                    <xdr:row>53</xdr:row>
                    <xdr:rowOff>66675</xdr:rowOff>
                  </from>
                  <to>
                    <xdr:col>20</xdr:col>
                    <xdr:colOff>142875</xdr:colOff>
                    <xdr:row>54</xdr:row>
                    <xdr:rowOff>85725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xdr:col>
                    <xdr:colOff>76200</xdr:colOff>
                    <xdr:row>60</xdr:row>
                    <xdr:rowOff>76200</xdr:rowOff>
                  </from>
                  <to>
                    <xdr:col>3</xdr:col>
                    <xdr:colOff>114300</xdr:colOff>
                    <xdr:row>61</xdr:row>
                    <xdr:rowOff>142875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xdr:col>
                    <xdr:colOff>76200</xdr:colOff>
                    <xdr:row>58</xdr:row>
                    <xdr:rowOff>66675</xdr:rowOff>
                  </from>
                  <to>
                    <xdr:col>3</xdr:col>
                    <xdr:colOff>114300</xdr:colOff>
                    <xdr:row>59</xdr:row>
                    <xdr:rowOff>85725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Z56"/>
  <sheetViews>
    <sheetView view="pageBreakPreview" topLeftCell="A28" zoomScaleNormal="145" zoomScaleSheetLayoutView="100" workbookViewId="0">
      <selection activeCell="AF33" sqref="AF33"/>
    </sheetView>
  </sheetViews>
  <sheetFormatPr defaultColWidth="9" defaultRowHeight="14.25"/>
  <cols>
    <col min="1" max="65" width="3.875" style="5" customWidth="1"/>
    <col min="66" max="70" width="9" style="5" customWidth="1"/>
    <col min="71" max="16384" width="9" style="5"/>
  </cols>
  <sheetData>
    <row r="1" spans="1:26">
      <c r="A1" s="5" t="s">
        <v>641</v>
      </c>
      <c r="Y1" s="67"/>
      <c r="Z1" s="67"/>
    </row>
    <row r="2" spans="1:26">
      <c r="Y2" s="67"/>
      <c r="Z2" s="67"/>
    </row>
    <row r="3" spans="1:26" ht="17.25">
      <c r="A3" s="988" t="s">
        <v>91</v>
      </c>
      <c r="B3" s="988"/>
      <c r="C3" s="988"/>
      <c r="D3" s="988"/>
      <c r="E3" s="988"/>
      <c r="F3" s="988"/>
      <c r="G3" s="988"/>
      <c r="H3" s="988"/>
      <c r="I3" s="988"/>
      <c r="J3" s="988"/>
      <c r="K3" s="988"/>
      <c r="L3" s="988"/>
      <c r="M3" s="988"/>
      <c r="N3" s="988"/>
      <c r="O3" s="988"/>
      <c r="P3" s="988"/>
      <c r="Q3" s="988"/>
      <c r="R3" s="988"/>
      <c r="S3" s="988"/>
      <c r="T3" s="988"/>
      <c r="U3" s="988"/>
      <c r="V3" s="988"/>
      <c r="W3" s="988"/>
      <c r="X3" s="988"/>
      <c r="Y3" s="67"/>
      <c r="Z3" s="67"/>
    </row>
    <row r="4" spans="1:26">
      <c r="B4" s="6"/>
      <c r="C4" s="7"/>
      <c r="D4" s="7"/>
      <c r="E4" s="7"/>
      <c r="F4" s="7"/>
      <c r="G4" s="7"/>
      <c r="H4" s="7"/>
      <c r="I4" s="7"/>
      <c r="J4" s="7"/>
      <c r="K4" s="7"/>
      <c r="L4" s="7"/>
      <c r="M4" s="7"/>
      <c r="N4" s="7"/>
      <c r="O4" s="7"/>
      <c r="P4" s="7"/>
      <c r="Q4" s="7"/>
      <c r="R4" s="7"/>
      <c r="S4" s="7"/>
      <c r="T4" s="7"/>
      <c r="U4" s="7"/>
      <c r="V4" s="7"/>
      <c r="W4" s="7"/>
      <c r="X4" s="7"/>
      <c r="Y4" s="8"/>
    </row>
    <row r="5" spans="1:26">
      <c r="B5" s="9"/>
      <c r="C5" s="10"/>
      <c r="D5" s="10"/>
      <c r="E5" s="10"/>
      <c r="F5" s="10"/>
      <c r="G5" s="10"/>
      <c r="H5" s="10"/>
      <c r="I5" s="10"/>
      <c r="J5" s="10"/>
      <c r="K5" s="10"/>
      <c r="L5" s="10"/>
      <c r="M5" s="10"/>
      <c r="N5" s="10"/>
      <c r="O5" s="10"/>
      <c r="P5" s="10"/>
      <c r="Q5" s="10"/>
      <c r="R5" s="10"/>
      <c r="S5" s="83"/>
      <c r="T5" s="83"/>
      <c r="U5" s="83"/>
      <c r="V5" s="83"/>
      <c r="W5" s="83"/>
      <c r="X5" s="83"/>
      <c r="Y5" s="82"/>
    </row>
    <row r="6" spans="1:26">
      <c r="B6" s="9"/>
      <c r="C6" s="10"/>
      <c r="D6" s="10"/>
      <c r="E6" s="10"/>
      <c r="F6" s="10"/>
      <c r="G6" s="10"/>
      <c r="H6" s="10"/>
      <c r="I6" s="10"/>
      <c r="J6" s="10"/>
      <c r="K6" s="10"/>
      <c r="L6" s="10"/>
      <c r="M6" s="10"/>
      <c r="N6" s="10"/>
      <c r="O6" s="10"/>
      <c r="P6" s="10"/>
      <c r="Q6" s="10"/>
      <c r="R6" s="10"/>
      <c r="S6" s="10"/>
      <c r="T6" s="10"/>
      <c r="U6" s="10"/>
      <c r="V6" s="10"/>
      <c r="W6" s="10"/>
      <c r="X6" s="10"/>
      <c r="Y6" s="11"/>
    </row>
    <row r="7" spans="1:26">
      <c r="B7" s="9"/>
      <c r="C7" s="10" t="s">
        <v>92</v>
      </c>
      <c r="D7" s="10"/>
      <c r="E7" s="10"/>
      <c r="F7" s="10"/>
      <c r="G7" s="10"/>
      <c r="H7" s="10"/>
      <c r="I7" s="10"/>
      <c r="J7" s="10"/>
      <c r="K7" s="10"/>
      <c r="L7" s="10"/>
      <c r="M7" s="10"/>
      <c r="N7" s="10"/>
      <c r="O7" s="10"/>
      <c r="P7" s="10"/>
      <c r="Q7" s="10"/>
      <c r="R7" s="10"/>
      <c r="S7" s="10"/>
      <c r="T7" s="10"/>
      <c r="U7" s="10"/>
      <c r="V7" s="10"/>
      <c r="W7" s="10"/>
      <c r="X7" s="10"/>
      <c r="Y7" s="11"/>
    </row>
    <row r="8" spans="1:26">
      <c r="B8" s="9"/>
      <c r="C8" s="10"/>
      <c r="D8" s="10"/>
      <c r="E8" s="10"/>
      <c r="F8" s="10"/>
      <c r="G8" s="10"/>
      <c r="H8" s="10"/>
      <c r="I8" s="10"/>
      <c r="J8" s="10"/>
      <c r="K8" s="10"/>
      <c r="L8" s="10"/>
      <c r="M8" s="10"/>
      <c r="N8" s="10"/>
      <c r="O8" s="10"/>
      <c r="P8" s="10"/>
      <c r="Q8" s="10"/>
      <c r="R8" s="10"/>
      <c r="S8" s="10"/>
      <c r="T8" s="10"/>
      <c r="U8" s="10"/>
      <c r="V8" s="10"/>
      <c r="W8" s="10"/>
      <c r="X8" s="10"/>
      <c r="Y8" s="11"/>
    </row>
    <row r="9" spans="1:26" ht="24" customHeight="1">
      <c r="B9" s="9"/>
      <c r="C9" s="992" t="s">
        <v>57</v>
      </c>
      <c r="D9" s="992"/>
      <c r="E9" s="992"/>
      <c r="F9" s="972" t="s">
        <v>40</v>
      </c>
      <c r="G9" s="972"/>
      <c r="H9" s="972"/>
      <c r="I9" s="972"/>
      <c r="J9" s="966" t="s">
        <v>710</v>
      </c>
      <c r="K9" s="966"/>
      <c r="L9" s="966"/>
      <c r="M9" s="966"/>
      <c r="N9" s="966"/>
      <c r="O9" s="966"/>
      <c r="P9" s="966"/>
      <c r="Q9" s="966"/>
      <c r="R9" s="966"/>
      <c r="S9" s="966"/>
      <c r="T9" s="966"/>
      <c r="U9" s="966"/>
      <c r="V9" s="966"/>
      <c r="W9" s="966"/>
      <c r="X9" s="966"/>
      <c r="Y9" s="996"/>
    </row>
    <row r="10" spans="1:26" ht="24" customHeight="1">
      <c r="B10" s="9"/>
      <c r="C10" s="992"/>
      <c r="D10" s="992"/>
      <c r="E10" s="992"/>
      <c r="F10" s="972" t="s">
        <v>557</v>
      </c>
      <c r="G10" s="972"/>
      <c r="H10" s="972"/>
      <c r="I10" s="972"/>
      <c r="J10" s="966" t="s">
        <v>711</v>
      </c>
      <c r="K10" s="966"/>
      <c r="L10" s="966"/>
      <c r="M10" s="966"/>
      <c r="N10" s="966"/>
      <c r="O10" s="966"/>
      <c r="P10" s="966"/>
      <c r="Q10" s="966"/>
      <c r="R10" s="966"/>
      <c r="S10" s="966"/>
      <c r="T10" s="966"/>
      <c r="U10" s="966"/>
      <c r="V10" s="966"/>
      <c r="W10" s="966"/>
      <c r="X10" s="966"/>
      <c r="Y10" s="996"/>
    </row>
    <row r="11" spans="1:26">
      <c r="B11" s="9"/>
      <c r="C11" s="992"/>
      <c r="D11" s="992"/>
      <c r="E11" s="992"/>
      <c r="F11" s="972" t="s">
        <v>56</v>
      </c>
      <c r="G11" s="972"/>
      <c r="H11" s="972"/>
      <c r="I11" s="972"/>
      <c r="J11" s="997" t="s">
        <v>129</v>
      </c>
      <c r="K11" s="997"/>
      <c r="L11" s="966" t="s">
        <v>712</v>
      </c>
      <c r="M11" s="966"/>
      <c r="N11" s="966"/>
      <c r="O11" s="966"/>
      <c r="P11" s="966"/>
      <c r="Q11" s="966"/>
      <c r="R11" s="966"/>
      <c r="S11" s="966"/>
      <c r="T11" s="966"/>
      <c r="U11" s="966"/>
      <c r="V11" s="966"/>
      <c r="W11" s="966"/>
      <c r="X11" s="483"/>
      <c r="Y11" s="484"/>
    </row>
    <row r="12" spans="1:26">
      <c r="B12" s="9"/>
      <c r="C12" s="992"/>
      <c r="D12" s="992"/>
      <c r="E12" s="992"/>
      <c r="F12" s="972"/>
      <c r="G12" s="972"/>
      <c r="H12" s="972"/>
      <c r="I12" s="972"/>
      <c r="J12" s="997"/>
      <c r="K12" s="997"/>
      <c r="L12" s="967"/>
      <c r="M12" s="967"/>
      <c r="N12" s="967"/>
      <c r="O12" s="967"/>
      <c r="P12" s="967"/>
      <c r="Q12" s="967"/>
      <c r="R12" s="967"/>
      <c r="S12" s="967"/>
      <c r="T12" s="967"/>
      <c r="U12" s="967"/>
      <c r="V12" s="967"/>
      <c r="W12" s="967"/>
      <c r="X12" s="483"/>
      <c r="Y12" s="484"/>
    </row>
    <row r="13" spans="1:26">
      <c r="B13" s="9"/>
      <c r="C13" s="992"/>
      <c r="D13" s="992"/>
      <c r="E13" s="992"/>
      <c r="F13" s="972"/>
      <c r="G13" s="972"/>
      <c r="H13" s="972"/>
      <c r="I13" s="972"/>
      <c r="J13" s="997" t="s">
        <v>130</v>
      </c>
      <c r="K13" s="997"/>
      <c r="L13" s="966" t="s">
        <v>713</v>
      </c>
      <c r="M13" s="966"/>
      <c r="N13" s="966"/>
      <c r="O13" s="966"/>
      <c r="P13" s="966"/>
      <c r="Q13" s="966"/>
      <c r="R13" s="966"/>
      <c r="S13" s="966"/>
      <c r="T13" s="966"/>
      <c r="U13" s="966"/>
      <c r="V13" s="966"/>
      <c r="W13" s="966"/>
      <c r="X13" s="373"/>
      <c r="Y13" s="374"/>
    </row>
    <row r="14" spans="1:26">
      <c r="B14" s="12"/>
      <c r="C14" s="993"/>
      <c r="D14" s="993"/>
      <c r="E14" s="993"/>
      <c r="F14" s="973"/>
      <c r="G14" s="973"/>
      <c r="H14" s="973"/>
      <c r="I14" s="973"/>
      <c r="J14" s="998"/>
      <c r="K14" s="998"/>
      <c r="L14" s="967"/>
      <c r="M14" s="967"/>
      <c r="N14" s="967"/>
      <c r="O14" s="967"/>
      <c r="P14" s="967"/>
      <c r="Q14" s="967"/>
      <c r="R14" s="967"/>
      <c r="S14" s="967"/>
      <c r="T14" s="967"/>
      <c r="U14" s="967"/>
      <c r="V14" s="967"/>
      <c r="W14" s="967"/>
      <c r="X14" s="375"/>
      <c r="Y14" s="376"/>
    </row>
    <row r="15" spans="1:26" ht="22.5" customHeight="1">
      <c r="B15" s="968" t="s">
        <v>93</v>
      </c>
      <c r="C15" s="968"/>
      <c r="D15" s="968"/>
      <c r="E15" s="968"/>
      <c r="F15" s="968"/>
      <c r="G15" s="968"/>
      <c r="H15" s="970" t="s">
        <v>607</v>
      </c>
      <c r="I15" s="970"/>
      <c r="J15" s="970"/>
      <c r="K15" s="970"/>
      <c r="L15" s="970"/>
      <c r="M15" s="970"/>
      <c r="N15" s="970"/>
      <c r="O15" s="970"/>
      <c r="P15" s="970"/>
      <c r="Q15" s="970"/>
      <c r="R15" s="970"/>
      <c r="S15" s="970"/>
      <c r="T15" s="970"/>
      <c r="U15" s="970"/>
      <c r="V15" s="970"/>
      <c r="W15" s="970"/>
      <c r="X15" s="970"/>
      <c r="Y15" s="970"/>
    </row>
    <row r="16" spans="1:26" ht="22.5" customHeight="1" thickBot="1">
      <c r="B16" s="969" t="s">
        <v>94</v>
      </c>
      <c r="C16" s="969"/>
      <c r="D16" s="969"/>
      <c r="E16" s="969"/>
      <c r="F16" s="969"/>
      <c r="G16" s="969"/>
      <c r="H16" s="971" t="s">
        <v>128</v>
      </c>
      <c r="I16" s="971"/>
      <c r="J16" s="971"/>
      <c r="K16" s="971"/>
      <c r="L16" s="971"/>
      <c r="M16" s="971"/>
      <c r="N16" s="971"/>
      <c r="O16" s="971"/>
      <c r="P16" s="971"/>
      <c r="Q16" s="971"/>
      <c r="R16" s="971"/>
      <c r="S16" s="971"/>
      <c r="T16" s="971"/>
      <c r="U16" s="971"/>
      <c r="V16" s="971"/>
      <c r="W16" s="971"/>
      <c r="X16" s="971"/>
      <c r="Y16" s="971"/>
    </row>
    <row r="17" spans="2:25" ht="21.75" customHeight="1">
      <c r="B17" s="979" t="s">
        <v>318</v>
      </c>
      <c r="C17" s="974" t="s">
        <v>28</v>
      </c>
      <c r="D17" s="975"/>
      <c r="E17" s="975"/>
      <c r="F17" s="975"/>
      <c r="G17" s="975"/>
      <c r="H17" s="975"/>
      <c r="I17" s="975"/>
      <c r="J17" s="976"/>
      <c r="K17" s="974" t="s">
        <v>179</v>
      </c>
      <c r="L17" s="975"/>
      <c r="M17" s="975"/>
      <c r="N17" s="975"/>
      <c r="O17" s="976"/>
      <c r="P17" s="977" t="s">
        <v>112</v>
      </c>
      <c r="Q17" s="978"/>
      <c r="R17" s="978"/>
      <c r="S17" s="978"/>
      <c r="T17" s="978"/>
      <c r="U17" s="977" t="s">
        <v>38</v>
      </c>
      <c r="V17" s="994"/>
      <c r="W17" s="994"/>
      <c r="X17" s="994"/>
      <c r="Y17" s="995"/>
    </row>
    <row r="18" spans="2:25" ht="21.75" customHeight="1">
      <c r="B18" s="980"/>
      <c r="C18" s="981"/>
      <c r="D18" s="982"/>
      <c r="E18" s="982"/>
      <c r="F18" s="982"/>
      <c r="G18" s="982"/>
      <c r="H18" s="982"/>
      <c r="I18" s="982"/>
      <c r="J18" s="983"/>
      <c r="K18" s="984">
        <f>SUM(K19:O35)</f>
        <v>0</v>
      </c>
      <c r="L18" s="985"/>
      <c r="M18" s="985"/>
      <c r="N18" s="985"/>
      <c r="O18" s="986"/>
      <c r="P18" s="984">
        <f>SUM(P19:T35)</f>
        <v>12183600</v>
      </c>
      <c r="Q18" s="985"/>
      <c r="R18" s="985"/>
      <c r="S18" s="985"/>
      <c r="T18" s="986"/>
      <c r="U18" s="984">
        <f>SUM(U19:Y35)</f>
        <v>12183600</v>
      </c>
      <c r="V18" s="985"/>
      <c r="W18" s="985"/>
      <c r="X18" s="985"/>
      <c r="Y18" s="987"/>
    </row>
    <row r="19" spans="2:25" ht="18.75" customHeight="1">
      <c r="B19" s="980"/>
      <c r="C19" s="952" t="s">
        <v>30</v>
      </c>
      <c r="D19" s="953"/>
      <c r="E19" s="953"/>
      <c r="F19" s="953"/>
      <c r="G19" s="953"/>
      <c r="H19" s="953"/>
      <c r="I19" s="953"/>
      <c r="J19" s="953"/>
      <c r="K19" s="961">
        <f>+P19-U19</f>
        <v>0</v>
      </c>
      <c r="L19" s="961"/>
      <c r="M19" s="961"/>
      <c r="N19" s="961"/>
      <c r="O19" s="961"/>
      <c r="P19" s="961">
        <f>MAX('様式２（クラブ児童数等報告書）'!H30,'様式２（クラブ児童数等報告書）'!K30)</f>
        <v>4552000</v>
      </c>
      <c r="Q19" s="961"/>
      <c r="R19" s="961"/>
      <c r="S19" s="961"/>
      <c r="T19" s="961"/>
      <c r="U19" s="956">
        <v>4552000</v>
      </c>
      <c r="V19" s="956"/>
      <c r="W19" s="956"/>
      <c r="X19" s="956"/>
      <c r="Y19" s="957"/>
    </row>
    <row r="20" spans="2:25" ht="18.75" customHeight="1">
      <c r="B20" s="980"/>
      <c r="C20" s="999" t="s">
        <v>95</v>
      </c>
      <c r="D20" s="1000"/>
      <c r="E20" s="1000"/>
      <c r="F20" s="1000"/>
      <c r="G20" s="1000"/>
      <c r="H20" s="1001"/>
      <c r="I20" s="1002">
        <f>MAX('様式２（クラブ児童数等報告書）'!P12,'様式２（クラブ児童数等報告書）'!P19)</f>
        <v>29</v>
      </c>
      <c r="J20" s="1003"/>
      <c r="K20" s="961">
        <f t="shared" ref="K20:K35" si="0">+P20-U20</f>
        <v>0</v>
      </c>
      <c r="L20" s="961"/>
      <c r="M20" s="961"/>
      <c r="N20" s="961"/>
      <c r="O20" s="961"/>
      <c r="P20" s="961">
        <f>IF(I20&lt;=19,625000,0)</f>
        <v>0</v>
      </c>
      <c r="Q20" s="961"/>
      <c r="R20" s="961"/>
      <c r="S20" s="961"/>
      <c r="T20" s="961"/>
      <c r="U20" s="956">
        <v>0</v>
      </c>
      <c r="V20" s="956"/>
      <c r="W20" s="956"/>
      <c r="X20" s="956"/>
      <c r="Y20" s="957"/>
    </row>
    <row r="21" spans="2:25" ht="18.75" customHeight="1">
      <c r="B21" s="980"/>
      <c r="C21" s="954" t="s">
        <v>27</v>
      </c>
      <c r="D21" s="955"/>
      <c r="E21" s="955"/>
      <c r="F21" s="955"/>
      <c r="G21" s="955"/>
      <c r="H21" s="955"/>
      <c r="I21" s="955"/>
      <c r="J21" s="955"/>
      <c r="K21" s="961">
        <f t="shared" si="0"/>
        <v>0</v>
      </c>
      <c r="L21" s="961"/>
      <c r="M21" s="961"/>
      <c r="N21" s="961"/>
      <c r="O21" s="961"/>
      <c r="P21" s="961">
        <f>様式４年間開所カレンダー!I376</f>
        <v>1102000</v>
      </c>
      <c r="Q21" s="961"/>
      <c r="R21" s="961"/>
      <c r="S21" s="961"/>
      <c r="T21" s="961"/>
      <c r="U21" s="956">
        <v>1102000</v>
      </c>
      <c r="V21" s="956"/>
      <c r="W21" s="956"/>
      <c r="X21" s="956"/>
      <c r="Y21" s="957"/>
    </row>
    <row r="22" spans="2:25" ht="18.75" customHeight="1">
      <c r="B22" s="980"/>
      <c r="C22" s="954" t="s">
        <v>32</v>
      </c>
      <c r="D22" s="955"/>
      <c r="E22" s="955"/>
      <c r="F22" s="955"/>
      <c r="G22" s="955"/>
      <c r="H22" s="955"/>
      <c r="I22" s="955"/>
      <c r="J22" s="955"/>
      <c r="K22" s="961">
        <f t="shared" si="0"/>
        <v>0</v>
      </c>
      <c r="L22" s="961"/>
      <c r="M22" s="961"/>
      <c r="N22" s="961"/>
      <c r="O22" s="961"/>
      <c r="P22" s="961">
        <f>様式４年間開所カレンダー!I377</f>
        <v>0</v>
      </c>
      <c r="Q22" s="961"/>
      <c r="R22" s="961"/>
      <c r="S22" s="961"/>
      <c r="T22" s="961"/>
      <c r="U22" s="956">
        <v>0</v>
      </c>
      <c r="V22" s="956"/>
      <c r="W22" s="956"/>
      <c r="X22" s="956"/>
      <c r="Y22" s="957"/>
    </row>
    <row r="23" spans="2:25" ht="18.75" customHeight="1">
      <c r="B23" s="980"/>
      <c r="C23" s="954" t="s">
        <v>33</v>
      </c>
      <c r="D23" s="955"/>
      <c r="E23" s="955"/>
      <c r="F23" s="955"/>
      <c r="G23" s="955"/>
      <c r="H23" s="955"/>
      <c r="I23" s="955"/>
      <c r="J23" s="955"/>
      <c r="K23" s="961">
        <f t="shared" si="0"/>
        <v>0</v>
      </c>
      <c r="L23" s="961"/>
      <c r="M23" s="961"/>
      <c r="N23" s="961"/>
      <c r="O23" s="961"/>
      <c r="P23" s="961">
        <f>様式４年間開所カレンダー!I378</f>
        <v>189000</v>
      </c>
      <c r="Q23" s="961"/>
      <c r="R23" s="961"/>
      <c r="S23" s="961"/>
      <c r="T23" s="961"/>
      <c r="U23" s="956">
        <v>189000</v>
      </c>
      <c r="V23" s="956"/>
      <c r="W23" s="956"/>
      <c r="X23" s="956"/>
      <c r="Y23" s="957"/>
    </row>
    <row r="24" spans="2:25" ht="18.75" customHeight="1">
      <c r="B24" s="980"/>
      <c r="C24" s="954" t="s">
        <v>34</v>
      </c>
      <c r="D24" s="955"/>
      <c r="E24" s="955"/>
      <c r="F24" s="955"/>
      <c r="G24" s="955"/>
      <c r="H24" s="955"/>
      <c r="I24" s="955"/>
      <c r="J24" s="955"/>
      <c r="K24" s="961">
        <f t="shared" si="0"/>
        <v>0</v>
      </c>
      <c r="L24" s="961"/>
      <c r="M24" s="961"/>
      <c r="N24" s="961"/>
      <c r="O24" s="961"/>
      <c r="P24" s="961">
        <f>'様式２（クラブ児童数等報告書）'!O25</f>
        <v>2009000</v>
      </c>
      <c r="Q24" s="961"/>
      <c r="R24" s="961"/>
      <c r="S24" s="961"/>
      <c r="T24" s="961"/>
      <c r="U24" s="956">
        <v>2009000</v>
      </c>
      <c r="V24" s="956"/>
      <c r="W24" s="956"/>
      <c r="X24" s="956"/>
      <c r="Y24" s="957"/>
    </row>
    <row r="25" spans="2:25" ht="18.75" customHeight="1">
      <c r="B25" s="980"/>
      <c r="C25" s="954" t="s">
        <v>35</v>
      </c>
      <c r="D25" s="955"/>
      <c r="E25" s="955"/>
      <c r="F25" s="955"/>
      <c r="G25" s="955"/>
      <c r="H25" s="955"/>
      <c r="I25" s="955"/>
      <c r="J25" s="955"/>
      <c r="K25" s="961">
        <f t="shared" si="0"/>
        <v>0</v>
      </c>
      <c r="L25" s="961"/>
      <c r="M25" s="961"/>
      <c r="N25" s="961"/>
      <c r="O25" s="961"/>
      <c r="P25" s="961">
        <f>'様式２（クラブ児童数等報告書）'!O26</f>
        <v>401000</v>
      </c>
      <c r="Q25" s="961"/>
      <c r="R25" s="961"/>
      <c r="S25" s="961"/>
      <c r="T25" s="961"/>
      <c r="U25" s="956">
        <v>401000</v>
      </c>
      <c r="V25" s="956"/>
      <c r="W25" s="956"/>
      <c r="X25" s="956"/>
      <c r="Y25" s="957"/>
    </row>
    <row r="26" spans="2:25" ht="18.75" customHeight="1">
      <c r="B26" s="980"/>
      <c r="C26" s="954" t="s">
        <v>36</v>
      </c>
      <c r="D26" s="955"/>
      <c r="E26" s="955"/>
      <c r="F26" s="955"/>
      <c r="G26" s="955"/>
      <c r="H26" s="955"/>
      <c r="I26" s="955"/>
      <c r="J26" s="955"/>
      <c r="K26" s="961">
        <f t="shared" si="0"/>
        <v>0</v>
      </c>
      <c r="L26" s="961"/>
      <c r="M26" s="961"/>
      <c r="N26" s="961"/>
      <c r="O26" s="961"/>
      <c r="P26" s="961">
        <f>'様式２（クラブ児童数等報告書）'!O27</f>
        <v>0</v>
      </c>
      <c r="Q26" s="961"/>
      <c r="R26" s="961"/>
      <c r="S26" s="961"/>
      <c r="T26" s="961"/>
      <c r="U26" s="956">
        <v>0</v>
      </c>
      <c r="V26" s="956"/>
      <c r="W26" s="956"/>
      <c r="X26" s="956"/>
      <c r="Y26" s="957"/>
    </row>
    <row r="27" spans="2:25" ht="18.75" customHeight="1">
      <c r="B27" s="980"/>
      <c r="C27" s="954" t="s">
        <v>131</v>
      </c>
      <c r="D27" s="955"/>
      <c r="E27" s="955"/>
      <c r="F27" s="955"/>
      <c r="G27" s="955"/>
      <c r="H27" s="955"/>
      <c r="I27" s="955"/>
      <c r="J27" s="955"/>
      <c r="K27" s="961">
        <f t="shared" si="0"/>
        <v>0</v>
      </c>
      <c r="L27" s="961"/>
      <c r="M27" s="961"/>
      <c r="N27" s="961"/>
      <c r="O27" s="961"/>
      <c r="P27" s="961">
        <f>様式３職員名簿および各種加算等一覧!W32</f>
        <v>1678000</v>
      </c>
      <c r="Q27" s="961"/>
      <c r="R27" s="961"/>
      <c r="S27" s="961"/>
      <c r="T27" s="961"/>
      <c r="U27" s="956">
        <v>1678000</v>
      </c>
      <c r="V27" s="956"/>
      <c r="W27" s="956"/>
      <c r="X27" s="956"/>
      <c r="Y27" s="957"/>
    </row>
    <row r="28" spans="2:25" ht="18.75" customHeight="1">
      <c r="B28" s="980"/>
      <c r="C28" s="954" t="s">
        <v>180</v>
      </c>
      <c r="D28" s="955"/>
      <c r="E28" s="955"/>
      <c r="F28" s="955"/>
      <c r="G28" s="955"/>
      <c r="H28" s="955"/>
      <c r="I28" s="955"/>
      <c r="J28" s="955"/>
      <c r="K28" s="961">
        <f t="shared" si="0"/>
        <v>0</v>
      </c>
      <c r="L28" s="961"/>
      <c r="M28" s="961"/>
      <c r="N28" s="961"/>
      <c r="O28" s="961"/>
      <c r="P28" s="961">
        <f>様式３職員名簿および各種加算等一覧!X32</f>
        <v>888000</v>
      </c>
      <c r="Q28" s="961"/>
      <c r="R28" s="961"/>
      <c r="S28" s="961"/>
      <c r="T28" s="961"/>
      <c r="U28" s="956">
        <v>888000</v>
      </c>
      <c r="V28" s="956"/>
      <c r="W28" s="956"/>
      <c r="X28" s="956"/>
      <c r="Y28" s="957"/>
    </row>
    <row r="29" spans="2:25" ht="18.75" customHeight="1">
      <c r="B29" s="980"/>
      <c r="C29" s="954" t="s">
        <v>646</v>
      </c>
      <c r="D29" s="955"/>
      <c r="E29" s="955"/>
      <c r="F29" s="955"/>
      <c r="G29" s="955"/>
      <c r="H29" s="955"/>
      <c r="I29" s="955"/>
      <c r="J29" s="955"/>
      <c r="K29" s="961">
        <f t="shared" si="0"/>
        <v>0</v>
      </c>
      <c r="L29" s="961"/>
      <c r="M29" s="961"/>
      <c r="N29" s="961"/>
      <c r="O29" s="961"/>
      <c r="P29" s="961">
        <f>'別紙様式２　事業実績報告書'!R11</f>
        <v>534600</v>
      </c>
      <c r="Q29" s="961"/>
      <c r="R29" s="961"/>
      <c r="S29" s="961"/>
      <c r="T29" s="961"/>
      <c r="U29" s="956">
        <v>534600</v>
      </c>
      <c r="V29" s="956"/>
      <c r="W29" s="956"/>
      <c r="X29" s="956"/>
      <c r="Y29" s="957"/>
    </row>
    <row r="30" spans="2:25" ht="18.75" customHeight="1">
      <c r="B30" s="980"/>
      <c r="C30" s="954" t="s">
        <v>456</v>
      </c>
      <c r="D30" s="955"/>
      <c r="E30" s="955"/>
      <c r="F30" s="955"/>
      <c r="G30" s="955"/>
      <c r="H30" s="955"/>
      <c r="I30" s="955"/>
      <c r="J30" s="955"/>
      <c r="K30" s="961">
        <f t="shared" si="0"/>
        <v>0</v>
      </c>
      <c r="L30" s="961"/>
      <c r="M30" s="961"/>
      <c r="N30" s="961"/>
      <c r="O30" s="961"/>
      <c r="P30" s="961">
        <f>様式３職員名簿および各種加算等一覧!Z32</f>
        <v>480000</v>
      </c>
      <c r="Q30" s="961"/>
      <c r="R30" s="961"/>
      <c r="S30" s="961"/>
      <c r="T30" s="961"/>
      <c r="U30" s="956">
        <v>480000</v>
      </c>
      <c r="V30" s="956"/>
      <c r="W30" s="956"/>
      <c r="X30" s="956"/>
      <c r="Y30" s="957"/>
    </row>
    <row r="31" spans="2:25" ht="18.75" customHeight="1">
      <c r="B31" s="980"/>
      <c r="C31" s="962" t="s">
        <v>457</v>
      </c>
      <c r="D31" s="963"/>
      <c r="E31" s="963"/>
      <c r="F31" s="963"/>
      <c r="G31" s="963"/>
      <c r="H31" s="963"/>
      <c r="I31" s="964">
        <v>0</v>
      </c>
      <c r="J31" s="965"/>
      <c r="K31" s="961">
        <f t="shared" si="0"/>
        <v>0</v>
      </c>
      <c r="L31" s="961"/>
      <c r="M31" s="961"/>
      <c r="N31" s="961"/>
      <c r="O31" s="961"/>
      <c r="P31" s="961">
        <f>様式３職員名簿および各種加算等一覧!Y32</f>
        <v>0</v>
      </c>
      <c r="Q31" s="961"/>
      <c r="R31" s="961"/>
      <c r="S31" s="961"/>
      <c r="T31" s="961"/>
      <c r="U31" s="956">
        <v>0</v>
      </c>
      <c r="V31" s="956"/>
      <c r="W31" s="956"/>
      <c r="X31" s="956"/>
      <c r="Y31" s="957"/>
    </row>
    <row r="32" spans="2:25" ht="18.75" customHeight="1">
      <c r="B32" s="980"/>
      <c r="C32" s="954" t="s">
        <v>97</v>
      </c>
      <c r="D32" s="955"/>
      <c r="E32" s="955"/>
      <c r="F32" s="955"/>
      <c r="G32" s="955"/>
      <c r="H32" s="955"/>
      <c r="I32" s="955"/>
      <c r="J32" s="955"/>
      <c r="K32" s="961">
        <f t="shared" si="0"/>
        <v>0</v>
      </c>
      <c r="L32" s="961"/>
      <c r="M32" s="961"/>
      <c r="N32" s="961"/>
      <c r="O32" s="961"/>
      <c r="P32" s="961">
        <f>'様式１（放課後児童名簿・利用料割引者名簿）'!T73</f>
        <v>180000</v>
      </c>
      <c r="Q32" s="961"/>
      <c r="R32" s="961"/>
      <c r="S32" s="961"/>
      <c r="T32" s="961"/>
      <c r="U32" s="956">
        <v>180000</v>
      </c>
      <c r="V32" s="956"/>
      <c r="W32" s="956"/>
      <c r="X32" s="956"/>
      <c r="Y32" s="957"/>
    </row>
    <row r="33" spans="2:25" ht="18.75" customHeight="1">
      <c r="B33" s="980"/>
      <c r="C33" s="954" t="s">
        <v>132</v>
      </c>
      <c r="D33" s="955"/>
      <c r="E33" s="955"/>
      <c r="F33" s="955"/>
      <c r="G33" s="955"/>
      <c r="H33" s="955"/>
      <c r="I33" s="955"/>
      <c r="J33" s="955"/>
      <c r="K33" s="961">
        <f t="shared" si="0"/>
        <v>0</v>
      </c>
      <c r="L33" s="961"/>
      <c r="M33" s="961"/>
      <c r="N33" s="961"/>
      <c r="O33" s="961"/>
      <c r="P33" s="961">
        <f>'様式１（放課後児童名簿・利用料割引者名簿）'!U73</f>
        <v>170000</v>
      </c>
      <c r="Q33" s="961"/>
      <c r="R33" s="961"/>
      <c r="S33" s="961"/>
      <c r="T33" s="961"/>
      <c r="U33" s="956">
        <v>170000</v>
      </c>
      <c r="V33" s="956"/>
      <c r="W33" s="956"/>
      <c r="X33" s="956"/>
      <c r="Y33" s="957"/>
    </row>
    <row r="34" spans="2:25" ht="18.75" customHeight="1">
      <c r="B34" s="980"/>
      <c r="C34" s="999" t="s">
        <v>133</v>
      </c>
      <c r="D34" s="1000"/>
      <c r="E34" s="1000"/>
      <c r="F34" s="1000"/>
      <c r="G34" s="1000"/>
      <c r="H34" s="1001"/>
      <c r="I34" s="1022">
        <v>0</v>
      </c>
      <c r="J34" s="1023"/>
      <c r="K34" s="961">
        <f t="shared" si="0"/>
        <v>0</v>
      </c>
      <c r="L34" s="961"/>
      <c r="M34" s="961"/>
      <c r="N34" s="961"/>
      <c r="O34" s="961"/>
      <c r="P34" s="961">
        <f>MIN(ROUNDDOWN(I34,-3),10000)</f>
        <v>0</v>
      </c>
      <c r="Q34" s="961"/>
      <c r="R34" s="961"/>
      <c r="S34" s="961"/>
      <c r="T34" s="961"/>
      <c r="U34" s="956">
        <v>0</v>
      </c>
      <c r="V34" s="956"/>
      <c r="W34" s="956"/>
      <c r="X34" s="956"/>
      <c r="Y34" s="957"/>
    </row>
    <row r="35" spans="2:25" ht="18.75" customHeight="1" thickBot="1">
      <c r="B35" s="980"/>
      <c r="C35" s="962" t="s">
        <v>96</v>
      </c>
      <c r="D35" s="963"/>
      <c r="E35" s="963"/>
      <c r="F35" s="963"/>
      <c r="G35" s="963"/>
      <c r="H35" s="1024"/>
      <c r="I35" s="1043">
        <v>0</v>
      </c>
      <c r="J35" s="1044"/>
      <c r="K35" s="961">
        <f t="shared" si="0"/>
        <v>0</v>
      </c>
      <c r="L35" s="961"/>
      <c r="M35" s="961"/>
      <c r="N35" s="961"/>
      <c r="O35" s="961"/>
      <c r="P35" s="961">
        <f>ROUNDDOWN(MIN(I35*12,3066000),-3)</f>
        <v>0</v>
      </c>
      <c r="Q35" s="961"/>
      <c r="R35" s="961"/>
      <c r="S35" s="961"/>
      <c r="T35" s="961"/>
      <c r="U35" s="956">
        <v>0</v>
      </c>
      <c r="V35" s="956"/>
      <c r="W35" s="956"/>
      <c r="X35" s="956"/>
      <c r="Y35" s="957"/>
    </row>
    <row r="36" spans="2:25" ht="18.75" customHeight="1">
      <c r="B36" s="1004" t="s">
        <v>319</v>
      </c>
      <c r="C36" s="1036" t="s">
        <v>320</v>
      </c>
      <c r="D36" s="1037"/>
      <c r="E36" s="1037"/>
      <c r="F36" s="1037"/>
      <c r="G36" s="1037"/>
      <c r="H36" s="1037"/>
      <c r="I36" s="1037"/>
      <c r="J36" s="1038"/>
      <c r="K36" s="958">
        <f>SUM(K37:O37)</f>
        <v>0</v>
      </c>
      <c r="L36" s="959"/>
      <c r="M36" s="959"/>
      <c r="N36" s="959"/>
      <c r="O36" s="1042"/>
      <c r="P36" s="958">
        <f>SUM(P37:T37)</f>
        <v>0</v>
      </c>
      <c r="Q36" s="959"/>
      <c r="R36" s="959"/>
      <c r="S36" s="959"/>
      <c r="T36" s="1042"/>
      <c r="U36" s="958">
        <f>ROUNDDOWN(SUM(U37:Y37),-3)</f>
        <v>0</v>
      </c>
      <c r="V36" s="959"/>
      <c r="W36" s="959"/>
      <c r="X36" s="959"/>
      <c r="Y36" s="960"/>
    </row>
    <row r="37" spans="2:25" ht="18.75" customHeight="1" thickBot="1">
      <c r="B37" s="1005"/>
      <c r="C37" s="1039" t="s">
        <v>608</v>
      </c>
      <c r="D37" s="1040"/>
      <c r="E37" s="1040"/>
      <c r="F37" s="1040"/>
      <c r="G37" s="1040"/>
      <c r="H37" s="1040"/>
      <c r="I37" s="1040"/>
      <c r="J37" s="1041"/>
      <c r="K37" s="1020">
        <f>P37-U37</f>
        <v>0</v>
      </c>
      <c r="L37" s="1021"/>
      <c r="M37" s="1021"/>
      <c r="N37" s="1021"/>
      <c r="O37" s="1035"/>
      <c r="P37" s="1020">
        <f>U37</f>
        <v>0</v>
      </c>
      <c r="Q37" s="1021"/>
      <c r="R37" s="1021"/>
      <c r="S37" s="1021"/>
      <c r="T37" s="1021"/>
      <c r="U37" s="1006">
        <v>0</v>
      </c>
      <c r="V37" s="1007"/>
      <c r="W37" s="1007"/>
      <c r="X37" s="1007"/>
      <c r="Y37" s="1008"/>
    </row>
    <row r="38" spans="2:25" ht="18.75" customHeight="1" thickTop="1" thickBot="1">
      <c r="B38" s="80"/>
      <c r="C38" s="1026" t="s">
        <v>22</v>
      </c>
      <c r="D38" s="1027"/>
      <c r="E38" s="1027"/>
      <c r="F38" s="1027"/>
      <c r="G38" s="1027"/>
      <c r="H38" s="1027"/>
      <c r="I38" s="1027"/>
      <c r="J38" s="1028"/>
      <c r="K38" s="989">
        <f>SUM(K18+K36)</f>
        <v>0</v>
      </c>
      <c r="L38" s="990"/>
      <c r="M38" s="990"/>
      <c r="N38" s="990"/>
      <c r="O38" s="991"/>
      <c r="P38" s="1029">
        <f>SUM(P18+P36)</f>
        <v>12183600</v>
      </c>
      <c r="Q38" s="1010"/>
      <c r="R38" s="1010"/>
      <c r="S38" s="1010"/>
      <c r="T38" s="1010"/>
      <c r="U38" s="1009">
        <f>SUM(U18+U36)</f>
        <v>12183600</v>
      </c>
      <c r="V38" s="1010"/>
      <c r="W38" s="1010"/>
      <c r="X38" s="1010"/>
      <c r="Y38" s="1011"/>
    </row>
    <row r="39" spans="2:25" ht="15" thickTop="1">
      <c r="B39" s="1032" t="s">
        <v>98</v>
      </c>
      <c r="C39" s="1033"/>
      <c r="D39" s="1033"/>
      <c r="E39" s="1033"/>
      <c r="F39" s="1034"/>
      <c r="G39" s="1014">
        <v>45382</v>
      </c>
      <c r="H39" s="1015"/>
      <c r="I39" s="1015"/>
      <c r="J39" s="1015"/>
      <c r="K39" s="1015"/>
      <c r="L39" s="1015"/>
      <c r="M39" s="1015"/>
      <c r="N39" s="1015"/>
      <c r="O39" s="1015"/>
      <c r="P39" s="1015"/>
      <c r="Q39" s="1015"/>
      <c r="R39" s="1015"/>
      <c r="S39" s="1015"/>
      <c r="T39" s="1015"/>
      <c r="U39" s="1015"/>
      <c r="V39" s="1015"/>
      <c r="W39" s="1015"/>
      <c r="X39" s="1015"/>
      <c r="Y39" s="1016"/>
    </row>
    <row r="40" spans="2:25">
      <c r="B40" s="928"/>
      <c r="C40" s="929"/>
      <c r="D40" s="929"/>
      <c r="E40" s="929"/>
      <c r="F40" s="930"/>
      <c r="G40" s="928"/>
      <c r="H40" s="929"/>
      <c r="I40" s="929"/>
      <c r="J40" s="929"/>
      <c r="K40" s="929"/>
      <c r="L40" s="929"/>
      <c r="M40" s="929"/>
      <c r="N40" s="929"/>
      <c r="O40" s="929"/>
      <c r="P40" s="929"/>
      <c r="Q40" s="929"/>
      <c r="R40" s="929"/>
      <c r="S40" s="929"/>
      <c r="T40" s="929"/>
      <c r="U40" s="929"/>
      <c r="V40" s="929"/>
      <c r="W40" s="929"/>
      <c r="X40" s="929"/>
      <c r="Y40" s="930"/>
    </row>
    <row r="41" spans="2:25">
      <c r="B41" s="890" t="s">
        <v>99</v>
      </c>
      <c r="C41" s="1025"/>
      <c r="D41" s="1025"/>
      <c r="E41" s="1025"/>
      <c r="F41" s="891"/>
      <c r="G41" s="1030"/>
      <c r="H41" s="1030"/>
      <c r="I41" s="1030"/>
      <c r="J41" s="1030"/>
      <c r="K41" s="1030"/>
      <c r="L41" s="1030"/>
      <c r="M41" s="1030"/>
      <c r="N41" s="1030"/>
      <c r="O41" s="1030"/>
      <c r="P41" s="1030"/>
      <c r="Q41" s="1030"/>
      <c r="R41" s="1030"/>
      <c r="S41" s="1030"/>
      <c r="T41" s="1030"/>
      <c r="U41" s="1030"/>
      <c r="V41" s="1030"/>
      <c r="W41" s="1030"/>
      <c r="X41" s="1030"/>
      <c r="Y41" s="1031"/>
    </row>
    <row r="42" spans="2:25">
      <c r="B42" s="892"/>
      <c r="C42" s="992"/>
      <c r="D42" s="992"/>
      <c r="E42" s="992"/>
      <c r="F42" s="893"/>
      <c r="G42" s="1012"/>
      <c r="H42" s="1012"/>
      <c r="I42" s="1012"/>
      <c r="J42" s="1012"/>
      <c r="K42" s="1012"/>
      <c r="L42" s="1012"/>
      <c r="M42" s="1012"/>
      <c r="N42" s="1012"/>
      <c r="O42" s="1012"/>
      <c r="P42" s="1012"/>
      <c r="Q42" s="1012"/>
      <c r="R42" s="1012"/>
      <c r="S42" s="1012"/>
      <c r="T42" s="1012"/>
      <c r="U42" s="1012"/>
      <c r="V42" s="1012"/>
      <c r="W42" s="1012"/>
      <c r="X42" s="1012"/>
      <c r="Y42" s="1013"/>
    </row>
    <row r="43" spans="2:25">
      <c r="B43" s="892"/>
      <c r="C43" s="992"/>
      <c r="D43" s="992"/>
      <c r="E43" s="992"/>
      <c r="F43" s="893"/>
      <c r="G43" s="1012"/>
      <c r="H43" s="1012"/>
      <c r="I43" s="1012"/>
      <c r="J43" s="1012"/>
      <c r="K43" s="1012"/>
      <c r="L43" s="1012"/>
      <c r="M43" s="1012"/>
      <c r="N43" s="1012"/>
      <c r="O43" s="1012"/>
      <c r="P43" s="1012"/>
      <c r="Q43" s="1012"/>
      <c r="R43" s="1012"/>
      <c r="S43" s="1012"/>
      <c r="T43" s="1012"/>
      <c r="U43" s="1012"/>
      <c r="V43" s="1012"/>
      <c r="W43" s="1012"/>
      <c r="X43" s="1012"/>
      <c r="Y43" s="1013"/>
    </row>
    <row r="44" spans="2:25">
      <c r="B44" s="892"/>
      <c r="C44" s="992"/>
      <c r="D44" s="992"/>
      <c r="E44" s="992"/>
      <c r="F44" s="893"/>
      <c r="G44" s="1012"/>
      <c r="H44" s="1012"/>
      <c r="I44" s="1012"/>
      <c r="J44" s="1012"/>
      <c r="K44" s="1012"/>
      <c r="L44" s="1012"/>
      <c r="M44" s="1012"/>
      <c r="N44" s="1012"/>
      <c r="O44" s="1012"/>
      <c r="P44" s="1012"/>
      <c r="Q44" s="1012"/>
      <c r="R44" s="1012"/>
      <c r="S44" s="1012"/>
      <c r="T44" s="1012"/>
      <c r="U44" s="1012"/>
      <c r="V44" s="1012"/>
      <c r="W44" s="1012"/>
      <c r="X44" s="1012"/>
      <c r="Y44" s="1013"/>
    </row>
    <row r="45" spans="2:25">
      <c r="B45" s="892"/>
      <c r="C45" s="992"/>
      <c r="D45" s="992"/>
      <c r="E45" s="992"/>
      <c r="F45" s="893"/>
      <c r="G45" s="1017"/>
      <c r="H45" s="1012"/>
      <c r="I45" s="1012"/>
      <c r="J45" s="1012"/>
      <c r="K45" s="1012"/>
      <c r="L45" s="1012"/>
      <c r="M45" s="1012"/>
      <c r="N45" s="1012"/>
      <c r="O45" s="1012"/>
      <c r="P45" s="1012"/>
      <c r="Q45" s="1012"/>
      <c r="R45" s="1012"/>
      <c r="S45" s="1012"/>
      <c r="T45" s="1012"/>
      <c r="U45" s="1012"/>
      <c r="V45" s="1012"/>
      <c r="W45" s="1012"/>
      <c r="X45" s="1012"/>
      <c r="Y45" s="1013"/>
    </row>
    <row r="46" spans="2:25">
      <c r="B46" s="892"/>
      <c r="C46" s="992"/>
      <c r="D46" s="992"/>
      <c r="E46" s="992"/>
      <c r="F46" s="893"/>
      <c r="G46" s="1012"/>
      <c r="H46" s="1012"/>
      <c r="I46" s="1012"/>
      <c r="J46" s="1012"/>
      <c r="K46" s="1012"/>
      <c r="L46" s="1012"/>
      <c r="M46" s="1012"/>
      <c r="N46" s="1012"/>
      <c r="O46" s="1012"/>
      <c r="P46" s="1012"/>
      <c r="Q46" s="1012"/>
      <c r="R46" s="1012"/>
      <c r="S46" s="1012"/>
      <c r="T46" s="1012"/>
      <c r="U46" s="1012"/>
      <c r="V46" s="1012"/>
      <c r="W46" s="1012"/>
      <c r="X46" s="1012"/>
      <c r="Y46" s="1013"/>
    </row>
    <row r="47" spans="2:25">
      <c r="B47" s="894"/>
      <c r="C47" s="993"/>
      <c r="D47" s="993"/>
      <c r="E47" s="993"/>
      <c r="F47" s="895"/>
      <c r="G47" s="1018"/>
      <c r="H47" s="1018"/>
      <c r="I47" s="1018"/>
      <c r="J47" s="1018"/>
      <c r="K47" s="1018"/>
      <c r="L47" s="1018"/>
      <c r="M47" s="1018"/>
      <c r="N47" s="1018"/>
      <c r="O47" s="1018"/>
      <c r="P47" s="1018"/>
      <c r="Q47" s="1018"/>
      <c r="R47" s="1018"/>
      <c r="S47" s="1018"/>
      <c r="T47" s="1018"/>
      <c r="U47" s="1018"/>
      <c r="V47" s="1018"/>
      <c r="W47" s="1018"/>
      <c r="X47" s="1018"/>
      <c r="Y47" s="1019"/>
    </row>
    <row r="48" spans="2:25">
      <c r="B48" s="890" t="s">
        <v>77</v>
      </c>
      <c r="C48" s="1025"/>
      <c r="D48" s="1025"/>
      <c r="E48" s="1025"/>
      <c r="F48" s="891"/>
      <c r="G48" s="1030"/>
      <c r="H48" s="1030"/>
      <c r="I48" s="1030"/>
      <c r="J48" s="1030"/>
      <c r="K48" s="1030"/>
      <c r="L48" s="1030"/>
      <c r="M48" s="1030"/>
      <c r="N48" s="1030"/>
      <c r="O48" s="1030"/>
      <c r="P48" s="1030"/>
      <c r="Q48" s="1030"/>
      <c r="R48" s="1030"/>
      <c r="S48" s="1030"/>
      <c r="T48" s="1030"/>
      <c r="U48" s="1030"/>
      <c r="V48" s="1030"/>
      <c r="W48" s="1030"/>
      <c r="X48" s="1030"/>
      <c r="Y48" s="1031"/>
    </row>
    <row r="49" spans="2:25">
      <c r="B49" s="892"/>
      <c r="C49" s="992"/>
      <c r="D49" s="992"/>
      <c r="E49" s="992"/>
      <c r="F49" s="893"/>
      <c r="G49" s="1012"/>
      <c r="H49" s="1012"/>
      <c r="I49" s="1012"/>
      <c r="J49" s="1012"/>
      <c r="K49" s="1012"/>
      <c r="L49" s="1012"/>
      <c r="M49" s="1012"/>
      <c r="N49" s="1012"/>
      <c r="O49" s="1012"/>
      <c r="P49" s="1012"/>
      <c r="Q49" s="1012"/>
      <c r="R49" s="1012"/>
      <c r="S49" s="1012"/>
      <c r="T49" s="1012"/>
      <c r="U49" s="1012"/>
      <c r="V49" s="1012"/>
      <c r="W49" s="1012"/>
      <c r="X49" s="1012"/>
      <c r="Y49" s="1013"/>
    </row>
    <row r="50" spans="2:25">
      <c r="B50" s="892"/>
      <c r="C50" s="992"/>
      <c r="D50" s="992"/>
      <c r="E50" s="992"/>
      <c r="F50" s="893"/>
      <c r="G50" s="1017"/>
      <c r="H50" s="1012"/>
      <c r="I50" s="1012"/>
      <c r="J50" s="1012"/>
      <c r="K50" s="1012"/>
      <c r="L50" s="1012"/>
      <c r="M50" s="1012"/>
      <c r="N50" s="1012"/>
      <c r="O50" s="1012"/>
      <c r="P50" s="1012"/>
      <c r="Q50" s="1012"/>
      <c r="R50" s="1012"/>
      <c r="S50" s="1012"/>
      <c r="T50" s="1012"/>
      <c r="U50" s="1012"/>
      <c r="V50" s="1012"/>
      <c r="W50" s="1012"/>
      <c r="X50" s="1012"/>
      <c r="Y50" s="1013"/>
    </row>
    <row r="51" spans="2:25">
      <c r="B51" s="892"/>
      <c r="C51" s="992"/>
      <c r="D51" s="992"/>
      <c r="E51" s="992"/>
      <c r="F51" s="893"/>
      <c r="G51" s="1012"/>
      <c r="H51" s="1012"/>
      <c r="I51" s="1012"/>
      <c r="J51" s="1012"/>
      <c r="K51" s="1012"/>
      <c r="L51" s="1012"/>
      <c r="M51" s="1012"/>
      <c r="N51" s="1012"/>
      <c r="O51" s="1012"/>
      <c r="P51" s="1012"/>
      <c r="Q51" s="1012"/>
      <c r="R51" s="1012"/>
      <c r="S51" s="1012"/>
      <c r="T51" s="1012"/>
      <c r="U51" s="1012"/>
      <c r="V51" s="1012"/>
      <c r="W51" s="1012"/>
      <c r="X51" s="1012"/>
      <c r="Y51" s="1013"/>
    </row>
    <row r="52" spans="2:25">
      <c r="B52" s="892"/>
      <c r="C52" s="992"/>
      <c r="D52" s="992"/>
      <c r="E52" s="992"/>
      <c r="F52" s="893"/>
      <c r="G52" s="377"/>
      <c r="H52" s="377"/>
      <c r="I52" s="377"/>
      <c r="J52" s="377"/>
      <c r="K52" s="377"/>
      <c r="L52" s="377"/>
      <c r="M52" s="377"/>
      <c r="N52" s="377"/>
      <c r="O52" s="377"/>
      <c r="P52" s="377"/>
      <c r="Q52" s="377"/>
      <c r="R52" s="377"/>
      <c r="S52" s="377"/>
      <c r="T52" s="377"/>
      <c r="U52" s="377"/>
      <c r="V52" s="377"/>
      <c r="W52" s="377"/>
      <c r="X52" s="377"/>
      <c r="Y52" s="378"/>
    </row>
    <row r="53" spans="2:25">
      <c r="B53" s="892"/>
      <c r="C53" s="992"/>
      <c r="D53" s="992"/>
      <c r="E53" s="992"/>
      <c r="F53" s="893"/>
      <c r="G53" s="1012"/>
      <c r="H53" s="1012"/>
      <c r="I53" s="1012"/>
      <c r="J53" s="1012"/>
      <c r="K53" s="1012"/>
      <c r="L53" s="1012"/>
      <c r="M53" s="1012"/>
      <c r="N53" s="1012"/>
      <c r="O53" s="1012"/>
      <c r="P53" s="1012"/>
      <c r="Q53" s="1012"/>
      <c r="R53" s="1012"/>
      <c r="S53" s="1012"/>
      <c r="T53" s="1012"/>
      <c r="U53" s="1012"/>
      <c r="V53" s="1012"/>
      <c r="W53" s="1012"/>
      <c r="X53" s="1012"/>
      <c r="Y53" s="1013"/>
    </row>
    <row r="54" spans="2:25">
      <c r="B54" s="892"/>
      <c r="C54" s="992"/>
      <c r="D54" s="992"/>
      <c r="E54" s="992"/>
      <c r="F54" s="893"/>
      <c r="G54" s="1012"/>
      <c r="H54" s="1012"/>
      <c r="I54" s="1012"/>
      <c r="J54" s="1012"/>
      <c r="K54" s="1012"/>
      <c r="L54" s="1012"/>
      <c r="M54" s="1012"/>
      <c r="N54" s="1012"/>
      <c r="O54" s="1012"/>
      <c r="P54" s="1012"/>
      <c r="Q54" s="1012"/>
      <c r="R54" s="1012"/>
      <c r="S54" s="1012"/>
      <c r="T54" s="1012"/>
      <c r="U54" s="1012"/>
      <c r="V54" s="1012"/>
      <c r="W54" s="1012"/>
      <c r="X54" s="1012"/>
      <c r="Y54" s="1013"/>
    </row>
    <row r="55" spans="2:25">
      <c r="B55" s="894"/>
      <c r="C55" s="993"/>
      <c r="D55" s="993"/>
      <c r="E55" s="993"/>
      <c r="F55" s="895"/>
      <c r="G55" s="1018"/>
      <c r="H55" s="1018"/>
      <c r="I55" s="1018"/>
      <c r="J55" s="1018"/>
      <c r="K55" s="1018"/>
      <c r="L55" s="1018"/>
      <c r="M55" s="1018"/>
      <c r="N55" s="1018"/>
      <c r="O55" s="1018"/>
      <c r="P55" s="1018"/>
      <c r="Q55" s="1018"/>
      <c r="R55" s="1018"/>
      <c r="S55" s="1018"/>
      <c r="T55" s="1018"/>
      <c r="U55" s="1018"/>
      <c r="V55" s="1018"/>
      <c r="W55" s="1018"/>
      <c r="X55" s="1018"/>
      <c r="Y55" s="1019"/>
    </row>
    <row r="56" spans="2:25" ht="15">
      <c r="B56" s="465" t="s">
        <v>603</v>
      </c>
    </row>
  </sheetData>
  <mergeCells count="127">
    <mergeCell ref="C23:J23"/>
    <mergeCell ref="C24:J24"/>
    <mergeCell ref="C25:J25"/>
    <mergeCell ref="U24:Y24"/>
    <mergeCell ref="U25:Y25"/>
    <mergeCell ref="C32:J32"/>
    <mergeCell ref="C36:J36"/>
    <mergeCell ref="C37:J37"/>
    <mergeCell ref="K36:O36"/>
    <mergeCell ref="P36:T36"/>
    <mergeCell ref="I35:J35"/>
    <mergeCell ref="U20:Y20"/>
    <mergeCell ref="U21:Y21"/>
    <mergeCell ref="U22:Y22"/>
    <mergeCell ref="U32:Y32"/>
    <mergeCell ref="P25:T25"/>
    <mergeCell ref="P26:T26"/>
    <mergeCell ref="P32:T32"/>
    <mergeCell ref="P33:T33"/>
    <mergeCell ref="P34:T34"/>
    <mergeCell ref="G43:Y43"/>
    <mergeCell ref="G48:Y48"/>
    <mergeCell ref="K33:O33"/>
    <mergeCell ref="K34:O34"/>
    <mergeCell ref="G55:Y55"/>
    <mergeCell ref="G41:Y41"/>
    <mergeCell ref="B39:F40"/>
    <mergeCell ref="K37:O37"/>
    <mergeCell ref="B41:F47"/>
    <mergeCell ref="G50:Y50"/>
    <mergeCell ref="G51:Y51"/>
    <mergeCell ref="C20:H20"/>
    <mergeCell ref="I20:J20"/>
    <mergeCell ref="B36:B37"/>
    <mergeCell ref="U37:Y37"/>
    <mergeCell ref="U38:Y38"/>
    <mergeCell ref="G53:Y53"/>
    <mergeCell ref="G54:Y54"/>
    <mergeCell ref="G39:Y40"/>
    <mergeCell ref="G44:Y44"/>
    <mergeCell ref="G45:Y45"/>
    <mergeCell ref="G46:Y46"/>
    <mergeCell ref="G47:Y47"/>
    <mergeCell ref="G49:Y49"/>
    <mergeCell ref="P37:T37"/>
    <mergeCell ref="C34:H34"/>
    <mergeCell ref="I34:J34"/>
    <mergeCell ref="C35:H35"/>
    <mergeCell ref="B48:F55"/>
    <mergeCell ref="C38:J38"/>
    <mergeCell ref="C33:J33"/>
    <mergeCell ref="P38:T38"/>
    <mergeCell ref="K35:O35"/>
    <mergeCell ref="P35:T35"/>
    <mergeCell ref="G42:Y42"/>
    <mergeCell ref="A3:X3"/>
    <mergeCell ref="U33:Y33"/>
    <mergeCell ref="U34:Y34"/>
    <mergeCell ref="K38:O38"/>
    <mergeCell ref="U19:Y19"/>
    <mergeCell ref="K25:O25"/>
    <mergeCell ref="K26:O26"/>
    <mergeCell ref="K32:O32"/>
    <mergeCell ref="P24:T24"/>
    <mergeCell ref="K19:O19"/>
    <mergeCell ref="K20:O20"/>
    <mergeCell ref="K21:O21"/>
    <mergeCell ref="K22:O22"/>
    <mergeCell ref="K23:O23"/>
    <mergeCell ref="C9:E14"/>
    <mergeCell ref="P27:T27"/>
    <mergeCell ref="U27:Y27"/>
    <mergeCell ref="U17:Y17"/>
    <mergeCell ref="F9:I9"/>
    <mergeCell ref="J9:Y9"/>
    <mergeCell ref="J10:Y10"/>
    <mergeCell ref="J11:K12"/>
    <mergeCell ref="J13:K14"/>
    <mergeCell ref="L11:W12"/>
    <mergeCell ref="L13:W14"/>
    <mergeCell ref="B15:G15"/>
    <mergeCell ref="B16:G16"/>
    <mergeCell ref="H15:Y15"/>
    <mergeCell ref="H16:Y16"/>
    <mergeCell ref="F10:I10"/>
    <mergeCell ref="F11:I14"/>
    <mergeCell ref="U26:Y26"/>
    <mergeCell ref="K17:O17"/>
    <mergeCell ref="P17:T17"/>
    <mergeCell ref="B17:B35"/>
    <mergeCell ref="C18:J18"/>
    <mergeCell ref="K18:O18"/>
    <mergeCell ref="P18:T18"/>
    <mergeCell ref="U18:Y18"/>
    <mergeCell ref="P21:T21"/>
    <mergeCell ref="P22:T22"/>
    <mergeCell ref="P23:T23"/>
    <mergeCell ref="K27:O27"/>
    <mergeCell ref="K24:O24"/>
    <mergeCell ref="P19:T19"/>
    <mergeCell ref="P20:T20"/>
    <mergeCell ref="C26:J26"/>
    <mergeCell ref="C17:J17"/>
    <mergeCell ref="C19:J19"/>
    <mergeCell ref="C21:J21"/>
    <mergeCell ref="C22:J22"/>
    <mergeCell ref="C27:J27"/>
    <mergeCell ref="U23:Y23"/>
    <mergeCell ref="U36:Y36"/>
    <mergeCell ref="K31:O31"/>
    <mergeCell ref="P31:T31"/>
    <mergeCell ref="U31:Y31"/>
    <mergeCell ref="K30:O30"/>
    <mergeCell ref="C30:J30"/>
    <mergeCell ref="P30:T30"/>
    <mergeCell ref="U30:Y30"/>
    <mergeCell ref="C28:J28"/>
    <mergeCell ref="K28:O28"/>
    <mergeCell ref="P28:T28"/>
    <mergeCell ref="U28:Y28"/>
    <mergeCell ref="C29:J29"/>
    <mergeCell ref="K29:O29"/>
    <mergeCell ref="P29:T29"/>
    <mergeCell ref="U29:Y29"/>
    <mergeCell ref="C31:H31"/>
    <mergeCell ref="I31:J31"/>
    <mergeCell ref="U35:Y35"/>
  </mergeCells>
  <phoneticPr fontId="1"/>
  <printOptions horizontalCentered="1"/>
  <pageMargins left="0.31496062992125984" right="0.11811023622047245" top="0.35433070866141736" bottom="0.35433070866141736"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23DD-DBB0-4351-80BD-7022C6CBAC24}">
  <sheetPr>
    <pageSetUpPr fitToPage="1"/>
  </sheetPr>
  <dimension ref="A9:G28"/>
  <sheetViews>
    <sheetView view="pageBreakPreview" zoomScale="110" zoomScaleNormal="100" zoomScaleSheetLayoutView="110" workbookViewId="0">
      <selection activeCell="E34" sqref="E34"/>
    </sheetView>
  </sheetViews>
  <sheetFormatPr defaultRowHeight="13.5"/>
  <cols>
    <col min="1" max="1" width="4.375" customWidth="1"/>
    <col min="2" max="2" width="10.625" customWidth="1"/>
    <col min="4" max="4" width="12.375" bestFit="1" customWidth="1"/>
    <col min="5" max="5" width="50.125" bestFit="1" customWidth="1"/>
    <col min="6" max="6" width="32.5" customWidth="1"/>
    <col min="7" max="7" width="20.625" style="277" customWidth="1"/>
  </cols>
  <sheetData>
    <row r="9" spans="1:7">
      <c r="A9" t="s">
        <v>614</v>
      </c>
    </row>
    <row r="10" spans="1:7">
      <c r="E10" s="294" t="s">
        <v>562</v>
      </c>
      <c r="F10" s="1045" t="str">
        <f>'様式６（事業計画変更申請書）'!J10</f>
        <v>●●法人　●●●●</v>
      </c>
      <c r="G10" s="1045"/>
    </row>
    <row r="11" spans="1:7">
      <c r="B11" s="278" t="s">
        <v>409</v>
      </c>
      <c r="C11" s="279"/>
      <c r="D11" s="279"/>
      <c r="E11" s="279"/>
      <c r="F11" s="280"/>
      <c r="G11" s="544">
        <v>16814000</v>
      </c>
    </row>
    <row r="12" spans="1:7">
      <c r="B12" s="278" t="s">
        <v>554</v>
      </c>
      <c r="C12" s="279"/>
      <c r="D12" s="279"/>
      <c r="E12" s="420" t="s">
        <v>410</v>
      </c>
      <c r="F12" s="280"/>
      <c r="G12" s="281">
        <f>'様式２（クラブ児童数等報告書）'!O25</f>
        <v>2009000</v>
      </c>
    </row>
    <row r="13" spans="1:7">
      <c r="B13" s="278"/>
      <c r="C13" s="279"/>
      <c r="D13" s="279"/>
      <c r="E13" s="420" t="s">
        <v>411</v>
      </c>
      <c r="F13" s="280"/>
      <c r="G13" s="281">
        <f>'様式２（クラブ児童数等報告書）'!O26</f>
        <v>401000</v>
      </c>
    </row>
    <row r="14" spans="1:7">
      <c r="B14" s="278"/>
      <c r="C14" s="279"/>
      <c r="D14" s="279"/>
      <c r="E14" s="420" t="s">
        <v>412</v>
      </c>
      <c r="F14" s="280"/>
      <c r="G14" s="281">
        <f>'様式２（クラブ児童数等報告書）'!O27</f>
        <v>0</v>
      </c>
    </row>
    <row r="15" spans="1:7">
      <c r="B15" s="278"/>
      <c r="C15" s="279"/>
      <c r="D15" s="279"/>
      <c r="E15" s="420" t="s">
        <v>413</v>
      </c>
      <c r="F15" s="280"/>
      <c r="G15" s="281">
        <f>様式３職員名簿および各種加算等一覧!X32</f>
        <v>888000</v>
      </c>
    </row>
    <row r="16" spans="1:7">
      <c r="B16" s="278"/>
      <c r="C16" s="279"/>
      <c r="D16" s="279"/>
      <c r="E16" s="420" t="s">
        <v>569</v>
      </c>
      <c r="F16" s="280"/>
      <c r="G16" s="281">
        <f>'別紙様式２　事業実績報告書'!R11</f>
        <v>534600</v>
      </c>
    </row>
    <row r="17" spans="2:7">
      <c r="B17" s="278"/>
      <c r="C17" s="279"/>
      <c r="D17" s="279"/>
      <c r="E17" s="421" t="s">
        <v>553</v>
      </c>
      <c r="F17" s="280"/>
      <c r="G17" s="281">
        <f>様式３職員名簿および各種加算等一覧!AE32</f>
        <v>0</v>
      </c>
    </row>
    <row r="18" spans="2:7">
      <c r="B18" s="278"/>
      <c r="C18" s="279"/>
      <c r="D18" s="279"/>
      <c r="E18" s="421" t="s">
        <v>568</v>
      </c>
      <c r="F18" s="280"/>
      <c r="G18" s="281">
        <f>様式３職員名簿および各種加算等一覧!Y27+様式３職員名簿および各種加算等一覧!Y29</f>
        <v>0</v>
      </c>
    </row>
    <row r="19" spans="2:7">
      <c r="B19" s="278"/>
      <c r="C19" s="279"/>
      <c r="D19" s="279"/>
      <c r="E19" s="421" t="s">
        <v>555</v>
      </c>
      <c r="F19" s="280"/>
      <c r="G19" s="419">
        <v>0</v>
      </c>
    </row>
    <row r="20" spans="2:7">
      <c r="B20" s="278" t="s">
        <v>609</v>
      </c>
      <c r="C20" s="279"/>
      <c r="D20" s="279"/>
      <c r="E20" s="279"/>
      <c r="F20" s="280"/>
      <c r="G20" s="283">
        <f>IF('様式２（クラブ児童数等報告書）'!P12&lt;=19,4009000,0)</f>
        <v>0</v>
      </c>
    </row>
    <row r="21" spans="2:7">
      <c r="B21" s="278" t="s">
        <v>610</v>
      </c>
      <c r="C21" s="279"/>
      <c r="D21" s="279"/>
      <c r="E21" s="279"/>
      <c r="F21" s="280"/>
      <c r="G21" s="281">
        <f>IF(G20&gt;=1,1250000,0)</f>
        <v>0</v>
      </c>
    </row>
    <row r="22" spans="2:7">
      <c r="B22" s="278" t="s">
        <v>611</v>
      </c>
      <c r="C22" s="279"/>
      <c r="D22" s="279"/>
      <c r="E22" s="279"/>
      <c r="F22" s="280"/>
      <c r="G22" s="281">
        <f>IF('様式２（クラブ児童数等報告書）'!P12&gt;=20,7357000,0)</f>
        <v>7357000</v>
      </c>
    </row>
    <row r="23" spans="2:7">
      <c r="B23" s="278" t="s">
        <v>414</v>
      </c>
      <c r="C23" s="279"/>
      <c r="D23" s="279"/>
      <c r="E23" s="279"/>
      <c r="F23" s="280"/>
      <c r="G23" s="281">
        <f>IF(様式４年間開所カレンダー!F380&gt;0,様式４年間開所カレンダー!F380*20000,0)</f>
        <v>1160000</v>
      </c>
    </row>
    <row r="24" spans="2:7">
      <c r="B24" s="278" t="s">
        <v>612</v>
      </c>
      <c r="C24" s="279"/>
      <c r="D24" s="279"/>
      <c r="E24" s="279"/>
      <c r="F24" s="280"/>
      <c r="G24" s="282">
        <f>IF(様式４年間開所カレンダー!F376&gt;0,F384*765000,0)</f>
        <v>0</v>
      </c>
    </row>
    <row r="25" spans="2:7" ht="14.25" thickBot="1">
      <c r="B25" s="278" t="s">
        <v>613</v>
      </c>
      <c r="C25" s="279"/>
      <c r="D25" s="279"/>
      <c r="E25" s="279"/>
      <c r="F25" s="280"/>
      <c r="G25" s="284">
        <f>IF(様式４年間開所カレンダー!F376&gt;0,様式４年間開所カレンダー!F376*345000,0)</f>
        <v>0</v>
      </c>
    </row>
    <row r="26" spans="2:7" ht="14.25" thickBot="1">
      <c r="B26" s="278"/>
      <c r="C26" s="279"/>
      <c r="D26" s="279"/>
      <c r="E26" s="279"/>
      <c r="F26" s="285" t="s">
        <v>556</v>
      </c>
      <c r="G26" s="295">
        <f>G11-SUM(G12:G25)</f>
        <v>4464400</v>
      </c>
    </row>
    <row r="27" spans="2:7" ht="15" thickTop="1" thickBot="1">
      <c r="F27" s="294" t="s">
        <v>447</v>
      </c>
      <c r="G27" s="360">
        <f>MIN(G26,3158000)</f>
        <v>3158000</v>
      </c>
    </row>
    <row r="28" spans="2:7" ht="14.25" thickTop="1"/>
  </sheetData>
  <mergeCells count="1">
    <mergeCell ref="F10:G10"/>
  </mergeCells>
  <phoneticPr fontId="1"/>
  <pageMargins left="0.7" right="0.7" top="0.75" bottom="0.75" header="0.3" footer="0.3"/>
  <pageSetup paperSize="9" scale="9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チェックシート１</vt:lpstr>
      <vt:lpstr>チェックシート２</vt:lpstr>
      <vt:lpstr>様式１（放課後児童名簿・利用料割引者名簿）</vt:lpstr>
      <vt:lpstr>様式２（クラブ児童数等報告書）</vt:lpstr>
      <vt:lpstr>様式３職員名簿および各種加算等一覧</vt:lpstr>
      <vt:lpstr>様式４年間開所カレンダー</vt:lpstr>
      <vt:lpstr>様式５（請求書）</vt:lpstr>
      <vt:lpstr>様式６（事業計画変更申請書）</vt:lpstr>
      <vt:lpstr>●常勤処遇改善の可能額</vt:lpstr>
      <vt:lpstr>●確認シート</vt:lpstr>
      <vt:lpstr>別紙様式２　事業実績報告書</vt:lpstr>
      <vt:lpstr>別紙様式２別添１　賃金改善内訳 </vt:lpstr>
      <vt:lpstr>参考</vt:lpstr>
      <vt:lpstr>チェックシート３ </vt:lpstr>
      <vt:lpstr>様式７（実績報告書）</vt:lpstr>
      <vt:lpstr>様式８（事業実績内訳書）</vt:lpstr>
      <vt:lpstr>様式９（決算書）</vt:lpstr>
      <vt:lpstr>様式10現在高報告書（実績報告）</vt:lpstr>
      <vt:lpstr>補助金算出シート（手書き用）</vt:lpstr>
      <vt:lpstr>●確認シート!Print_Area</vt:lpstr>
      <vt:lpstr>●常勤処遇改善の可能額!Print_Area</vt:lpstr>
      <vt:lpstr>チェックシート１!Print_Area</vt:lpstr>
      <vt:lpstr>チェックシート２!Print_Area</vt:lpstr>
      <vt:lpstr>'別紙様式２　事業実績報告書'!Print_Area</vt:lpstr>
      <vt:lpstr>'別紙様式２別添１　賃金改善内訳 '!Print_Area</vt:lpstr>
      <vt:lpstr>'様式１（放課後児童名簿・利用料割引者名簿）'!Print_Area</vt:lpstr>
      <vt:lpstr>'様式10現在高報告書（実績報告）'!Print_Area</vt:lpstr>
      <vt:lpstr>'様式２（クラブ児童数等報告書）'!Print_Area</vt:lpstr>
      <vt:lpstr>様式３職員名簿および各種加算等一覧!Print_Area</vt:lpstr>
      <vt:lpstr>様式４年間開所カレンダー!Print_Area</vt:lpstr>
      <vt:lpstr>'様式５（請求書）'!Print_Area</vt:lpstr>
      <vt:lpstr>'様式６（事業計画変更申請書）'!Print_Area</vt:lpstr>
      <vt:lpstr>'様式７（実績報告書）'!Print_Area</vt:lpstr>
      <vt:lpstr>'様式８（事業実績内訳書）'!Print_Area</vt:lpstr>
      <vt:lpstr>'様式９（決算書）'!Print_Area</vt:lpstr>
      <vt:lpstr>'別紙様式２別添１　賃金改善内訳 '!Print_Titles</vt:lpstr>
      <vt:lpstr>'様式１（放課後児童名簿・利用料割引者名簿）'!Print_Titles</vt:lpstr>
      <vt:lpstr>様式４年間開所カレンダー!Print_Titles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恒介</dc:creator>
  <cp:lastModifiedBy>横須賀市</cp:lastModifiedBy>
  <cp:lastPrinted>2024-02-22T08:58:24Z</cp:lastPrinted>
  <dcterms:created xsi:type="dcterms:W3CDTF">2006-09-13T11:12:02Z</dcterms:created>
  <dcterms:modified xsi:type="dcterms:W3CDTF">2024-02-26T23:45:17Z</dcterms:modified>
</cp:coreProperties>
</file>