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jack\v3_fsroot\FS\子育て支援課共有\幼保施設＞子育支援\05_保育所（給付）関係\02_処遇改善等加算関係\R08\★R8様式　京都市改造\"/>
    </mc:Choice>
  </mc:AlternateContent>
  <xr:revisionPtr revIDLastSave="0" documentId="13_ncr:1_{8F5C4C47-EEDE-4BC1-8DFD-22B190E10C70}" xr6:coauthVersionLast="47" xr6:coauthVersionMax="47" xr10:uidLastSave="{00000000-0000-0000-0000-000000000000}"/>
  <bookViews>
    <workbookView xWindow="690" yWindow="840" windowWidth="14730" windowHeight="14985" tabRatio="979" xr2:uid="{6A5CD568-D842-425B-9861-997982E8BD12}"/>
  </bookViews>
  <sheets>
    <sheet name="0_基本情報" sheetId="15" r:id="rId1"/>
    <sheet name="1-1_児童数計算表" sheetId="11" r:id="rId2"/>
    <sheet name="1-2_児童数計算表_分園1" sheetId="12" r:id="rId3"/>
    <sheet name="1-2_児童数計算表_分園2" sheetId="25" r:id="rId4"/>
    <sheet name="2_区分12加算額計算表" sheetId="2" r:id="rId5"/>
    <sheet name="3_区分3計算表" sheetId="13" r:id="rId6"/>
    <sheet name="処遇改善等加算に係る経験年数算定表" sheetId="26" r:id="rId7"/>
    <sheet name="【参考】計算結果" sheetId="14" r:id="rId8"/>
    <sheet name="様式1" sheetId="17" r:id="rId9"/>
    <sheet name="様式2" sheetId="18" r:id="rId10"/>
    <sheet name="様式3" sheetId="19" r:id="rId11"/>
    <sheet name="様式4" sheetId="20" r:id="rId12"/>
    <sheet name="様式4別添1" sheetId="21" r:id="rId13"/>
    <sheet name="様式4別添2" sheetId="22" r:id="rId14"/>
    <sheet name="様式5" sheetId="23" r:id="rId15"/>
    <sheet name="様式7" sheetId="24" r:id="rId16"/>
    <sheet name="計算_区分12_1号" sheetId="10" r:id="rId17"/>
    <sheet name="計算_区分12_23号" sheetId="5" r:id="rId18"/>
    <sheet name="認こ1号単価" sheetId="9" r:id="rId19"/>
    <sheet name="認こ23号単価" sheetId="7" r:id="rId20"/>
    <sheet name="【リスト】 (2)" sheetId="16" r:id="rId21"/>
    <sheet name="【リスト】" sheetId="3" r:id="rId22"/>
  </sheets>
  <externalReferences>
    <externalReference r:id="rId23"/>
    <externalReference r:id="rId24"/>
    <externalReference r:id="rId25"/>
    <externalReference r:id="rId26"/>
  </externalReferences>
  <definedNames>
    <definedName name="_Fill" localSheetId="6" hidden="1">#REF!</definedName>
    <definedName name="_Fill" hidden="1">#REF!</definedName>
    <definedName name="_Key1" localSheetId="6" hidden="1">#REF!</definedName>
    <definedName name="_Key1" hidden="1">#REF!</definedName>
    <definedName name="_Order1" hidden="1">255</definedName>
    <definedName name="_Qr228" localSheetId="6">#REF!</definedName>
    <definedName name="_Qr228">#REF!</definedName>
    <definedName name="_Sort" localSheetId="6" hidden="1">#REF!</definedName>
    <definedName name="_Sort" hidden="1">#REF!</definedName>
    <definedName name="aaaa" localSheetId="6">#REF!</definedName>
    <definedName name="aaaa">#REF!</definedName>
    <definedName name="FAS" localSheetId="6" hidden="1">#REF!</definedName>
    <definedName name="FAS" localSheetId="18" hidden="1">#REF!</definedName>
    <definedName name="FAS" hidden="1">#REF!</definedName>
    <definedName name="_xlnm.Print_Area" localSheetId="7">【参考】計算結果!$A$1:$J$35</definedName>
    <definedName name="_xlnm.Print_Area" localSheetId="0">'0_基本情報'!$A$1:$I$46</definedName>
    <definedName name="_xlnm.Print_Area" localSheetId="1">'1-1_児童数計算表'!$A$1:$Q$59</definedName>
    <definedName name="_xlnm.Print_Area" localSheetId="2">'1-2_児童数計算表_分園1'!$A$1:$Q$59</definedName>
    <definedName name="_xlnm.Print_Area" localSheetId="3">'1-2_児童数計算表_分園2'!$A$1:$Q$59</definedName>
    <definedName name="_xlnm.Print_Area" localSheetId="4">'2_区分12加算額計算表'!$A$1:$M$63</definedName>
    <definedName name="_xlnm.Print_Area" localSheetId="5">'3_区分3計算表'!$A$1:$Q$60</definedName>
    <definedName name="_xlnm.Print_Area" localSheetId="6">処遇改善等加算に係る経験年数算定表!$A$1:$AW$108</definedName>
    <definedName name="_xlnm.Print_Area" localSheetId="8">様式1!$A$1:$AL$54</definedName>
    <definedName name="_xlnm.Print_Area" localSheetId="9">様式2!$A$1:$AI$28</definedName>
    <definedName name="_xlnm.Print_Area" localSheetId="10">様式3!$A$1:$AJ$110</definedName>
    <definedName name="_xlnm.Print_Area" localSheetId="11">様式4!$A$1:$AO$46</definedName>
    <definedName name="_xlnm.Print_Area" localSheetId="12">様式4別添1!$A$1:$AI$75</definedName>
    <definedName name="_xlnm.Print_Area" localSheetId="13">様式4別添2!$A$1:$F$20</definedName>
    <definedName name="_xlnm.Print_Area" localSheetId="14">様式5!$A$1:$AB$23</definedName>
    <definedName name="_xlnm.Print_Area" localSheetId="15">様式7!$A$1:$AL$29</definedName>
    <definedName name="_xlnm.Print_Titles" localSheetId="12">様式4別添1!$3:$10</definedName>
    <definedName name="っっｗ" localSheetId="6">#REF!,#REF!,#REF!,#REF!</definedName>
    <definedName name="っっｗ">#REF!,#REF!,#REF!,#REF!</definedName>
    <definedName name="加算率a" localSheetId="6">'[1]2_区分12加算額計算表'!$F$37</definedName>
    <definedName name="加算率a">'2_区分12加算額計算表'!$F$53</definedName>
    <definedName name="加算率b" localSheetId="6">'[1]2_区分12加算額計算表'!$F$38</definedName>
    <definedName name="加算率b">'2_区分12加算額計算表'!$F$54</definedName>
    <definedName name="実施月数" localSheetId="6">'[1]2_区分12加算額計算表'!$C$41</definedName>
    <definedName name="実施月数">'2_区分12加算額計算表'!$C$57</definedName>
    <definedName name="第7号様式" localSheetId="6">#REF!</definedName>
    <definedName name="第7号様式">#REF!</definedName>
    <definedName name="定員" localSheetId="6">#REF!</definedName>
    <definedName name="定員">#REF!</definedName>
    <definedName name="定員Ⅱ" localSheetId="6">#REF!</definedName>
    <definedName name="定員Ⅱ">#REF!</definedName>
    <definedName name="入力欄②００１">'[2]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②０１">'[3]様式②－１'!$F$4,'[3]様式②－１'!$B$5,'[3]様式②－１'!$W$4:$X$7,'[3]様式②－１'!$Z$5:$AL$7,'[3]様式②－１'!$G$11:$AG$13,'[3]様式②－１'!$F$16,'[3]様式②－１'!$AC$16:$AL$18,'[3]様式②－１'!$B$21:$AL$42,'[3]様式②－１'!$E$45:$G$47,'[3]様式②－１'!$K$45:$M$47,'[3]様式②－１'!$Q$46,'[3]様式②－１'!$AI$44,'[3]様式②－１'!$AB$46,'[3]様式②－１'!$I$49:$AL$50,'[3]様式②－１'!$E$55:$AL$55,'[3]様式②－１'!$E$60:$AL$60,'[3]様式②－１'!$E$62,'[3]様式②－１'!$E$65,'[3]様式②－１'!$T$65,'[3]様式②－１'!$F$68,'[3]様式②－１'!$E$70,'[3]様式②－１'!$AH$68:$AJ$70</definedName>
    <definedName name="入力欄②１" localSheetId="6">#REF!,#REF!,#REF!,#REF!,#REF!,#REF!,#REF!,#REF!,#REF!,#REF!,#REF!,#REF!,#REF!,#REF!,#REF!,#REF!,#REF!,#REF!,#REF!,#REF!,#REF!,#REF!</definedName>
    <definedName name="入力欄②１">#REF!,#REF!,#REF!,#REF!,#REF!,#REF!,#REF!,#REF!,#REF!,#REF!,#REF!,#REF!,#REF!,#REF!,#REF!,#REF!,#REF!,#REF!,#REF!,#REF!,#REF!,#REF!</definedName>
    <definedName name="入力欄②Ａ">'[2]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③０１">[3]様式③歳出!$AG$3,[3]様式③歳出!$AK$3,[3]様式③歳出!$B$6:$AL$64,[3]様式③歳出!$G$65,[3]様式③歳出!$Q$65,[3]様式③歳出!#REF!,[3]様式③歳出!#REF!,[3]様式③歳出!#REF!,[3]様式③歳出!#REF!,[3]様式③歳出!#REF!,[3]様式③歳出!#REF!,[3]様式③歳出!#REF!,[3]様式③歳出!#REF!,[3]様式③歳出!#REF!</definedName>
    <definedName name="入力欄③０２">'[3]様式③ 歳入'!$AG$3,'[3]様式③ 歳入'!$AK$3,'[3]様式③ 歳入'!$B$6:$AL$64,'[3]様式③ 歳入'!$G$65:$Z$65</definedName>
    <definedName name="入力欄③１">[4]様式③歳出!$AG$3,[4]様式③歳出!$AK$3,[4]様式③歳出!$B$6:$AL$64,[4]様式③歳出!$G$65,[4]様式③歳出!$Q$65,[4]様式③歳出!#REF!,[4]様式③歳出!#REF!,[4]様式③歳出!#REF!,[4]様式③歳出!#REF!,[4]様式③歳出!#REF!,[4]様式③歳出!#REF!,[4]様式③歳出!#REF!,[4]様式③歳出!#REF!,[4]様式③歳出!#REF!</definedName>
    <definedName name="入力欄③２">'[4]様式③ 歳入'!$AG$3,'[4]様式③ 歳入'!$AK$3,'[4]様式③ 歳入'!$B$6:$AL$64,'[4]様式③ 歳入'!$G$65:$Z$65</definedName>
    <definedName name="入力欄③Ａ">[2]様式③歳出!$AG$3,[2]様式③歳出!$AK$3,[2]様式③歳出!$B$6:$AL$64,[2]様式③歳出!$G$65,[2]様式③歳出!$Q$65,[2]様式③歳出!#REF!,[2]様式③歳出!#REF!,[2]様式③歳出!#REF!,[2]様式③歳出!#REF!,[2]様式③歳出!#REF!,[2]様式③歳出!#REF!,[2]様式③歳出!#REF!,[2]様式③歳出!#REF!,[2]様式③歳出!#REF!</definedName>
    <definedName name="入力欄③Ｂ">'[2]様式③ 歳入'!$AG$3,'[2]様式③ 歳入'!$AK$3,'[2]様式③ 歳入'!$B$6:$AL$64,'[2]様式③ 歳入'!$G$65:$Z$65</definedName>
    <definedName name="保育所別民改費担当者一覧" localSheetId="6">#REF!</definedName>
    <definedName name="保育所別民改費担当者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24" i="20" l="1"/>
  <c r="Y17" i="20"/>
  <c r="Y30" i="20"/>
  <c r="Y20" i="20"/>
  <c r="AF61" i="21"/>
  <c r="AB61" i="21"/>
  <c r="P61" i="21"/>
  <c r="F10" i="13" l="1"/>
  <c r="H34" i="13" s="1"/>
  <c r="J10" i="13"/>
  <c r="N10" i="13"/>
  <c r="P34" i="13"/>
  <c r="P33" i="13"/>
  <c r="L34" i="13"/>
  <c r="N7" i="13"/>
  <c r="AW9" i="26"/>
  <c r="AW10" i="26"/>
  <c r="AW11" i="26"/>
  <c r="AW12" i="26"/>
  <c r="AW13" i="26"/>
  <c r="AW14" i="26"/>
  <c r="AW15" i="26"/>
  <c r="AW16" i="26"/>
  <c r="AW17" i="26"/>
  <c r="AW18" i="26"/>
  <c r="AW19" i="26"/>
  <c r="AW20" i="26"/>
  <c r="AW21" i="26"/>
  <c r="AW22" i="26"/>
  <c r="AW23" i="26"/>
  <c r="AW24" i="26"/>
  <c r="AW25" i="26"/>
  <c r="AW26" i="26"/>
  <c r="AW27" i="26"/>
  <c r="AW28" i="26"/>
  <c r="AW29" i="26"/>
  <c r="AW30" i="26"/>
  <c r="AW31" i="26"/>
  <c r="AW32" i="26"/>
  <c r="AW33" i="26"/>
  <c r="AW34" i="26"/>
  <c r="AW35" i="26"/>
  <c r="AW36" i="26"/>
  <c r="AW37" i="26"/>
  <c r="AW38" i="26"/>
  <c r="AW39" i="26"/>
  <c r="AW40" i="26"/>
  <c r="AW41" i="26"/>
  <c r="AW42" i="26"/>
  <c r="AW43" i="26"/>
  <c r="AW44" i="26"/>
  <c r="AW45" i="26"/>
  <c r="AW46" i="26"/>
  <c r="AW47" i="26"/>
  <c r="AW48" i="26"/>
  <c r="AW49" i="26"/>
  <c r="AW50" i="26"/>
  <c r="AW51" i="26"/>
  <c r="AW52" i="26"/>
  <c r="AW53" i="26"/>
  <c r="AW54" i="26"/>
  <c r="AW55" i="26"/>
  <c r="AW56" i="26"/>
  <c r="AW57" i="26"/>
  <c r="AW58" i="26"/>
  <c r="AW59" i="26"/>
  <c r="AW60" i="26"/>
  <c r="AW61" i="26"/>
  <c r="AW62" i="26"/>
  <c r="AW63" i="26"/>
  <c r="AW64" i="26"/>
  <c r="AW65" i="26"/>
  <c r="AW66" i="26"/>
  <c r="AW67" i="26"/>
  <c r="AW68" i="26"/>
  <c r="AW69" i="26"/>
  <c r="AW70" i="26"/>
  <c r="AW71" i="26"/>
  <c r="AW72" i="26"/>
  <c r="AW73" i="26"/>
  <c r="AW74" i="26"/>
  <c r="AW75" i="26"/>
  <c r="AW76" i="26"/>
  <c r="AW77" i="26"/>
  <c r="AW78" i="26"/>
  <c r="AW79" i="26"/>
  <c r="AW80" i="26"/>
  <c r="AW81" i="26"/>
  <c r="AW82" i="26"/>
  <c r="AW83" i="26"/>
  <c r="AW84" i="26"/>
  <c r="AW85" i="26"/>
  <c r="AW86" i="26"/>
  <c r="AW87" i="26"/>
  <c r="AS9" i="26"/>
  <c r="AT9" i="26" s="1"/>
  <c r="AS10" i="26"/>
  <c r="AT10" i="26"/>
  <c r="AS11" i="26"/>
  <c r="AT11" i="26" s="1"/>
  <c r="AS12" i="26"/>
  <c r="AT12" i="26"/>
  <c r="AS13" i="26"/>
  <c r="AT13" i="26" s="1"/>
  <c r="AS14" i="26"/>
  <c r="AT14" i="26"/>
  <c r="AS15" i="26"/>
  <c r="AT15" i="26" s="1"/>
  <c r="AS16" i="26"/>
  <c r="AT16" i="26"/>
  <c r="AS17" i="26"/>
  <c r="AT17" i="26" s="1"/>
  <c r="AS18" i="26"/>
  <c r="AT18" i="26"/>
  <c r="AS19" i="26"/>
  <c r="AT19" i="26" s="1"/>
  <c r="AS20" i="26"/>
  <c r="AT20" i="26"/>
  <c r="AS21" i="26"/>
  <c r="AT21" i="26" s="1"/>
  <c r="AS22" i="26"/>
  <c r="AT22" i="26"/>
  <c r="AS23" i="26"/>
  <c r="AT23" i="26" s="1"/>
  <c r="AS24" i="26"/>
  <c r="AT24" i="26"/>
  <c r="AS25" i="26"/>
  <c r="AT25" i="26" s="1"/>
  <c r="AS26" i="26"/>
  <c r="AT26" i="26"/>
  <c r="AS27" i="26"/>
  <c r="AT27" i="26" s="1"/>
  <c r="AS28" i="26"/>
  <c r="AT28" i="26"/>
  <c r="AS29" i="26"/>
  <c r="AT29" i="26" s="1"/>
  <c r="AS30" i="26"/>
  <c r="AT30" i="26"/>
  <c r="AS31" i="26"/>
  <c r="AT31" i="26" s="1"/>
  <c r="AS32" i="26"/>
  <c r="AT32" i="26"/>
  <c r="AS33" i="26"/>
  <c r="AT33" i="26" s="1"/>
  <c r="AS34" i="26"/>
  <c r="AT34" i="26"/>
  <c r="AS35" i="26"/>
  <c r="AT35" i="26" s="1"/>
  <c r="AS36" i="26"/>
  <c r="AT36" i="26"/>
  <c r="AS37" i="26"/>
  <c r="AT37" i="26" s="1"/>
  <c r="AS38" i="26"/>
  <c r="AT38" i="26"/>
  <c r="AS39" i="26"/>
  <c r="AT39" i="26" s="1"/>
  <c r="AS40" i="26"/>
  <c r="AT40" i="26"/>
  <c r="AS41" i="26"/>
  <c r="AT41" i="26" s="1"/>
  <c r="AS42" i="26"/>
  <c r="AT42" i="26"/>
  <c r="AS43" i="26"/>
  <c r="AT43" i="26" s="1"/>
  <c r="AS44" i="26"/>
  <c r="AT44" i="26"/>
  <c r="AS45" i="26"/>
  <c r="AT45" i="26" s="1"/>
  <c r="AS46" i="26"/>
  <c r="AT46" i="26"/>
  <c r="AS47" i="26"/>
  <c r="AT47" i="26" s="1"/>
  <c r="AS48" i="26"/>
  <c r="AT48" i="26"/>
  <c r="AS49" i="26"/>
  <c r="AT49" i="26" s="1"/>
  <c r="AS50" i="26"/>
  <c r="AT50" i="26"/>
  <c r="AS51" i="26"/>
  <c r="AT51" i="26" s="1"/>
  <c r="AS52" i="26"/>
  <c r="AT52" i="26"/>
  <c r="AS53" i="26"/>
  <c r="AT53" i="26" s="1"/>
  <c r="AS54" i="26"/>
  <c r="AT54" i="26"/>
  <c r="AS55" i="26"/>
  <c r="AT55" i="26" s="1"/>
  <c r="AS56" i="26"/>
  <c r="AT56" i="26"/>
  <c r="AS57" i="26"/>
  <c r="AT57" i="26" s="1"/>
  <c r="AS58" i="26"/>
  <c r="AT58" i="26"/>
  <c r="AS59" i="26"/>
  <c r="AT59" i="26" s="1"/>
  <c r="AS60" i="26"/>
  <c r="AT60" i="26"/>
  <c r="AS61" i="26"/>
  <c r="AT61" i="26" s="1"/>
  <c r="AS62" i="26"/>
  <c r="AT62" i="26"/>
  <c r="AS63" i="26"/>
  <c r="AT63" i="26" s="1"/>
  <c r="AS64" i="26"/>
  <c r="AT64" i="26"/>
  <c r="AS65" i="26"/>
  <c r="AT65" i="26" s="1"/>
  <c r="AS66" i="26"/>
  <c r="AT66" i="26"/>
  <c r="AS67" i="26"/>
  <c r="AT67" i="26" s="1"/>
  <c r="AS68" i="26"/>
  <c r="AT68" i="26"/>
  <c r="AS69" i="26"/>
  <c r="AT69" i="26" s="1"/>
  <c r="AS70" i="26"/>
  <c r="AT70" i="26"/>
  <c r="AS71" i="26"/>
  <c r="AT71" i="26" s="1"/>
  <c r="AS72" i="26"/>
  <c r="AT72" i="26"/>
  <c r="AS73" i="26"/>
  <c r="AT73" i="26" s="1"/>
  <c r="AS74" i="26"/>
  <c r="AT74" i="26"/>
  <c r="AS75" i="26"/>
  <c r="AT75" i="26" s="1"/>
  <c r="AS76" i="26"/>
  <c r="AT76" i="26"/>
  <c r="AS77" i="26"/>
  <c r="AT77" i="26" s="1"/>
  <c r="AU9" i="26"/>
  <c r="AU10" i="26"/>
  <c r="AU11" i="26"/>
  <c r="AU12" i="26"/>
  <c r="AU13" i="26"/>
  <c r="AU14" i="26"/>
  <c r="AU15" i="26"/>
  <c r="AU16" i="26"/>
  <c r="AU17" i="26"/>
  <c r="AU18" i="26"/>
  <c r="AU19" i="26"/>
  <c r="AU20" i="26"/>
  <c r="AU21" i="26"/>
  <c r="AU22" i="26"/>
  <c r="AU23" i="26"/>
  <c r="AU24" i="26"/>
  <c r="AU25" i="26"/>
  <c r="AU26" i="26"/>
  <c r="AU27" i="26"/>
  <c r="AU28" i="26"/>
  <c r="AU29" i="26"/>
  <c r="AU30" i="26"/>
  <c r="AU31" i="26"/>
  <c r="AU32" i="26"/>
  <c r="AU33" i="26"/>
  <c r="AU34" i="26"/>
  <c r="AU35" i="26"/>
  <c r="AU36" i="26"/>
  <c r="AU37" i="26"/>
  <c r="AU38" i="26"/>
  <c r="AU39" i="26"/>
  <c r="AU40" i="26"/>
  <c r="AU41" i="26"/>
  <c r="AU42" i="26"/>
  <c r="AU43" i="26"/>
  <c r="AU44" i="26"/>
  <c r="AU45" i="26"/>
  <c r="AU46" i="26"/>
  <c r="AU47" i="26"/>
  <c r="AU48" i="26"/>
  <c r="AU49" i="26"/>
  <c r="AU50" i="26"/>
  <c r="AU51" i="26"/>
  <c r="AU52" i="26"/>
  <c r="AU53" i="26"/>
  <c r="AU54" i="26"/>
  <c r="AU55" i="26"/>
  <c r="AU56" i="26"/>
  <c r="AU57" i="26"/>
  <c r="AU58" i="26"/>
  <c r="AU59" i="26"/>
  <c r="AU60" i="26"/>
  <c r="AU61" i="26"/>
  <c r="AU62" i="26"/>
  <c r="AU63" i="26"/>
  <c r="AU64" i="26"/>
  <c r="AU65" i="26"/>
  <c r="AU66" i="26"/>
  <c r="AU67" i="26"/>
  <c r="AU68" i="26"/>
  <c r="AU69" i="26"/>
  <c r="AU70" i="26"/>
  <c r="AU71" i="26"/>
  <c r="AU72" i="26"/>
  <c r="AU73" i="26"/>
  <c r="AU74" i="26"/>
  <c r="AU75" i="26"/>
  <c r="AU76" i="26"/>
  <c r="AU77" i="26"/>
  <c r="AU78" i="26"/>
  <c r="AU79" i="26"/>
  <c r="AU80" i="26"/>
  <c r="AU81" i="26"/>
  <c r="AU82" i="26"/>
  <c r="AU83" i="26"/>
  <c r="AU84" i="26"/>
  <c r="AU85" i="26"/>
  <c r="AU86" i="26"/>
  <c r="AU87" i="26"/>
  <c r="J8" i="13" l="1"/>
  <c r="L33" i="13"/>
  <c r="H33" i="13"/>
  <c r="B33" i="15" l="1"/>
  <c r="H38" i="15" s="1"/>
  <c r="V14" i="2"/>
  <c r="F6" i="5"/>
  <c r="G6" i="5"/>
  <c r="J6" i="5"/>
  <c r="K6" i="5"/>
  <c r="N6" i="5"/>
  <c r="O6" i="5"/>
  <c r="R6" i="5"/>
  <c r="S6" i="5"/>
  <c r="V6" i="5"/>
  <c r="W6" i="5"/>
  <c r="Z6" i="5"/>
  <c r="AA6" i="5"/>
  <c r="F10" i="2"/>
  <c r="C50" i="17"/>
  <c r="N9" i="13" l="1"/>
  <c r="F24" i="13" l="1"/>
  <c r="F6" i="24" l="1"/>
  <c r="E6" i="19"/>
  <c r="F6" i="18"/>
  <c r="Z8" i="26"/>
  <c r="AC8" i="26"/>
  <c r="Z9" i="26"/>
  <c r="AC9" i="26"/>
  <c r="Z10" i="26"/>
  <c r="AC10" i="26"/>
  <c r="Z11" i="26"/>
  <c r="AC11" i="26"/>
  <c r="AV11" i="26"/>
  <c r="Z12" i="26"/>
  <c r="AC12" i="26"/>
  <c r="Z13" i="26"/>
  <c r="AC13" i="26"/>
  <c r="Z14" i="26"/>
  <c r="AC14" i="26"/>
  <c r="AV14" i="26"/>
  <c r="Z15" i="26"/>
  <c r="AC15" i="26"/>
  <c r="AV15" i="26"/>
  <c r="Z16" i="26"/>
  <c r="AC16" i="26"/>
  <c r="Z17" i="26"/>
  <c r="AC17" i="26"/>
  <c r="Z18" i="26"/>
  <c r="AC18" i="26"/>
  <c r="Z19" i="26"/>
  <c r="AC19" i="26"/>
  <c r="Z20" i="26"/>
  <c r="AC20" i="26"/>
  <c r="Z21" i="26"/>
  <c r="AC21" i="26"/>
  <c r="Z22" i="26"/>
  <c r="AC22" i="26"/>
  <c r="AV22" i="26"/>
  <c r="Z23" i="26"/>
  <c r="AC23" i="26"/>
  <c r="AV23" i="26"/>
  <c r="Z24" i="26"/>
  <c r="AC24" i="26"/>
  <c r="Z25" i="26"/>
  <c r="AC25" i="26"/>
  <c r="Z26" i="26"/>
  <c r="AC26" i="26"/>
  <c r="Z27" i="26"/>
  <c r="AC27" i="26"/>
  <c r="Z28" i="26"/>
  <c r="AC28" i="26"/>
  <c r="Z29" i="26"/>
  <c r="AC29" i="26"/>
  <c r="Z30" i="26"/>
  <c r="AC30" i="26"/>
  <c r="AV30" i="26"/>
  <c r="Z31" i="26"/>
  <c r="AC31" i="26"/>
  <c r="AV31" i="26"/>
  <c r="Z32" i="26"/>
  <c r="AC32" i="26"/>
  <c r="Z33" i="26"/>
  <c r="AC33" i="26"/>
  <c r="Z34" i="26"/>
  <c r="AC34" i="26"/>
  <c r="Z35" i="26"/>
  <c r="AC35" i="26"/>
  <c r="Z36" i="26"/>
  <c r="AC36" i="26"/>
  <c r="Z37" i="26"/>
  <c r="AC37" i="26"/>
  <c r="Z38" i="26"/>
  <c r="AC38" i="26"/>
  <c r="AV38" i="26"/>
  <c r="Z39" i="26"/>
  <c r="AC39" i="26"/>
  <c r="AV39" i="26"/>
  <c r="Z40" i="26"/>
  <c r="AC40" i="26"/>
  <c r="Z41" i="26"/>
  <c r="AC41" i="26"/>
  <c r="Z42" i="26"/>
  <c r="AC42" i="26"/>
  <c r="Z43" i="26"/>
  <c r="AC43" i="26"/>
  <c r="Z44" i="26"/>
  <c r="AC44" i="26"/>
  <c r="Z45" i="26"/>
  <c r="AC45" i="26"/>
  <c r="Z46" i="26"/>
  <c r="AC46" i="26"/>
  <c r="AV46" i="26"/>
  <c r="Z47" i="26"/>
  <c r="AC47" i="26"/>
  <c r="AV47" i="26"/>
  <c r="Z48" i="26"/>
  <c r="AC48" i="26"/>
  <c r="Z49" i="26"/>
  <c r="AC49" i="26"/>
  <c r="Z50" i="26"/>
  <c r="AC50" i="26"/>
  <c r="Z51" i="26"/>
  <c r="AC51" i="26"/>
  <c r="Z52" i="26"/>
  <c r="AC52" i="26"/>
  <c r="Z53" i="26"/>
  <c r="AC53" i="26"/>
  <c r="Z54" i="26"/>
  <c r="AC54" i="26"/>
  <c r="AV54" i="26"/>
  <c r="Z55" i="26"/>
  <c r="AC55" i="26"/>
  <c r="AV55" i="26"/>
  <c r="Z56" i="26"/>
  <c r="AC56" i="26"/>
  <c r="Z57" i="26"/>
  <c r="AC57" i="26"/>
  <c r="Z58" i="26"/>
  <c r="AC58" i="26"/>
  <c r="Z59" i="26"/>
  <c r="AC59" i="26"/>
  <c r="Z60" i="26"/>
  <c r="AC60" i="26"/>
  <c r="Z61" i="26"/>
  <c r="AC61" i="26"/>
  <c r="Z62" i="26"/>
  <c r="AC62" i="26"/>
  <c r="AV62" i="26"/>
  <c r="Z63" i="26"/>
  <c r="AC63" i="26"/>
  <c r="AV63" i="26"/>
  <c r="Z64" i="26"/>
  <c r="AC64" i="26"/>
  <c r="Z65" i="26"/>
  <c r="AC65" i="26"/>
  <c r="Z66" i="26"/>
  <c r="AC66" i="26"/>
  <c r="Z67" i="26"/>
  <c r="AC67" i="26"/>
  <c r="Z68" i="26"/>
  <c r="AC68" i="26"/>
  <c r="Z69" i="26"/>
  <c r="AC69" i="26"/>
  <c r="Z70" i="26"/>
  <c r="AC70" i="26"/>
  <c r="AV70" i="26"/>
  <c r="Z71" i="26"/>
  <c r="AC71" i="26"/>
  <c r="AV71" i="26"/>
  <c r="Z72" i="26"/>
  <c r="AC72" i="26"/>
  <c r="Z73" i="26"/>
  <c r="AC73" i="26"/>
  <c r="Z74" i="26"/>
  <c r="AC74" i="26"/>
  <c r="Z75" i="26"/>
  <c r="AC75" i="26"/>
  <c r="Z76" i="26"/>
  <c r="AC76" i="26"/>
  <c r="Z77" i="26"/>
  <c r="AC77" i="26"/>
  <c r="Z78" i="26"/>
  <c r="AC78" i="26"/>
  <c r="Z79" i="26"/>
  <c r="AC79" i="26"/>
  <c r="Z80" i="26"/>
  <c r="AC80" i="26"/>
  <c r="Z81" i="26"/>
  <c r="AC81" i="26"/>
  <c r="Z82" i="26"/>
  <c r="AC82" i="26"/>
  <c r="Z83" i="26"/>
  <c r="AC83" i="26"/>
  <c r="Z84" i="26"/>
  <c r="AC84" i="26"/>
  <c r="Z85" i="26"/>
  <c r="AC85" i="26"/>
  <c r="Z86" i="26"/>
  <c r="AC86" i="26"/>
  <c r="Z87" i="26"/>
  <c r="AC87" i="26"/>
  <c r="I89" i="26"/>
  <c r="AU8" i="26" l="1"/>
  <c r="AU88" i="26" s="1"/>
  <c r="L103" i="26" s="1"/>
  <c r="AS8" i="26"/>
  <c r="AC89" i="26"/>
  <c r="AV66" i="26"/>
  <c r="AV58" i="26"/>
  <c r="AV50" i="26"/>
  <c r="AV42" i="26"/>
  <c r="AV34" i="26"/>
  <c r="AV26" i="26"/>
  <c r="AV18" i="26"/>
  <c r="AV10" i="26"/>
  <c r="AV74" i="26"/>
  <c r="AV75" i="26"/>
  <c r="AV67" i="26"/>
  <c r="AV59" i="26"/>
  <c r="AV51" i="26"/>
  <c r="AV43" i="26"/>
  <c r="AV35" i="26"/>
  <c r="AV27" i="26"/>
  <c r="AV19" i="26"/>
  <c r="AV76" i="26"/>
  <c r="AV72" i="26"/>
  <c r="AV68" i="26"/>
  <c r="AV64" i="26"/>
  <c r="AV60" i="26"/>
  <c r="AV56" i="26"/>
  <c r="AV52" i="26"/>
  <c r="AV48" i="26"/>
  <c r="AV44" i="26"/>
  <c r="AV40" i="26"/>
  <c r="AV36" i="26"/>
  <c r="AV32" i="26"/>
  <c r="AV28" i="26"/>
  <c r="AV24" i="26"/>
  <c r="AV20" i="26"/>
  <c r="AV16" i="26"/>
  <c r="AV12" i="26"/>
  <c r="AV8" i="26"/>
  <c r="Z89" i="26"/>
  <c r="AF90" i="26" s="1"/>
  <c r="E4" i="2" s="1"/>
  <c r="AV77" i="26"/>
  <c r="AV73" i="26"/>
  <c r="AV69" i="26"/>
  <c r="AV65" i="26"/>
  <c r="AV61" i="26"/>
  <c r="AV57" i="26"/>
  <c r="AV53" i="26"/>
  <c r="AV49" i="26"/>
  <c r="AV45" i="26"/>
  <c r="AV41" i="26"/>
  <c r="AV37" i="26"/>
  <c r="AV33" i="26"/>
  <c r="AV29" i="26"/>
  <c r="AV25" i="26"/>
  <c r="AV21" i="26"/>
  <c r="AV17" i="26"/>
  <c r="AV13" i="26"/>
  <c r="AV9" i="26"/>
  <c r="AT8" i="26" l="1"/>
  <c r="AS88" i="26"/>
  <c r="I54" i="13" s="1"/>
  <c r="F54" i="2"/>
  <c r="AU90" i="26"/>
  <c r="AV88" i="26"/>
  <c r="L106" i="26" s="1"/>
  <c r="AA107" i="19" s="1"/>
  <c r="E25" i="13"/>
  <c r="G24" i="13" s="1"/>
  <c r="AT88" i="26" l="1"/>
  <c r="I55" i="13" s="1"/>
  <c r="AW8" i="26"/>
  <c r="D27" i="14"/>
  <c r="N11" i="13"/>
  <c r="N8" i="13"/>
  <c r="M48" i="13"/>
  <c r="AC23" i="13"/>
  <c r="AC22" i="13"/>
  <c r="AC21" i="13"/>
  <c r="AC20" i="13"/>
  <c r="AC19" i="13"/>
  <c r="AC18" i="13"/>
  <c r="AC13" i="13"/>
  <c r="AC12" i="13"/>
  <c r="AC11" i="13"/>
  <c r="AC10" i="13"/>
  <c r="AC9" i="13"/>
  <c r="AC8" i="13"/>
  <c r="M28" i="2"/>
  <c r="L28" i="2"/>
  <c r="V30" i="2"/>
  <c r="V29" i="2"/>
  <c r="V28" i="2"/>
  <c r="V27" i="2"/>
  <c r="V26" i="2"/>
  <c r="V25" i="2"/>
  <c r="V24" i="2"/>
  <c r="V20" i="2"/>
  <c r="V19" i="2"/>
  <c r="V18" i="2"/>
  <c r="V17" i="2"/>
  <c r="V16" i="2"/>
  <c r="V15" i="2"/>
  <c r="I10" i="2"/>
  <c r="J9" i="2" s="1"/>
  <c r="I9" i="2"/>
  <c r="E10" i="2"/>
  <c r="D10" i="2"/>
  <c r="I6" i="2" s="1"/>
  <c r="I55" i="25"/>
  <c r="J55" i="25"/>
  <c r="K55" i="25"/>
  <c r="L55" i="25"/>
  <c r="M55" i="25"/>
  <c r="N55" i="25"/>
  <c r="O55" i="25"/>
  <c r="P55" i="25"/>
  <c r="I39" i="25"/>
  <c r="J39" i="25"/>
  <c r="K39" i="25"/>
  <c r="L39" i="25"/>
  <c r="M39" i="25"/>
  <c r="N39" i="25"/>
  <c r="O39" i="25"/>
  <c r="P39" i="25"/>
  <c r="I26" i="25"/>
  <c r="J26" i="25"/>
  <c r="K26" i="25"/>
  <c r="L26" i="25"/>
  <c r="M26" i="25"/>
  <c r="N26" i="25"/>
  <c r="O26" i="25"/>
  <c r="P26" i="25"/>
  <c r="P55" i="12"/>
  <c r="I55" i="12"/>
  <c r="J55" i="12"/>
  <c r="K55" i="12"/>
  <c r="L55" i="12"/>
  <c r="M55" i="12"/>
  <c r="N55" i="12"/>
  <c r="O55" i="12"/>
  <c r="I39" i="12"/>
  <c r="J39" i="12"/>
  <c r="K39" i="12"/>
  <c r="L39" i="12"/>
  <c r="M39" i="12"/>
  <c r="N39" i="12"/>
  <c r="O39" i="12"/>
  <c r="P39" i="12"/>
  <c r="I26" i="12"/>
  <c r="J26" i="12"/>
  <c r="K26" i="12"/>
  <c r="L26" i="12"/>
  <c r="M26" i="12"/>
  <c r="N26" i="12"/>
  <c r="O26" i="12"/>
  <c r="P26" i="12"/>
  <c r="F55" i="25"/>
  <c r="H54" i="25"/>
  <c r="G54" i="25"/>
  <c r="F54" i="25"/>
  <c r="E54" i="25"/>
  <c r="Q54" i="25" s="1"/>
  <c r="B54" i="25"/>
  <c r="Q53" i="25"/>
  <c r="H53" i="25"/>
  <c r="G53" i="25"/>
  <c r="F53" i="25"/>
  <c r="E53" i="25"/>
  <c r="B53" i="25"/>
  <c r="H52" i="25"/>
  <c r="G52" i="25"/>
  <c r="F52" i="25"/>
  <c r="E52" i="25"/>
  <c r="Q52" i="25" s="1"/>
  <c r="B52" i="25"/>
  <c r="H51" i="25"/>
  <c r="G51" i="25"/>
  <c r="F51" i="25"/>
  <c r="E51" i="25"/>
  <c r="Q51" i="25" s="1"/>
  <c r="C51" i="25"/>
  <c r="H50" i="25"/>
  <c r="G50" i="25"/>
  <c r="F50" i="25"/>
  <c r="E50" i="25"/>
  <c r="Q50" i="25" s="1"/>
  <c r="B50" i="25"/>
  <c r="H49" i="25"/>
  <c r="G49" i="25"/>
  <c r="F49" i="25"/>
  <c r="E49" i="25"/>
  <c r="Q49" i="25" s="1"/>
  <c r="B49" i="25"/>
  <c r="H48" i="25"/>
  <c r="H55" i="25" s="1"/>
  <c r="G48" i="25"/>
  <c r="G55" i="25" s="1"/>
  <c r="F48" i="25"/>
  <c r="E48" i="25"/>
  <c r="E55" i="25" s="1"/>
  <c r="B48" i="25"/>
  <c r="H39" i="25"/>
  <c r="G39" i="25"/>
  <c r="F39" i="25"/>
  <c r="E39" i="25"/>
  <c r="N38" i="25"/>
  <c r="J38" i="25"/>
  <c r="B38" i="25"/>
  <c r="B37" i="25"/>
  <c r="N36" i="25"/>
  <c r="J36" i="25"/>
  <c r="B36" i="25"/>
  <c r="C35" i="25"/>
  <c r="N34" i="25"/>
  <c r="J34" i="25"/>
  <c r="B34" i="25"/>
  <c r="B33" i="25"/>
  <c r="N32" i="25"/>
  <c r="J32" i="25"/>
  <c r="B32" i="25"/>
  <c r="H26" i="25"/>
  <c r="G26" i="25"/>
  <c r="F26" i="25"/>
  <c r="E26" i="25"/>
  <c r="P25" i="25"/>
  <c r="P38" i="25" s="1"/>
  <c r="O25" i="25"/>
  <c r="O38" i="25" s="1"/>
  <c r="N25" i="25"/>
  <c r="M25" i="25"/>
  <c r="M38" i="25" s="1"/>
  <c r="L25" i="25"/>
  <c r="L38" i="25" s="1"/>
  <c r="K25" i="25"/>
  <c r="K38" i="25" s="1"/>
  <c r="J25" i="25"/>
  <c r="I25" i="25"/>
  <c r="I38" i="25" s="1"/>
  <c r="H25" i="25"/>
  <c r="G25" i="25"/>
  <c r="F25" i="25"/>
  <c r="Q24" i="25"/>
  <c r="P23" i="25"/>
  <c r="P37" i="25" s="1"/>
  <c r="O23" i="25"/>
  <c r="O37" i="25" s="1"/>
  <c r="N23" i="25"/>
  <c r="N37" i="25" s="1"/>
  <c r="M23" i="25"/>
  <c r="M37" i="25" s="1"/>
  <c r="L23" i="25"/>
  <c r="L37" i="25" s="1"/>
  <c r="K23" i="25"/>
  <c r="K37" i="25" s="1"/>
  <c r="J23" i="25"/>
  <c r="J37" i="25" s="1"/>
  <c r="I23" i="25"/>
  <c r="I37" i="25" s="1"/>
  <c r="Q37" i="25" s="1"/>
  <c r="H23" i="25"/>
  <c r="G23" i="25"/>
  <c r="F23" i="25"/>
  <c r="Q22" i="25"/>
  <c r="P21" i="25"/>
  <c r="P36" i="25" s="1"/>
  <c r="O21" i="25"/>
  <c r="O36" i="25" s="1"/>
  <c r="N21" i="25"/>
  <c r="M21" i="25"/>
  <c r="M36" i="25" s="1"/>
  <c r="L21" i="25"/>
  <c r="L36" i="25" s="1"/>
  <c r="K21" i="25"/>
  <c r="K36" i="25" s="1"/>
  <c r="J21" i="25"/>
  <c r="I21" i="25"/>
  <c r="I36" i="25" s="1"/>
  <c r="Q36" i="25" s="1"/>
  <c r="H21" i="25"/>
  <c r="G21" i="25"/>
  <c r="F21" i="25"/>
  <c r="Q20" i="25"/>
  <c r="P19" i="25"/>
  <c r="P35" i="25" s="1"/>
  <c r="O19" i="25"/>
  <c r="O35" i="25" s="1"/>
  <c r="N19" i="25"/>
  <c r="N35" i="25" s="1"/>
  <c r="M19" i="25"/>
  <c r="M35" i="25" s="1"/>
  <c r="L19" i="25"/>
  <c r="L35" i="25" s="1"/>
  <c r="K19" i="25"/>
  <c r="K35" i="25" s="1"/>
  <c r="J19" i="25"/>
  <c r="J35" i="25" s="1"/>
  <c r="I19" i="25"/>
  <c r="I35" i="25" s="1"/>
  <c r="Q35" i="25" s="1"/>
  <c r="H19" i="25"/>
  <c r="G19" i="25"/>
  <c r="F19" i="25"/>
  <c r="Q18" i="25"/>
  <c r="P17" i="25"/>
  <c r="P34" i="25" s="1"/>
  <c r="O17" i="25"/>
  <c r="O34" i="25" s="1"/>
  <c r="N17" i="25"/>
  <c r="M17" i="25"/>
  <c r="M34" i="25" s="1"/>
  <c r="L17" i="25"/>
  <c r="L34" i="25" s="1"/>
  <c r="K17" i="25"/>
  <c r="K34" i="25" s="1"/>
  <c r="J17" i="25"/>
  <c r="I17" i="25"/>
  <c r="I34" i="25" s="1"/>
  <c r="Q34" i="25" s="1"/>
  <c r="H17" i="25"/>
  <c r="G17" i="25"/>
  <c r="F17" i="25"/>
  <c r="Q16" i="25"/>
  <c r="P15" i="25"/>
  <c r="P33" i="25" s="1"/>
  <c r="O15" i="25"/>
  <c r="O33" i="25" s="1"/>
  <c r="N15" i="25"/>
  <c r="N33" i="25" s="1"/>
  <c r="M15" i="25"/>
  <c r="M33" i="25" s="1"/>
  <c r="L15" i="25"/>
  <c r="L33" i="25" s="1"/>
  <c r="K15" i="25"/>
  <c r="K33" i="25" s="1"/>
  <c r="J15" i="25"/>
  <c r="J33" i="25" s="1"/>
  <c r="I15" i="25"/>
  <c r="I33" i="25" s="1"/>
  <c r="Q33" i="25" s="1"/>
  <c r="H15" i="25"/>
  <c r="G15" i="25"/>
  <c r="F15" i="25"/>
  <c r="Q14" i="25"/>
  <c r="P13" i="25"/>
  <c r="P32" i="25" s="1"/>
  <c r="O13" i="25"/>
  <c r="O32" i="25" s="1"/>
  <c r="N13" i="25"/>
  <c r="M13" i="25"/>
  <c r="M32" i="25" s="1"/>
  <c r="L13" i="25"/>
  <c r="L32" i="25" s="1"/>
  <c r="K13" i="25"/>
  <c r="K32" i="25" s="1"/>
  <c r="J13" i="25"/>
  <c r="I13" i="25"/>
  <c r="I32" i="25" s="1"/>
  <c r="Q32" i="25" s="1"/>
  <c r="H13" i="25"/>
  <c r="G13" i="25"/>
  <c r="F13" i="25"/>
  <c r="Q12" i="25"/>
  <c r="Q26" i="25" s="1"/>
  <c r="P55" i="11"/>
  <c r="I55" i="11"/>
  <c r="J55" i="11"/>
  <c r="K55" i="11"/>
  <c r="L55" i="11"/>
  <c r="M55" i="11"/>
  <c r="N55" i="11"/>
  <c r="O55" i="11"/>
  <c r="I39" i="11"/>
  <c r="J39" i="11"/>
  <c r="K39" i="11"/>
  <c r="L39" i="11"/>
  <c r="M39" i="11"/>
  <c r="N39" i="11"/>
  <c r="O39" i="11"/>
  <c r="P39" i="11"/>
  <c r="I26" i="11"/>
  <c r="J26" i="11"/>
  <c r="K26" i="11"/>
  <c r="L26" i="11"/>
  <c r="M26" i="11"/>
  <c r="N26" i="11"/>
  <c r="O26" i="11"/>
  <c r="P26" i="11"/>
  <c r="C13" i="10"/>
  <c r="J7" i="13" l="1"/>
  <c r="M36" i="13"/>
  <c r="M38" i="13"/>
  <c r="M44" i="13"/>
  <c r="M47" i="13"/>
  <c r="J26" i="13"/>
  <c r="M40" i="13"/>
  <c r="M42" i="13"/>
  <c r="M39" i="13"/>
  <c r="M43" i="13"/>
  <c r="N28" i="19"/>
  <c r="M26" i="19"/>
  <c r="AA26" i="19"/>
  <c r="F26" i="19"/>
  <c r="T26" i="19"/>
  <c r="O26" i="13"/>
  <c r="P26" i="13" s="1"/>
  <c r="K24" i="13"/>
  <c r="O24" i="13"/>
  <c r="N24" i="13"/>
  <c r="J24" i="13"/>
  <c r="K26" i="13"/>
  <c r="N26" i="13"/>
  <c r="N31" i="13"/>
  <c r="O31" i="13" s="1"/>
  <c r="P31" i="13" s="1"/>
  <c r="N29" i="13"/>
  <c r="O49" i="13"/>
  <c r="P49" i="13" s="1"/>
  <c r="M37" i="13"/>
  <c r="M41" i="13"/>
  <c r="M46" i="13"/>
  <c r="Q38" i="25"/>
  <c r="Q39" i="25"/>
  <c r="Q48" i="25"/>
  <c r="Q55" i="25" s="1"/>
  <c r="AT2" i="21"/>
  <c r="AU2" i="21"/>
  <c r="AV2" i="21"/>
  <c r="AW2" i="21"/>
  <c r="AY2" i="21"/>
  <c r="AZ2" i="21"/>
  <c r="AT3" i="21"/>
  <c r="AU3" i="21"/>
  <c r="AV3" i="21"/>
  <c r="AW3" i="21"/>
  <c r="AY3" i="21"/>
  <c r="AZ3" i="21"/>
  <c r="AT4" i="21"/>
  <c r="AU4" i="21"/>
  <c r="AV4" i="21"/>
  <c r="AW4" i="21"/>
  <c r="AY4" i="21"/>
  <c r="AZ4" i="21"/>
  <c r="AT5" i="21"/>
  <c r="AU5" i="21"/>
  <c r="AV5" i="21"/>
  <c r="AW5" i="21"/>
  <c r="AY5" i="21"/>
  <c r="AZ5" i="21"/>
  <c r="AT6" i="21"/>
  <c r="AU6" i="21"/>
  <c r="AV6" i="21"/>
  <c r="AW6" i="21"/>
  <c r="AY6" i="21"/>
  <c r="AZ6" i="21"/>
  <c r="AT7" i="21"/>
  <c r="AU7" i="21"/>
  <c r="AV7" i="21"/>
  <c r="AW7" i="21"/>
  <c r="AY7" i="21"/>
  <c r="AZ7" i="21"/>
  <c r="AT8" i="21"/>
  <c r="AU8" i="21"/>
  <c r="AV8" i="21"/>
  <c r="AW8" i="21"/>
  <c r="AY8" i="21"/>
  <c r="AZ8" i="21"/>
  <c r="AT9" i="21"/>
  <c r="AU9" i="21"/>
  <c r="AV9" i="21"/>
  <c r="AW9" i="21"/>
  <c r="AY9" i="21"/>
  <c r="AZ9" i="21"/>
  <c r="AT10" i="21"/>
  <c r="AU10" i="21"/>
  <c r="AV10" i="21"/>
  <c r="AW10" i="21"/>
  <c r="AY10" i="21"/>
  <c r="AZ10" i="21"/>
  <c r="AT11" i="21"/>
  <c r="AU11" i="21"/>
  <c r="AV11" i="21"/>
  <c r="AW11" i="21"/>
  <c r="AY11" i="21"/>
  <c r="AZ11" i="21"/>
  <c r="AT12" i="21"/>
  <c r="AU12" i="21"/>
  <c r="AV12" i="21"/>
  <c r="AW12" i="21"/>
  <c r="AY12" i="21"/>
  <c r="AZ12" i="21"/>
  <c r="AT13" i="21"/>
  <c r="AU13" i="21"/>
  <c r="AV13" i="21"/>
  <c r="AW13" i="21"/>
  <c r="AY13" i="21"/>
  <c r="AZ13" i="21"/>
  <c r="AT14" i="21"/>
  <c r="AU14" i="21"/>
  <c r="AV14" i="21"/>
  <c r="AW14" i="21"/>
  <c r="AY14" i="21"/>
  <c r="AZ14" i="21"/>
  <c r="AT15" i="21"/>
  <c r="AU15" i="21"/>
  <c r="AV15" i="21"/>
  <c r="AW15" i="21"/>
  <c r="AY15" i="21"/>
  <c r="AZ15" i="21"/>
  <c r="AT16" i="21"/>
  <c r="AU16" i="21"/>
  <c r="AV16" i="21"/>
  <c r="AW16" i="21"/>
  <c r="AY16" i="21"/>
  <c r="AZ16" i="21"/>
  <c r="AT17" i="21"/>
  <c r="AU17" i="21"/>
  <c r="AV17" i="21"/>
  <c r="AW17" i="21"/>
  <c r="AY17" i="21"/>
  <c r="AZ17" i="21"/>
  <c r="AT18" i="21"/>
  <c r="AU18" i="21"/>
  <c r="AV18" i="21"/>
  <c r="AW18" i="21"/>
  <c r="AY18" i="21"/>
  <c r="AZ18" i="21"/>
  <c r="AT19" i="21"/>
  <c r="AU19" i="21"/>
  <c r="AV19" i="21"/>
  <c r="AW19" i="21"/>
  <c r="AY19" i="21"/>
  <c r="AZ19" i="21"/>
  <c r="AT20" i="21"/>
  <c r="AU20" i="21"/>
  <c r="AV20" i="21"/>
  <c r="AW20" i="21"/>
  <c r="AY20" i="21"/>
  <c r="AZ20" i="21"/>
  <c r="AT21" i="21"/>
  <c r="AU21" i="21"/>
  <c r="AV21" i="21"/>
  <c r="AW21" i="21"/>
  <c r="AY21" i="21"/>
  <c r="AZ21" i="21"/>
  <c r="AT22" i="21"/>
  <c r="AU22" i="21"/>
  <c r="AV22" i="21"/>
  <c r="AW22" i="21"/>
  <c r="AY22" i="21"/>
  <c r="AZ22" i="21"/>
  <c r="AT23" i="21"/>
  <c r="AU23" i="21"/>
  <c r="AV23" i="21"/>
  <c r="AW23" i="21"/>
  <c r="AY23" i="21"/>
  <c r="AZ23" i="21"/>
  <c r="AT24" i="21"/>
  <c r="AU24" i="21"/>
  <c r="AV24" i="21"/>
  <c r="AW24" i="21"/>
  <c r="AY24" i="21"/>
  <c r="AZ24" i="21"/>
  <c r="AT25" i="21"/>
  <c r="AU25" i="21"/>
  <c r="AV25" i="21"/>
  <c r="AW25" i="21"/>
  <c r="AY25" i="21"/>
  <c r="AZ25" i="21"/>
  <c r="AT26" i="21"/>
  <c r="AU26" i="21"/>
  <c r="AV26" i="21"/>
  <c r="AW26" i="21"/>
  <c r="AY26" i="21"/>
  <c r="AZ26" i="21"/>
  <c r="AT27" i="21"/>
  <c r="AU27" i="21"/>
  <c r="AV27" i="21"/>
  <c r="AW27" i="21"/>
  <c r="AY27" i="21"/>
  <c r="AZ27" i="21"/>
  <c r="AT28" i="21"/>
  <c r="AU28" i="21"/>
  <c r="AV28" i="21"/>
  <c r="AW28" i="21"/>
  <c r="AY28" i="21"/>
  <c r="AZ28" i="21"/>
  <c r="AT29" i="21"/>
  <c r="AU29" i="21"/>
  <c r="AV29" i="21"/>
  <c r="AW29" i="21"/>
  <c r="AY29" i="21"/>
  <c r="AZ29" i="21"/>
  <c r="AT30" i="21"/>
  <c r="AU30" i="21"/>
  <c r="AV30" i="21"/>
  <c r="AW30" i="21"/>
  <c r="AY30" i="21"/>
  <c r="AZ30" i="21"/>
  <c r="AT31" i="21"/>
  <c r="AU31" i="21"/>
  <c r="AV31" i="21"/>
  <c r="AW31" i="21"/>
  <c r="AY31" i="21"/>
  <c r="AZ31" i="21"/>
  <c r="AT32" i="21"/>
  <c r="AU32" i="21"/>
  <c r="AV32" i="21"/>
  <c r="AW32" i="21"/>
  <c r="AY32" i="21"/>
  <c r="AZ32" i="21"/>
  <c r="AT33" i="21"/>
  <c r="AU33" i="21"/>
  <c r="AV33" i="21"/>
  <c r="AW33" i="21"/>
  <c r="AY33" i="21"/>
  <c r="AZ33" i="21"/>
  <c r="AT34" i="21"/>
  <c r="AU34" i="21"/>
  <c r="AV34" i="21"/>
  <c r="AW34" i="21"/>
  <c r="AY34" i="21"/>
  <c r="AZ34" i="21"/>
  <c r="AT35" i="21"/>
  <c r="AU35" i="21"/>
  <c r="AV35" i="21"/>
  <c r="AW35" i="21"/>
  <c r="AY35" i="21"/>
  <c r="AZ35" i="21"/>
  <c r="AT36" i="21"/>
  <c r="AU36" i="21"/>
  <c r="AV36" i="21"/>
  <c r="AW36" i="21"/>
  <c r="AY36" i="21"/>
  <c r="AZ36" i="21"/>
  <c r="AT37" i="21"/>
  <c r="AU37" i="21"/>
  <c r="AV37" i="21"/>
  <c r="AW37" i="21"/>
  <c r="AY37" i="21"/>
  <c r="AZ37" i="21"/>
  <c r="AT38" i="21"/>
  <c r="AU38" i="21"/>
  <c r="AV38" i="21"/>
  <c r="AW38" i="21"/>
  <c r="AY38" i="21"/>
  <c r="AZ38" i="21"/>
  <c r="AT39" i="21"/>
  <c r="AU39" i="21"/>
  <c r="AV39" i="21"/>
  <c r="AW39" i="21"/>
  <c r="AY39" i="21"/>
  <c r="AZ39" i="21"/>
  <c r="AT40" i="21"/>
  <c r="AU40" i="21"/>
  <c r="AV40" i="21"/>
  <c r="AW40" i="21"/>
  <c r="AY40" i="21"/>
  <c r="AZ40" i="21"/>
  <c r="AT41" i="21"/>
  <c r="AU41" i="21"/>
  <c r="AV41" i="21"/>
  <c r="AW41" i="21"/>
  <c r="AY41" i="21"/>
  <c r="AZ41" i="21"/>
  <c r="AT42" i="21"/>
  <c r="AU42" i="21"/>
  <c r="AV42" i="21"/>
  <c r="AW42" i="21"/>
  <c r="AY42" i="21"/>
  <c r="AZ42" i="21"/>
  <c r="AT43" i="21"/>
  <c r="AU43" i="21"/>
  <c r="AV43" i="21"/>
  <c r="AW43" i="21"/>
  <c r="AY43" i="21"/>
  <c r="AZ43" i="21"/>
  <c r="AT44" i="21"/>
  <c r="AU44" i="21"/>
  <c r="AV44" i="21"/>
  <c r="AW44" i="21"/>
  <c r="AY44" i="21"/>
  <c r="AZ44" i="21"/>
  <c r="AT45" i="21"/>
  <c r="AU45" i="21"/>
  <c r="AV45" i="21"/>
  <c r="AW45" i="21"/>
  <c r="AY45" i="21"/>
  <c r="AZ45" i="21"/>
  <c r="AT46" i="21"/>
  <c r="AU46" i="21"/>
  <c r="AV46" i="21"/>
  <c r="AW46" i="21"/>
  <c r="AY46" i="21"/>
  <c r="AZ46" i="21"/>
  <c r="AT47" i="21"/>
  <c r="AU47" i="21"/>
  <c r="AV47" i="21"/>
  <c r="AW47" i="21"/>
  <c r="AY47" i="21"/>
  <c r="AZ47" i="21"/>
  <c r="AT48" i="21"/>
  <c r="AU48" i="21"/>
  <c r="AV48" i="21"/>
  <c r="AW48" i="21"/>
  <c r="AY48" i="21"/>
  <c r="AZ48" i="21"/>
  <c r="AT49" i="21"/>
  <c r="AU49" i="21"/>
  <c r="AV49" i="21"/>
  <c r="AW49" i="21"/>
  <c r="AY49" i="21"/>
  <c r="AZ49" i="21"/>
  <c r="AT50" i="21"/>
  <c r="AU50" i="21"/>
  <c r="AV50" i="21"/>
  <c r="AW50" i="21"/>
  <c r="AY50" i="21"/>
  <c r="AZ50" i="21"/>
  <c r="AT51" i="21"/>
  <c r="AU51" i="21"/>
  <c r="AV51" i="21"/>
  <c r="AW51" i="21"/>
  <c r="AY51" i="21"/>
  <c r="AZ51" i="21"/>
  <c r="AK12" i="21" l="1"/>
  <c r="AK13" i="21"/>
  <c r="AK14" i="21"/>
  <c r="AK15" i="21"/>
  <c r="AK16" i="21"/>
  <c r="AK17" i="21"/>
  <c r="AK18" i="21"/>
  <c r="AK19" i="21"/>
  <c r="AK20" i="21"/>
  <c r="AK21" i="21"/>
  <c r="AK22" i="21"/>
  <c r="AK23" i="21"/>
  <c r="AK24" i="21"/>
  <c r="AK25" i="21"/>
  <c r="AK26" i="21"/>
  <c r="AK27" i="21"/>
  <c r="AK28" i="21"/>
  <c r="AK29" i="21"/>
  <c r="AK30" i="21"/>
  <c r="AK31" i="21"/>
  <c r="AK32" i="21"/>
  <c r="AK33" i="21"/>
  <c r="AK34" i="21"/>
  <c r="AK35" i="21"/>
  <c r="AK36" i="21"/>
  <c r="AK37" i="21"/>
  <c r="AK38" i="21"/>
  <c r="AK39" i="21"/>
  <c r="AK40" i="21"/>
  <c r="AK41" i="21"/>
  <c r="AK42" i="21"/>
  <c r="AK43" i="21"/>
  <c r="AK44" i="21"/>
  <c r="AK45" i="21"/>
  <c r="AK46" i="21"/>
  <c r="AK47" i="21"/>
  <c r="AK48" i="21"/>
  <c r="AK49" i="21"/>
  <c r="AK50" i="21"/>
  <c r="AK51" i="21"/>
  <c r="AK52" i="21"/>
  <c r="AK53" i="21"/>
  <c r="AK54" i="21"/>
  <c r="AK55" i="21"/>
  <c r="AK56" i="21"/>
  <c r="AK57" i="21"/>
  <c r="AK58" i="21"/>
  <c r="AK59" i="21"/>
  <c r="AK60" i="21"/>
  <c r="AK11" i="21"/>
  <c r="T61" i="21" l="1"/>
  <c r="M3" i="11" l="1"/>
  <c r="M3" i="25" s="1"/>
  <c r="AE71" i="19" l="1"/>
  <c r="E30" i="13"/>
  <c r="AE56" i="19" s="1"/>
  <c r="E27" i="13"/>
  <c r="AE54" i="19" s="1"/>
  <c r="C16" i="17"/>
  <c r="F16" i="17" s="1"/>
  <c r="U9" i="17"/>
  <c r="U8" i="17"/>
  <c r="X3" i="24"/>
  <c r="Y8" i="24"/>
  <c r="A2" i="23"/>
  <c r="E18" i="22"/>
  <c r="N39" i="20" s="1"/>
  <c r="F18" i="22"/>
  <c r="N40" i="20" s="1"/>
  <c r="A11" i="21"/>
  <c r="AS2" i="21" s="1"/>
  <c r="U11" i="21"/>
  <c r="AX2" i="21" s="1"/>
  <c r="A12" i="21"/>
  <c r="AS3" i="21" s="1"/>
  <c r="U12" i="21"/>
  <c r="AX3" i="21" s="1"/>
  <c r="A13" i="21"/>
  <c r="AS4" i="21" s="1"/>
  <c r="U13" i="21"/>
  <c r="AX4" i="21" s="1"/>
  <c r="A14" i="21"/>
  <c r="AS5" i="21" s="1"/>
  <c r="U14" i="21"/>
  <c r="AX5" i="21" s="1"/>
  <c r="A15" i="21"/>
  <c r="AS6" i="21" s="1"/>
  <c r="U15" i="21"/>
  <c r="AX6" i="21" s="1"/>
  <c r="A16" i="21"/>
  <c r="AS7" i="21" s="1"/>
  <c r="U16" i="21"/>
  <c r="AX7" i="21" s="1"/>
  <c r="A17" i="21"/>
  <c r="AS8" i="21" s="1"/>
  <c r="U17" i="21"/>
  <c r="AX8" i="21" s="1"/>
  <c r="A18" i="21"/>
  <c r="AS9" i="21" s="1"/>
  <c r="U18" i="21"/>
  <c r="AX9" i="21" s="1"/>
  <c r="A19" i="21"/>
  <c r="AS10" i="21" s="1"/>
  <c r="U19" i="21"/>
  <c r="AX10" i="21" s="1"/>
  <c r="A20" i="21"/>
  <c r="AS11" i="21" s="1"/>
  <c r="U20" i="21"/>
  <c r="AX11" i="21" s="1"/>
  <c r="A21" i="21"/>
  <c r="AS12" i="21" s="1"/>
  <c r="U21" i="21"/>
  <c r="AX12" i="21" s="1"/>
  <c r="A22" i="21"/>
  <c r="AS13" i="21" s="1"/>
  <c r="U22" i="21"/>
  <c r="AX13" i="21" s="1"/>
  <c r="A23" i="21"/>
  <c r="AS14" i="21" s="1"/>
  <c r="U23" i="21"/>
  <c r="AX14" i="21" s="1"/>
  <c r="A24" i="21"/>
  <c r="AS15" i="21" s="1"/>
  <c r="U24" i="21"/>
  <c r="AX15" i="21" s="1"/>
  <c r="A25" i="21"/>
  <c r="AS16" i="21" s="1"/>
  <c r="U25" i="21"/>
  <c r="AX16" i="21" s="1"/>
  <c r="A26" i="21"/>
  <c r="AS17" i="21" s="1"/>
  <c r="U26" i="21"/>
  <c r="AX17" i="21" s="1"/>
  <c r="A27" i="21"/>
  <c r="AS18" i="21" s="1"/>
  <c r="U27" i="21"/>
  <c r="AX18" i="21" s="1"/>
  <c r="A28" i="21"/>
  <c r="AS19" i="21" s="1"/>
  <c r="U28" i="21"/>
  <c r="AX19" i="21" s="1"/>
  <c r="A29" i="21"/>
  <c r="AS20" i="21" s="1"/>
  <c r="U29" i="21"/>
  <c r="AX20" i="21" s="1"/>
  <c r="A30" i="21"/>
  <c r="AS21" i="21" s="1"/>
  <c r="U30" i="21"/>
  <c r="AX21" i="21" s="1"/>
  <c r="A31" i="21"/>
  <c r="AS22" i="21" s="1"/>
  <c r="U31" i="21"/>
  <c r="AX22" i="21" s="1"/>
  <c r="A32" i="21"/>
  <c r="AS23" i="21" s="1"/>
  <c r="U32" i="21"/>
  <c r="AX23" i="21" s="1"/>
  <c r="A33" i="21"/>
  <c r="AS24" i="21" s="1"/>
  <c r="U33" i="21"/>
  <c r="AX24" i="21" s="1"/>
  <c r="A34" i="21"/>
  <c r="AS25" i="21" s="1"/>
  <c r="U34" i="21"/>
  <c r="AX25" i="21" s="1"/>
  <c r="A35" i="21"/>
  <c r="AS26" i="21" s="1"/>
  <c r="U35" i="21"/>
  <c r="AX26" i="21" s="1"/>
  <c r="A36" i="21"/>
  <c r="AS27" i="21" s="1"/>
  <c r="U36" i="21"/>
  <c r="AX27" i="21" s="1"/>
  <c r="A37" i="21"/>
  <c r="AS28" i="21" s="1"/>
  <c r="U37" i="21"/>
  <c r="AX28" i="21" s="1"/>
  <c r="A38" i="21"/>
  <c r="AS29" i="21" s="1"/>
  <c r="U38" i="21"/>
  <c r="AX29" i="21" s="1"/>
  <c r="A39" i="21"/>
  <c r="AS30" i="21" s="1"/>
  <c r="U39" i="21"/>
  <c r="AX30" i="21" s="1"/>
  <c r="A40" i="21"/>
  <c r="AS31" i="21" s="1"/>
  <c r="U40" i="21"/>
  <c r="AX31" i="21" s="1"/>
  <c r="A41" i="21"/>
  <c r="AS32" i="21" s="1"/>
  <c r="U41" i="21"/>
  <c r="AX32" i="21" s="1"/>
  <c r="A42" i="21"/>
  <c r="AS33" i="21" s="1"/>
  <c r="U42" i="21"/>
  <c r="AX33" i="21" s="1"/>
  <c r="A43" i="21"/>
  <c r="AS34" i="21" s="1"/>
  <c r="U43" i="21"/>
  <c r="AX34" i="21" s="1"/>
  <c r="A44" i="21"/>
  <c r="AS35" i="21" s="1"/>
  <c r="U44" i="21"/>
  <c r="AX35" i="21" s="1"/>
  <c r="A45" i="21"/>
  <c r="AS36" i="21" s="1"/>
  <c r="U45" i="21"/>
  <c r="AX36" i="21" s="1"/>
  <c r="A46" i="21"/>
  <c r="AS37" i="21" s="1"/>
  <c r="U46" i="21"/>
  <c r="AX37" i="21" s="1"/>
  <c r="A47" i="21"/>
  <c r="AS38" i="21" s="1"/>
  <c r="U47" i="21"/>
  <c r="AX38" i="21" s="1"/>
  <c r="A48" i="21"/>
  <c r="AS39" i="21" s="1"/>
  <c r="U48" i="21"/>
  <c r="AX39" i="21" s="1"/>
  <c r="A49" i="21"/>
  <c r="AS40" i="21" s="1"/>
  <c r="U49" i="21"/>
  <c r="AX40" i="21" s="1"/>
  <c r="A50" i="21"/>
  <c r="AS41" i="21" s="1"/>
  <c r="U50" i="21"/>
  <c r="AX41" i="21" s="1"/>
  <c r="A51" i="21"/>
  <c r="AS42" i="21" s="1"/>
  <c r="U51" i="21"/>
  <c r="AX42" i="21" s="1"/>
  <c r="A52" i="21"/>
  <c r="AS43" i="21" s="1"/>
  <c r="U52" i="21"/>
  <c r="AX43" i="21" s="1"/>
  <c r="A53" i="21"/>
  <c r="AS44" i="21" s="1"/>
  <c r="U53" i="21"/>
  <c r="AX44" i="21" s="1"/>
  <c r="A54" i="21"/>
  <c r="AS45" i="21" s="1"/>
  <c r="U54" i="21"/>
  <c r="AX45" i="21" s="1"/>
  <c r="A55" i="21"/>
  <c r="AS46" i="21" s="1"/>
  <c r="U55" i="21"/>
  <c r="AX46" i="21" s="1"/>
  <c r="A56" i="21"/>
  <c r="AS47" i="21" s="1"/>
  <c r="U56" i="21"/>
  <c r="AX47" i="21" s="1"/>
  <c r="A57" i="21"/>
  <c r="AS48" i="21" s="1"/>
  <c r="U57" i="21"/>
  <c r="AX48" i="21" s="1"/>
  <c r="A58" i="21"/>
  <c r="AS49" i="21" s="1"/>
  <c r="U58" i="21"/>
  <c r="AX49" i="21" s="1"/>
  <c r="A59" i="21"/>
  <c r="AS50" i="21" s="1"/>
  <c r="U59" i="21"/>
  <c r="AX50" i="21" s="1"/>
  <c r="A60" i="21"/>
  <c r="AS51" i="21" s="1"/>
  <c r="U60" i="21"/>
  <c r="AX51" i="21" s="1"/>
  <c r="K61" i="21"/>
  <c r="O61" i="21"/>
  <c r="Y29" i="20" s="1"/>
  <c r="Q61" i="21"/>
  <c r="Y31" i="20" s="1"/>
  <c r="Y18" i="20"/>
  <c r="V61" i="21"/>
  <c r="W61" i="21"/>
  <c r="X61" i="21"/>
  <c r="Y61" i="21"/>
  <c r="W13" i="20" s="1"/>
  <c r="AC61" i="21"/>
  <c r="Y21" i="20" s="1"/>
  <c r="AE61" i="21"/>
  <c r="U80" i="21"/>
  <c r="B2" i="20"/>
  <c r="X4" i="20"/>
  <c r="Y22" i="20"/>
  <c r="Y23" i="20"/>
  <c r="Y26" i="20"/>
  <c r="Y27" i="20"/>
  <c r="Y28" i="20"/>
  <c r="B3" i="19"/>
  <c r="U8" i="19"/>
  <c r="O4" i="23" s="1"/>
  <c r="L14" i="19"/>
  <c r="T14" i="19"/>
  <c r="AN15" i="19"/>
  <c r="AN16" i="19"/>
  <c r="AN17" i="19"/>
  <c r="B2" i="18"/>
  <c r="V8" i="18"/>
  <c r="B2" i="17"/>
  <c r="Y25" i="20" l="1"/>
  <c r="R61" i="21"/>
  <c r="U61" i="21"/>
  <c r="Y63" i="21" s="1"/>
  <c r="Z63" i="21" s="1"/>
  <c r="W12" i="20"/>
  <c r="BA19" i="20"/>
  <c r="Y10" i="24"/>
  <c r="U10" i="19"/>
  <c r="O6" i="23" s="1"/>
  <c r="X6" i="20"/>
  <c r="V10" i="18"/>
  <c r="E2" i="22"/>
  <c r="V9" i="18"/>
  <c r="X5" i="20"/>
  <c r="AH1" i="21" s="1"/>
  <c r="Y9" i="24"/>
  <c r="U9" i="19"/>
  <c r="O5" i="23" s="1"/>
  <c r="AF14" i="19"/>
  <c r="AF63" i="21" l="1"/>
  <c r="N13" i="20"/>
  <c r="AZ19" i="20" l="1"/>
  <c r="Y19" i="20"/>
  <c r="AJ17" i="20" s="1"/>
  <c r="N12" i="20"/>
  <c r="H34" i="15"/>
  <c r="E31" i="15"/>
  <c r="D28" i="15"/>
  <c r="E19" i="15"/>
  <c r="E15" i="15"/>
  <c r="H45" i="15" l="1"/>
  <c r="H40" i="15"/>
  <c r="H41" i="15"/>
  <c r="H35" i="15"/>
  <c r="H36" i="15"/>
  <c r="H37" i="15"/>
  <c r="H39" i="15" l="1"/>
  <c r="H42" i="15"/>
  <c r="H43" i="15" s="1"/>
  <c r="H44" i="15" s="1"/>
  <c r="A23" i="14" l="1"/>
  <c r="A22" i="14"/>
  <c r="F29" i="13" l="1"/>
  <c r="F11" i="13"/>
  <c r="E47" i="13"/>
  <c r="E46" i="13"/>
  <c r="E45" i="13"/>
  <c r="E44" i="13"/>
  <c r="E43" i="13"/>
  <c r="E42" i="13"/>
  <c r="E41" i="13"/>
  <c r="E40" i="13"/>
  <c r="AE63" i="19" s="1"/>
  <c r="E39" i="13"/>
  <c r="AE62" i="19" s="1"/>
  <c r="F38" i="13"/>
  <c r="E38" i="13"/>
  <c r="E37" i="13"/>
  <c r="E36" i="13"/>
  <c r="I30" i="13"/>
  <c r="M30" i="13" s="1"/>
  <c r="O29" i="13" s="1"/>
  <c r="P29" i="13" s="1"/>
  <c r="E28" i="13"/>
  <c r="J9" i="13"/>
  <c r="F9" i="13"/>
  <c r="F8" i="13" s="1"/>
  <c r="I42" i="13"/>
  <c r="D3" i="13"/>
  <c r="H48" i="13"/>
  <c r="F31" i="13"/>
  <c r="G31" i="13" s="1"/>
  <c r="H31" i="13" s="1"/>
  <c r="F26" i="13"/>
  <c r="J11" i="13"/>
  <c r="H42" i="13" l="1"/>
  <c r="AE65" i="19"/>
  <c r="H36" i="13"/>
  <c r="AE59" i="19"/>
  <c r="H44" i="13"/>
  <c r="AE67" i="19"/>
  <c r="H43" i="13"/>
  <c r="AE66" i="19"/>
  <c r="H38" i="13"/>
  <c r="AE61" i="19"/>
  <c r="H45" i="13"/>
  <c r="AE68" i="19"/>
  <c r="H37" i="13"/>
  <c r="AE60" i="19"/>
  <c r="H46" i="13"/>
  <c r="AE69" i="19"/>
  <c r="H47" i="13"/>
  <c r="AE70" i="19"/>
  <c r="I25" i="13"/>
  <c r="AE55" i="19"/>
  <c r="I28" i="13"/>
  <c r="M28" i="13" s="1"/>
  <c r="AE57" i="19"/>
  <c r="H41" i="13"/>
  <c r="AE64" i="19"/>
  <c r="H40" i="13"/>
  <c r="G29" i="13"/>
  <c r="H29" i="13" s="1"/>
  <c r="G26" i="13"/>
  <c r="H26" i="13" s="1"/>
  <c r="I27" i="13"/>
  <c r="M27" i="13" s="1"/>
  <c r="H24" i="13"/>
  <c r="H39" i="13"/>
  <c r="G49" i="13"/>
  <c r="H49" i="13" s="1"/>
  <c r="M24" i="19"/>
  <c r="I43" i="13"/>
  <c r="I47" i="13"/>
  <c r="I48" i="13"/>
  <c r="I39" i="13"/>
  <c r="I36" i="13"/>
  <c r="I40" i="13"/>
  <c r="I44" i="13"/>
  <c r="J31" i="13"/>
  <c r="K31" i="13" s="1"/>
  <c r="L31" i="13" s="1"/>
  <c r="I37" i="13"/>
  <c r="I41" i="13"/>
  <c r="K49" i="13"/>
  <c r="L49" i="13" s="1"/>
  <c r="J29" i="13"/>
  <c r="K29" i="13" s="1"/>
  <c r="L29" i="13" s="1"/>
  <c r="I46" i="13"/>
  <c r="I38" i="13"/>
  <c r="H32" i="13" l="1"/>
  <c r="L24" i="13"/>
  <c r="M25" i="13"/>
  <c r="P24" i="13" s="1"/>
  <c r="L26" i="13"/>
  <c r="P32" i="13" l="1"/>
  <c r="L32" i="13"/>
  <c r="M3" i="12"/>
  <c r="H55" i="12"/>
  <c r="H54" i="12"/>
  <c r="G54" i="12"/>
  <c r="F54" i="12"/>
  <c r="E54" i="12"/>
  <c r="Q54" i="12" s="1"/>
  <c r="B54" i="12"/>
  <c r="H53" i="12"/>
  <c r="G53" i="12"/>
  <c r="F53" i="12"/>
  <c r="E53" i="12"/>
  <c r="Q53" i="12" s="1"/>
  <c r="B53" i="12"/>
  <c r="H52" i="12"/>
  <c r="G52" i="12"/>
  <c r="Q52" i="12" s="1"/>
  <c r="F52" i="12"/>
  <c r="E52" i="12"/>
  <c r="B52" i="12"/>
  <c r="H51" i="12"/>
  <c r="G51" i="12"/>
  <c r="F51" i="12"/>
  <c r="E51" i="12"/>
  <c r="Q51" i="12" s="1"/>
  <c r="C51" i="12"/>
  <c r="H50" i="12"/>
  <c r="G50" i="12"/>
  <c r="F50" i="12"/>
  <c r="E50" i="12"/>
  <c r="Q50" i="12" s="1"/>
  <c r="B50" i="12"/>
  <c r="H49" i="12"/>
  <c r="G49" i="12"/>
  <c r="F49" i="12"/>
  <c r="E49" i="12"/>
  <c r="B49" i="12"/>
  <c r="H48" i="12"/>
  <c r="G48" i="12"/>
  <c r="F48" i="12"/>
  <c r="E48" i="12"/>
  <c r="B48" i="12"/>
  <c r="H39" i="12"/>
  <c r="G39" i="12"/>
  <c r="F39" i="12"/>
  <c r="E39" i="12"/>
  <c r="M38" i="12"/>
  <c r="B38" i="12"/>
  <c r="N37" i="12"/>
  <c r="B37" i="12"/>
  <c r="I36" i="12"/>
  <c r="B36" i="12"/>
  <c r="C35" i="12"/>
  <c r="M34" i="12"/>
  <c r="L34" i="12"/>
  <c r="B34" i="12"/>
  <c r="O33" i="12"/>
  <c r="N33" i="12"/>
  <c r="B33" i="12"/>
  <c r="B32" i="12"/>
  <c r="H26" i="12"/>
  <c r="G26" i="12"/>
  <c r="F26" i="12"/>
  <c r="E26" i="12"/>
  <c r="P25" i="12"/>
  <c r="P38" i="12" s="1"/>
  <c r="O25" i="12"/>
  <c r="O38" i="12" s="1"/>
  <c r="N25" i="12"/>
  <c r="N38" i="12" s="1"/>
  <c r="M25" i="12"/>
  <c r="L25" i="12"/>
  <c r="L38" i="12" s="1"/>
  <c r="K25" i="12"/>
  <c r="K38" i="12" s="1"/>
  <c r="J25" i="12"/>
  <c r="J38" i="12" s="1"/>
  <c r="I25" i="12"/>
  <c r="I38" i="12" s="1"/>
  <c r="H25" i="12"/>
  <c r="G25" i="12"/>
  <c r="F25" i="12"/>
  <c r="Q24" i="12"/>
  <c r="P23" i="12"/>
  <c r="P37" i="12" s="1"/>
  <c r="O23" i="12"/>
  <c r="O37" i="12" s="1"/>
  <c r="N23" i="12"/>
  <c r="M23" i="12"/>
  <c r="M37" i="12" s="1"/>
  <c r="L23" i="12"/>
  <c r="L37" i="12" s="1"/>
  <c r="K23" i="12"/>
  <c r="K37" i="12" s="1"/>
  <c r="J23" i="12"/>
  <c r="J37" i="12" s="1"/>
  <c r="I23" i="12"/>
  <c r="I37" i="12" s="1"/>
  <c r="H23" i="12"/>
  <c r="G23" i="12"/>
  <c r="F23" i="12"/>
  <c r="Q22" i="12"/>
  <c r="P21" i="12"/>
  <c r="P36" i="12" s="1"/>
  <c r="O21" i="12"/>
  <c r="O36" i="12" s="1"/>
  <c r="N21" i="12"/>
  <c r="N36" i="12" s="1"/>
  <c r="M21" i="12"/>
  <c r="M36" i="12" s="1"/>
  <c r="L21" i="12"/>
  <c r="L36" i="12" s="1"/>
  <c r="K21" i="12"/>
  <c r="K36" i="12" s="1"/>
  <c r="J21" i="12"/>
  <c r="J36" i="12" s="1"/>
  <c r="I21" i="12"/>
  <c r="H21" i="12"/>
  <c r="G21" i="12"/>
  <c r="F21" i="12"/>
  <c r="Q20" i="12"/>
  <c r="P19" i="12"/>
  <c r="P35" i="12" s="1"/>
  <c r="O19" i="12"/>
  <c r="O35" i="12" s="1"/>
  <c r="N19" i="12"/>
  <c r="N35" i="12" s="1"/>
  <c r="M19" i="12"/>
  <c r="M35" i="12" s="1"/>
  <c r="L19" i="12"/>
  <c r="L35" i="12" s="1"/>
  <c r="K19" i="12"/>
  <c r="K35" i="12" s="1"/>
  <c r="J19" i="12"/>
  <c r="J35" i="12" s="1"/>
  <c r="I19" i="12"/>
  <c r="I35" i="12" s="1"/>
  <c r="H19" i="12"/>
  <c r="G19" i="12"/>
  <c r="F19" i="12"/>
  <c r="Q18" i="12"/>
  <c r="P17" i="12"/>
  <c r="P34" i="12" s="1"/>
  <c r="O17" i="12"/>
  <c r="O34" i="12" s="1"/>
  <c r="N17" i="12"/>
  <c r="N34" i="12" s="1"/>
  <c r="M17" i="12"/>
  <c r="L17" i="12"/>
  <c r="K17" i="12"/>
  <c r="K34" i="12" s="1"/>
  <c r="J17" i="12"/>
  <c r="J34" i="12" s="1"/>
  <c r="I17" i="12"/>
  <c r="I34" i="12" s="1"/>
  <c r="H17" i="12"/>
  <c r="G17" i="12"/>
  <c r="F17" i="12"/>
  <c r="Q16" i="12"/>
  <c r="P15" i="12"/>
  <c r="P33" i="12" s="1"/>
  <c r="O15" i="12"/>
  <c r="N15" i="12"/>
  <c r="M15" i="12"/>
  <c r="M33" i="12" s="1"/>
  <c r="L15" i="12"/>
  <c r="L33" i="12" s="1"/>
  <c r="K15" i="12"/>
  <c r="K33" i="12" s="1"/>
  <c r="J15" i="12"/>
  <c r="J33" i="12" s="1"/>
  <c r="I15" i="12"/>
  <c r="I33" i="12" s="1"/>
  <c r="H15" i="12"/>
  <c r="G15" i="12"/>
  <c r="F15" i="12"/>
  <c r="Q14" i="12"/>
  <c r="P13" i="12"/>
  <c r="P32" i="12" s="1"/>
  <c r="O13" i="12"/>
  <c r="O32" i="12" s="1"/>
  <c r="N13" i="12"/>
  <c r="N32" i="12" s="1"/>
  <c r="M13" i="12"/>
  <c r="M32" i="12" s="1"/>
  <c r="L13" i="12"/>
  <c r="L32" i="12" s="1"/>
  <c r="K13" i="12"/>
  <c r="K32" i="12" s="1"/>
  <c r="J13" i="12"/>
  <c r="J32" i="12" s="1"/>
  <c r="I13" i="12"/>
  <c r="I32" i="12" s="1"/>
  <c r="H13" i="12"/>
  <c r="G13" i="12"/>
  <c r="F13" i="12"/>
  <c r="Q12" i="12"/>
  <c r="H55" i="11"/>
  <c r="G55" i="11"/>
  <c r="H54" i="11"/>
  <c r="G54" i="11"/>
  <c r="F54" i="11"/>
  <c r="H53" i="11"/>
  <c r="G53" i="11"/>
  <c r="F53" i="11"/>
  <c r="H52" i="11"/>
  <c r="G52" i="11"/>
  <c r="F52" i="11"/>
  <c r="H51" i="11"/>
  <c r="G51" i="11"/>
  <c r="F51" i="11"/>
  <c r="H50" i="11"/>
  <c r="G50" i="11"/>
  <c r="F50" i="11"/>
  <c r="H49" i="11"/>
  <c r="G49" i="11"/>
  <c r="F49" i="11"/>
  <c r="F55" i="11" s="1"/>
  <c r="H48" i="11"/>
  <c r="G48" i="11"/>
  <c r="F48" i="11"/>
  <c r="P37" i="11"/>
  <c r="N37" i="11"/>
  <c r="M37" i="11"/>
  <c r="L37" i="11"/>
  <c r="J37" i="11"/>
  <c r="I37" i="11"/>
  <c r="H39" i="11"/>
  <c r="G39" i="11"/>
  <c r="F39" i="11"/>
  <c r="E39" i="11"/>
  <c r="H26" i="11"/>
  <c r="G26" i="11"/>
  <c r="F26" i="11"/>
  <c r="E26" i="11"/>
  <c r="P25" i="11"/>
  <c r="O25" i="11"/>
  <c r="N25" i="11"/>
  <c r="M25" i="11"/>
  <c r="L25" i="11"/>
  <c r="K25" i="11"/>
  <c r="J25" i="11"/>
  <c r="I25" i="11"/>
  <c r="H25" i="11"/>
  <c r="G25" i="11"/>
  <c r="F25" i="11"/>
  <c r="P23" i="11"/>
  <c r="O23" i="11"/>
  <c r="O37" i="11" s="1"/>
  <c r="N23" i="11"/>
  <c r="M23" i="11"/>
  <c r="L23" i="11"/>
  <c r="K23" i="11"/>
  <c r="K37" i="11" s="1"/>
  <c r="J23" i="11"/>
  <c r="I23" i="11"/>
  <c r="H23" i="11"/>
  <c r="G23" i="11"/>
  <c r="F23" i="11"/>
  <c r="P21" i="11"/>
  <c r="O21" i="11"/>
  <c r="N21" i="11"/>
  <c r="M21" i="11"/>
  <c r="L21" i="11"/>
  <c r="K21" i="11"/>
  <c r="J21" i="11"/>
  <c r="I21" i="11"/>
  <c r="H21" i="11"/>
  <c r="G21" i="11"/>
  <c r="F21" i="11"/>
  <c r="P19" i="11"/>
  <c r="O19" i="11"/>
  <c r="N19" i="11"/>
  <c r="M19" i="11"/>
  <c r="L19" i="11"/>
  <c r="K19" i="11"/>
  <c r="J19" i="11"/>
  <c r="I19" i="11"/>
  <c r="H19" i="11"/>
  <c r="G19" i="11"/>
  <c r="F19" i="11"/>
  <c r="P17" i="11"/>
  <c r="O17" i="11"/>
  <c r="N17" i="11"/>
  <c r="M17" i="11"/>
  <c r="L17" i="11"/>
  <c r="K17" i="11"/>
  <c r="J17" i="11"/>
  <c r="I17" i="11"/>
  <c r="H17" i="11"/>
  <c r="G17" i="11"/>
  <c r="F17" i="11"/>
  <c r="P15" i="11"/>
  <c r="P33" i="11" s="1"/>
  <c r="O15" i="11"/>
  <c r="O33" i="11" s="1"/>
  <c r="N15" i="11"/>
  <c r="N33" i="11" s="1"/>
  <c r="M15" i="11"/>
  <c r="M33" i="11" s="1"/>
  <c r="L15" i="11"/>
  <c r="L33" i="11" s="1"/>
  <c r="K15" i="11"/>
  <c r="K33" i="11" s="1"/>
  <c r="J15" i="11"/>
  <c r="J33" i="11" s="1"/>
  <c r="I15" i="11"/>
  <c r="I33" i="11" s="1"/>
  <c r="H15" i="11"/>
  <c r="G15" i="11"/>
  <c r="F15" i="11"/>
  <c r="G13" i="11"/>
  <c r="H13" i="11"/>
  <c r="I13" i="11"/>
  <c r="J13" i="11"/>
  <c r="K13" i="11"/>
  <c r="L13" i="11"/>
  <c r="M13" i="11"/>
  <c r="N13" i="11"/>
  <c r="O13" i="11"/>
  <c r="P13" i="11"/>
  <c r="F13" i="11"/>
  <c r="C51" i="11"/>
  <c r="B54" i="11"/>
  <c r="B53" i="11"/>
  <c r="B52" i="11"/>
  <c r="B50" i="11"/>
  <c r="B49" i="11"/>
  <c r="B48" i="11"/>
  <c r="B38" i="11"/>
  <c r="B37" i="11"/>
  <c r="B36" i="11"/>
  <c r="C35" i="11"/>
  <c r="B34" i="11"/>
  <c r="B33" i="11"/>
  <c r="B32" i="11"/>
  <c r="E53" i="11"/>
  <c r="E49" i="11"/>
  <c r="Y23" i="13" l="1"/>
  <c r="S24" i="2"/>
  <c r="E55" i="12"/>
  <c r="Y22" i="13"/>
  <c r="S25" i="2"/>
  <c r="Y21" i="13"/>
  <c r="S26" i="2"/>
  <c r="G55" i="12"/>
  <c r="Y20" i="13"/>
  <c r="S27" i="2"/>
  <c r="Y19" i="13"/>
  <c r="S28" i="2"/>
  <c r="Q49" i="12"/>
  <c r="S29" i="2" s="1"/>
  <c r="F55" i="12"/>
  <c r="Q38" i="12"/>
  <c r="Q34" i="12"/>
  <c r="Q26" i="12"/>
  <c r="Q53" i="11"/>
  <c r="U22" i="13" s="1"/>
  <c r="Q48" i="12"/>
  <c r="Q49" i="11"/>
  <c r="P29" i="2" s="1"/>
  <c r="Q33" i="11"/>
  <c r="P19" i="2" s="1"/>
  <c r="Q33" i="12"/>
  <c r="S19" i="2" s="1"/>
  <c r="Q35" i="12"/>
  <c r="Q37" i="12"/>
  <c r="Q32" i="12"/>
  <c r="Q36" i="12"/>
  <c r="Q37" i="11"/>
  <c r="Q22" i="11"/>
  <c r="Q14" i="11"/>
  <c r="E54" i="11"/>
  <c r="Q54" i="11" s="1"/>
  <c r="E52" i="11"/>
  <c r="Q52" i="11" s="1"/>
  <c r="E51" i="11"/>
  <c r="Q51" i="11" s="1"/>
  <c r="E50" i="11"/>
  <c r="Q50" i="11" s="1"/>
  <c r="E48" i="11"/>
  <c r="E55" i="11" s="1"/>
  <c r="L38" i="11"/>
  <c r="J38" i="11"/>
  <c r="P36" i="11"/>
  <c r="N36" i="11"/>
  <c r="L35" i="11"/>
  <c r="J35" i="11"/>
  <c r="P34" i="11"/>
  <c r="N34" i="11"/>
  <c r="L32" i="11"/>
  <c r="J32" i="11"/>
  <c r="P38" i="11"/>
  <c r="O38" i="11"/>
  <c r="N38" i="11"/>
  <c r="M38" i="11"/>
  <c r="K38" i="11"/>
  <c r="I38" i="11"/>
  <c r="Q24" i="11"/>
  <c r="O36" i="11"/>
  <c r="M36" i="11"/>
  <c r="L36" i="11"/>
  <c r="K36" i="11"/>
  <c r="J36" i="11"/>
  <c r="I36" i="11"/>
  <c r="Q20" i="11"/>
  <c r="P35" i="11"/>
  <c r="O35" i="11"/>
  <c r="N35" i="11"/>
  <c r="M35" i="11"/>
  <c r="K35" i="11"/>
  <c r="I35" i="11"/>
  <c r="Q18" i="11"/>
  <c r="O34" i="11"/>
  <c r="M34" i="11"/>
  <c r="L34" i="11"/>
  <c r="K34" i="11"/>
  <c r="J34" i="11"/>
  <c r="I34" i="11"/>
  <c r="Q16" i="11"/>
  <c r="P32" i="11"/>
  <c r="O32" i="11"/>
  <c r="N32" i="11"/>
  <c r="M32" i="11"/>
  <c r="K32" i="11"/>
  <c r="I32" i="11"/>
  <c r="Q12" i="11"/>
  <c r="F53" i="2"/>
  <c r="D5" i="14" s="1"/>
  <c r="Y13" i="13" l="1"/>
  <c r="S14" i="2"/>
  <c r="Y12" i="13"/>
  <c r="S15" i="2"/>
  <c r="Y11" i="13"/>
  <c r="S16" i="2"/>
  <c r="Y10" i="13"/>
  <c r="S17" i="2"/>
  <c r="Y9" i="13"/>
  <c r="S18" i="2"/>
  <c r="P25" i="2"/>
  <c r="U12" i="13"/>
  <c r="P15" i="2"/>
  <c r="Y8" i="13"/>
  <c r="Q39" i="12"/>
  <c r="Q55" i="12"/>
  <c r="Y18" i="13"/>
  <c r="S30" i="2"/>
  <c r="D6" i="14"/>
  <c r="F50" i="17"/>
  <c r="Q26" i="11"/>
  <c r="U20" i="13"/>
  <c r="P27" i="2"/>
  <c r="U23" i="13"/>
  <c r="P24" i="2"/>
  <c r="U21" i="13"/>
  <c r="P26" i="2"/>
  <c r="U19" i="13"/>
  <c r="P28" i="2"/>
  <c r="S20" i="2"/>
  <c r="Q36" i="11"/>
  <c r="Q34" i="11"/>
  <c r="Q32" i="11"/>
  <c r="Q35" i="11"/>
  <c r="Q38" i="11"/>
  <c r="Q48" i="11"/>
  <c r="G35" i="2"/>
  <c r="U13" i="13" l="1"/>
  <c r="P14" i="2"/>
  <c r="U11" i="13"/>
  <c r="P16" i="2"/>
  <c r="U10" i="13"/>
  <c r="P17" i="2"/>
  <c r="U9" i="13"/>
  <c r="P18" i="2"/>
  <c r="Q55" i="11"/>
  <c r="U18" i="13"/>
  <c r="P30" i="2"/>
  <c r="Q39" i="11"/>
  <c r="U8" i="13"/>
  <c r="P20" i="2"/>
  <c r="C20" i="10"/>
  <c r="C19" i="10"/>
  <c r="C18" i="10"/>
  <c r="B38" i="10"/>
  <c r="A38" i="10"/>
  <c r="A17" i="10"/>
  <c r="C15" i="10"/>
  <c r="C14" i="10"/>
  <c r="I42" i="2"/>
  <c r="C38" i="10" l="1"/>
  <c r="C34" i="10"/>
  <c r="C12" i="10"/>
  <c r="C32" i="10" s="1"/>
  <c r="I38" i="2"/>
  <c r="C11" i="10"/>
  <c r="C31" i="10" s="1"/>
  <c r="C10" i="10"/>
  <c r="C30" i="10" s="1"/>
  <c r="C9" i="10"/>
  <c r="C8" i="10"/>
  <c r="C7" i="10"/>
  <c r="C27" i="10" s="1"/>
  <c r="C6" i="10"/>
  <c r="C26" i="10" s="1"/>
  <c r="G4" i="10"/>
  <c r="F4" i="10"/>
  <c r="E4" i="10"/>
  <c r="D4" i="10"/>
  <c r="B42" i="10"/>
  <c r="B41" i="10"/>
  <c r="B40" i="10"/>
  <c r="B39" i="10"/>
  <c r="A39" i="10"/>
  <c r="B37" i="10"/>
  <c r="B36" i="10"/>
  <c r="C35" i="10"/>
  <c r="B35" i="10"/>
  <c r="B34" i="10"/>
  <c r="B33" i="10"/>
  <c r="B32" i="10"/>
  <c r="B31" i="10"/>
  <c r="B30" i="10"/>
  <c r="B29" i="10"/>
  <c r="B28" i="10"/>
  <c r="B27" i="10"/>
  <c r="B26" i="10"/>
  <c r="C25" i="10"/>
  <c r="B25" i="10"/>
  <c r="C17" i="10"/>
  <c r="C37" i="10" s="1"/>
  <c r="C16" i="10"/>
  <c r="C36" i="10" s="1"/>
  <c r="C33" i="10"/>
  <c r="A19" i="5"/>
  <c r="C16" i="5"/>
  <c r="C19" i="5"/>
  <c r="A20" i="5"/>
  <c r="C28" i="10" l="1"/>
  <c r="C29" i="10"/>
  <c r="C40" i="10"/>
  <c r="C39" i="10"/>
  <c r="A37" i="10"/>
  <c r="A40" i="10" l="1"/>
  <c r="J10" i="2" l="1"/>
  <c r="A9" i="5" s="1"/>
  <c r="I8" i="2"/>
  <c r="J8" i="2" s="1"/>
  <c r="A7" i="5" s="1"/>
  <c r="Z9" i="5" l="1"/>
  <c r="R9" i="5"/>
  <c r="J9" i="5"/>
  <c r="V9" i="5"/>
  <c r="N9" i="5"/>
  <c r="F9" i="5"/>
  <c r="D7" i="5"/>
  <c r="P7" i="5"/>
  <c r="X7" i="5"/>
  <c r="T7" i="5"/>
  <c r="H7" i="5"/>
  <c r="L7" i="5"/>
  <c r="D18" i="2"/>
  <c r="D39" i="10" l="1"/>
  <c r="G20" i="10"/>
  <c r="G18" i="10"/>
  <c r="E39" i="10"/>
  <c r="G40" i="10"/>
  <c r="G38" i="10"/>
  <c r="F20" i="10"/>
  <c r="F18" i="10"/>
  <c r="F19" i="10"/>
  <c r="F40" i="10"/>
  <c r="F38" i="10"/>
  <c r="E20" i="10"/>
  <c r="E18" i="10"/>
  <c r="E40" i="10"/>
  <c r="E38" i="10"/>
  <c r="D20" i="10"/>
  <c r="D18" i="10"/>
  <c r="G39" i="10"/>
  <c r="D19" i="10"/>
  <c r="D40" i="10"/>
  <c r="D38" i="10"/>
  <c r="G19" i="10"/>
  <c r="F39" i="10"/>
  <c r="E19" i="10"/>
  <c r="F17" i="10"/>
  <c r="G17" i="10"/>
  <c r="D17" i="10"/>
  <c r="E17" i="10"/>
  <c r="D37" i="10"/>
  <c r="G37" i="10"/>
  <c r="F37" i="10"/>
  <c r="E37" i="10"/>
  <c r="I13" i="3"/>
  <c r="I14" i="3"/>
  <c r="I15" i="3" s="1"/>
  <c r="I16" i="3" s="1"/>
  <c r="I17" i="3" s="1"/>
  <c r="I18" i="3" s="1"/>
  <c r="I19" i="3" s="1"/>
  <c r="I20" i="3" s="1"/>
  <c r="I21" i="3" s="1"/>
  <c r="I22" i="3" s="1"/>
  <c r="I23" i="3" s="1"/>
  <c r="I24" i="3" s="1"/>
  <c r="I25" i="3" s="1"/>
  <c r="I12" i="3"/>
  <c r="I11" i="2" l="1"/>
  <c r="J11" i="2" s="1"/>
  <c r="I12" i="2"/>
  <c r="I7" i="2"/>
  <c r="J7" i="2" s="1"/>
  <c r="A11" i="5" s="1"/>
  <c r="J6" i="2"/>
  <c r="A5" i="10" s="1"/>
  <c r="E5" i="10" l="1"/>
  <c r="G5" i="10"/>
  <c r="F5" i="10"/>
  <c r="D5" i="10"/>
  <c r="A16" i="5"/>
  <c r="A12" i="10"/>
  <c r="A6" i="10"/>
  <c r="A25" i="10"/>
  <c r="F25" i="10" l="1"/>
  <c r="G25" i="10"/>
  <c r="E25" i="10"/>
  <c r="D25" i="10"/>
  <c r="F6" i="10"/>
  <c r="G6" i="10"/>
  <c r="E6" i="10"/>
  <c r="D6" i="10"/>
  <c r="G12" i="10"/>
  <c r="F12" i="10"/>
  <c r="E12" i="10"/>
  <c r="D12" i="10"/>
  <c r="AA16" i="5"/>
  <c r="S16" i="5"/>
  <c r="Z16" i="5"/>
  <c r="R16" i="5"/>
  <c r="Y16" i="5"/>
  <c r="Q16" i="5"/>
  <c r="X16" i="5"/>
  <c r="P16" i="5"/>
  <c r="T16" i="5"/>
  <c r="W16" i="5"/>
  <c r="V16" i="5"/>
  <c r="U16" i="5"/>
  <c r="A32" i="10"/>
  <c r="A7" i="10"/>
  <c r="A26" i="10"/>
  <c r="G26" i="10" l="1"/>
  <c r="F26" i="10"/>
  <c r="E26" i="10"/>
  <c r="D26" i="10"/>
  <c r="E7" i="10"/>
  <c r="G7" i="10"/>
  <c r="F7" i="10"/>
  <c r="D7" i="10"/>
  <c r="G32" i="10"/>
  <c r="F32" i="10"/>
  <c r="E32" i="10"/>
  <c r="D32" i="10"/>
  <c r="A8" i="10"/>
  <c r="A27" i="10"/>
  <c r="D27" i="10" l="1"/>
  <c r="F27" i="10"/>
  <c r="G27" i="10"/>
  <c r="E27" i="10"/>
  <c r="E8" i="10"/>
  <c r="D8" i="10"/>
  <c r="A9" i="10"/>
  <c r="A28" i="10"/>
  <c r="E28" i="10" l="1"/>
  <c r="D28" i="10"/>
  <c r="F9" i="10"/>
  <c r="G9" i="10"/>
  <c r="A29" i="10"/>
  <c r="A10" i="10"/>
  <c r="D10" i="10" s="1"/>
  <c r="F29" i="10" l="1"/>
  <c r="G29" i="10"/>
  <c r="A11" i="10"/>
  <c r="A30" i="10"/>
  <c r="D30" i="10" s="1"/>
  <c r="G11" i="10" l="1"/>
  <c r="F11" i="10"/>
  <c r="E11" i="10"/>
  <c r="D11" i="10"/>
  <c r="A13" i="10"/>
  <c r="A31" i="10"/>
  <c r="D31" i="10" l="1"/>
  <c r="G31" i="10"/>
  <c r="E31" i="10"/>
  <c r="F31" i="10"/>
  <c r="D13" i="10"/>
  <c r="F13" i="10"/>
  <c r="G13" i="10"/>
  <c r="E13" i="10"/>
  <c r="A14" i="10"/>
  <c r="A33" i="10"/>
  <c r="D33" i="10" l="1"/>
  <c r="E33" i="10"/>
  <c r="G33" i="10"/>
  <c r="F33" i="10"/>
  <c r="G14" i="10"/>
  <c r="F14" i="10"/>
  <c r="E14" i="10"/>
  <c r="D14" i="10"/>
  <c r="A15" i="10"/>
  <c r="A34" i="10"/>
  <c r="F15" i="10" l="1"/>
  <c r="D15" i="10"/>
  <c r="G15" i="10"/>
  <c r="E15" i="10"/>
  <c r="G34" i="10"/>
  <c r="F34" i="10"/>
  <c r="E34" i="10"/>
  <c r="D34" i="10"/>
  <c r="A16" i="10"/>
  <c r="A35" i="10"/>
  <c r="D35" i="10" l="1"/>
  <c r="G35" i="10"/>
  <c r="E35" i="10"/>
  <c r="F35" i="10"/>
  <c r="G16" i="10"/>
  <c r="F16" i="10"/>
  <c r="E16" i="10"/>
  <c r="D16" i="10"/>
  <c r="A36" i="10"/>
  <c r="G36" i="10" l="1"/>
  <c r="F36" i="10"/>
  <c r="E36" i="10"/>
  <c r="D36" i="10"/>
  <c r="AS1" i="7"/>
  <c r="AR1" i="7"/>
  <c r="AQ1" i="7"/>
  <c r="AN1" i="7"/>
  <c r="AM1" i="7"/>
  <c r="AL1" i="7"/>
  <c r="AK1" i="7"/>
  <c r="AH1" i="7"/>
  <c r="AG1" i="7"/>
  <c r="AF1" i="7"/>
  <c r="AC1" i="7"/>
  <c r="AB1" i="7"/>
  <c r="AA1" i="7"/>
  <c r="A14" i="5" s="1"/>
  <c r="Z1" i="7"/>
  <c r="X1" i="7"/>
  <c r="W1" i="7"/>
  <c r="V1" i="7"/>
  <c r="U1" i="7"/>
  <c r="T1" i="7"/>
  <c r="S1" i="7"/>
  <c r="R1" i="7"/>
  <c r="Q1" i="7"/>
  <c r="P1" i="7"/>
  <c r="O1" i="7"/>
  <c r="N1" i="7"/>
  <c r="M1" i="7"/>
  <c r="L1" i="7"/>
  <c r="K1" i="7"/>
  <c r="J1" i="7"/>
  <c r="I1" i="7"/>
  <c r="H1" i="7"/>
  <c r="G1" i="7"/>
  <c r="F1" i="7"/>
  <c r="AK1" i="9"/>
  <c r="AJ1" i="9"/>
  <c r="AI1" i="9"/>
  <c r="G1" i="9"/>
  <c r="H1" i="9"/>
  <c r="I1" i="9"/>
  <c r="J1" i="9"/>
  <c r="K1" i="9"/>
  <c r="L1" i="9"/>
  <c r="M1" i="9"/>
  <c r="N1" i="9"/>
  <c r="O1" i="9"/>
  <c r="P1" i="9"/>
  <c r="Q1" i="9"/>
  <c r="R1" i="9"/>
  <c r="S1" i="9"/>
  <c r="T1" i="9"/>
  <c r="U1" i="9"/>
  <c r="V1" i="9"/>
  <c r="W1" i="9"/>
  <c r="X1" i="9"/>
  <c r="Y1" i="9"/>
  <c r="Z1" i="9"/>
  <c r="AA1" i="9"/>
  <c r="AB1" i="9"/>
  <c r="AC1" i="9"/>
  <c r="AD1" i="9"/>
  <c r="AE1" i="9"/>
  <c r="AF1" i="9"/>
  <c r="F1" i="9"/>
  <c r="X99" i="7" l="1"/>
  <c r="W99" i="7"/>
  <c r="X98" i="7"/>
  <c r="W98" i="7"/>
  <c r="X97" i="7"/>
  <c r="W97" i="7"/>
  <c r="X95" i="7"/>
  <c r="W95" i="7"/>
  <c r="X94" i="7"/>
  <c r="W94" i="7"/>
  <c r="X93" i="7"/>
  <c r="W93" i="7"/>
  <c r="X91" i="7"/>
  <c r="W91" i="7"/>
  <c r="X90" i="7"/>
  <c r="W90" i="7"/>
  <c r="X89" i="7"/>
  <c r="W89" i="7"/>
  <c r="X87" i="7"/>
  <c r="W87" i="7"/>
  <c r="X86" i="7"/>
  <c r="W86" i="7"/>
  <c r="X85" i="7"/>
  <c r="W85" i="7"/>
  <c r="X83" i="7"/>
  <c r="W83" i="7"/>
  <c r="X82" i="7"/>
  <c r="W82" i="7"/>
  <c r="X81" i="7"/>
  <c r="W81" i="7"/>
  <c r="X79" i="7"/>
  <c r="W79" i="7"/>
  <c r="X78" i="7"/>
  <c r="W78" i="7"/>
  <c r="X77" i="7"/>
  <c r="W77" i="7"/>
  <c r="X75" i="7"/>
  <c r="W75" i="7"/>
  <c r="X74" i="7"/>
  <c r="W74" i="7"/>
  <c r="X73" i="7"/>
  <c r="W73" i="7"/>
  <c r="X71" i="7"/>
  <c r="W71" i="7"/>
  <c r="X70" i="7"/>
  <c r="W70" i="7"/>
  <c r="X69" i="7"/>
  <c r="W69" i="7"/>
  <c r="X67" i="7"/>
  <c r="W67" i="7"/>
  <c r="X66" i="7"/>
  <c r="W66" i="7"/>
  <c r="X65" i="7"/>
  <c r="W65" i="7"/>
  <c r="X63" i="7"/>
  <c r="W63" i="7"/>
  <c r="X62" i="7"/>
  <c r="W62" i="7"/>
  <c r="X61" i="7"/>
  <c r="W61" i="7"/>
  <c r="X59" i="7"/>
  <c r="W59" i="7"/>
  <c r="X58" i="7"/>
  <c r="W58" i="7"/>
  <c r="X57" i="7"/>
  <c r="W57" i="7"/>
  <c r="X55" i="7"/>
  <c r="W55" i="7"/>
  <c r="X54" i="7"/>
  <c r="W54" i="7"/>
  <c r="X53" i="7"/>
  <c r="W53" i="7"/>
  <c r="X51" i="7"/>
  <c r="W51" i="7"/>
  <c r="X50" i="7"/>
  <c r="W50" i="7"/>
  <c r="X49" i="7"/>
  <c r="W49" i="7"/>
  <c r="X47" i="7"/>
  <c r="W47" i="7"/>
  <c r="X46" i="7"/>
  <c r="W46" i="7"/>
  <c r="X45" i="7"/>
  <c r="W45" i="7"/>
  <c r="X43" i="7"/>
  <c r="W43" i="7"/>
  <c r="X42" i="7"/>
  <c r="W42" i="7"/>
  <c r="X41" i="7"/>
  <c r="W41" i="7"/>
  <c r="X39" i="7"/>
  <c r="W39" i="7"/>
  <c r="X38" i="7"/>
  <c r="W38" i="7"/>
  <c r="X37" i="7"/>
  <c r="W37" i="7"/>
  <c r="X35" i="7"/>
  <c r="W35" i="7"/>
  <c r="X34" i="7"/>
  <c r="W34" i="7"/>
  <c r="X33" i="7"/>
  <c r="W33" i="7"/>
  <c r="X31" i="7"/>
  <c r="W31" i="7"/>
  <c r="X30" i="7"/>
  <c r="W30" i="7"/>
  <c r="X29" i="7"/>
  <c r="W29" i="7"/>
  <c r="X27" i="7"/>
  <c r="W27" i="7"/>
  <c r="X26" i="7"/>
  <c r="W26" i="7"/>
  <c r="X25" i="7"/>
  <c r="W25" i="7"/>
  <c r="X23" i="7"/>
  <c r="W23" i="7"/>
  <c r="X22" i="7"/>
  <c r="W22" i="7"/>
  <c r="X21" i="7"/>
  <c r="W21" i="7"/>
  <c r="X19" i="7"/>
  <c r="W19" i="7"/>
  <c r="X18" i="7"/>
  <c r="W18" i="7"/>
  <c r="X17" i="7"/>
  <c r="W17" i="7"/>
  <c r="X15" i="7"/>
  <c r="W15" i="7"/>
  <c r="X14" i="7"/>
  <c r="W14" i="7"/>
  <c r="X13" i="7"/>
  <c r="W13" i="7"/>
  <c r="X11" i="7"/>
  <c r="W11" i="7"/>
  <c r="X10" i="7"/>
  <c r="W10" i="7"/>
  <c r="X9" i="7"/>
  <c r="W9" i="7"/>
  <c r="V99" i="7"/>
  <c r="U99" i="7"/>
  <c r="T99" i="7"/>
  <c r="S99" i="7"/>
  <c r="V98" i="7"/>
  <c r="U98" i="7"/>
  <c r="T98" i="7"/>
  <c r="S98" i="7"/>
  <c r="V97" i="7"/>
  <c r="U97" i="7"/>
  <c r="T97" i="7"/>
  <c r="S97" i="7"/>
  <c r="V95" i="7"/>
  <c r="U95" i="7"/>
  <c r="T95" i="7"/>
  <c r="S95" i="7"/>
  <c r="V94" i="7"/>
  <c r="U94" i="7"/>
  <c r="T94" i="7"/>
  <c r="S94" i="7"/>
  <c r="V93" i="7"/>
  <c r="U93" i="7"/>
  <c r="T93" i="7"/>
  <c r="S93" i="7"/>
  <c r="V91" i="7"/>
  <c r="U91" i="7"/>
  <c r="T91" i="7"/>
  <c r="S91" i="7"/>
  <c r="V90" i="7"/>
  <c r="U90" i="7"/>
  <c r="T90" i="7"/>
  <c r="S90" i="7"/>
  <c r="V89" i="7"/>
  <c r="U89" i="7"/>
  <c r="T89" i="7"/>
  <c r="S89" i="7"/>
  <c r="V87" i="7"/>
  <c r="U87" i="7"/>
  <c r="T87" i="7"/>
  <c r="S87" i="7"/>
  <c r="V86" i="7"/>
  <c r="U86" i="7"/>
  <c r="T86" i="7"/>
  <c r="S86" i="7"/>
  <c r="V85" i="7"/>
  <c r="U85" i="7"/>
  <c r="T85" i="7"/>
  <c r="S85" i="7"/>
  <c r="V83" i="7"/>
  <c r="U83" i="7"/>
  <c r="T83" i="7"/>
  <c r="S83" i="7"/>
  <c r="V82" i="7"/>
  <c r="U82" i="7"/>
  <c r="T82" i="7"/>
  <c r="S82" i="7"/>
  <c r="V81" i="7"/>
  <c r="U81" i="7"/>
  <c r="T81" i="7"/>
  <c r="S81" i="7"/>
  <c r="V79" i="7"/>
  <c r="U79" i="7"/>
  <c r="T79" i="7"/>
  <c r="S79" i="7"/>
  <c r="V78" i="7"/>
  <c r="U78" i="7"/>
  <c r="T78" i="7"/>
  <c r="S78" i="7"/>
  <c r="V77" i="7"/>
  <c r="U77" i="7"/>
  <c r="T77" i="7"/>
  <c r="S77" i="7"/>
  <c r="V75" i="7"/>
  <c r="U75" i="7"/>
  <c r="T75" i="7"/>
  <c r="S75" i="7"/>
  <c r="V74" i="7"/>
  <c r="U74" i="7"/>
  <c r="T74" i="7"/>
  <c r="S74" i="7"/>
  <c r="V73" i="7"/>
  <c r="U73" i="7"/>
  <c r="T73" i="7"/>
  <c r="S73" i="7"/>
  <c r="V71" i="7"/>
  <c r="U71" i="7"/>
  <c r="T71" i="7"/>
  <c r="S71" i="7"/>
  <c r="V70" i="7"/>
  <c r="U70" i="7"/>
  <c r="T70" i="7"/>
  <c r="S70" i="7"/>
  <c r="V69" i="7"/>
  <c r="U69" i="7"/>
  <c r="T69" i="7"/>
  <c r="S69" i="7"/>
  <c r="V67" i="7"/>
  <c r="U67" i="7"/>
  <c r="T67" i="7"/>
  <c r="S67" i="7"/>
  <c r="V66" i="7"/>
  <c r="U66" i="7"/>
  <c r="T66" i="7"/>
  <c r="S66" i="7"/>
  <c r="V65" i="7"/>
  <c r="U65" i="7"/>
  <c r="T65" i="7"/>
  <c r="S65" i="7"/>
  <c r="V63" i="7"/>
  <c r="V62" i="7"/>
  <c r="V61" i="7"/>
  <c r="V59" i="7"/>
  <c r="V58" i="7"/>
  <c r="V57" i="7"/>
  <c r="V55" i="7"/>
  <c r="V54" i="7"/>
  <c r="V53" i="7"/>
  <c r="V51" i="7"/>
  <c r="V50" i="7"/>
  <c r="V49" i="7"/>
  <c r="V47" i="7"/>
  <c r="V46" i="7"/>
  <c r="V45" i="7"/>
  <c r="V43" i="7"/>
  <c r="V42" i="7"/>
  <c r="V41" i="7"/>
  <c r="V39" i="7"/>
  <c r="V38" i="7"/>
  <c r="V37" i="7"/>
  <c r="V35" i="7"/>
  <c r="V34" i="7"/>
  <c r="V33" i="7"/>
  <c r="V31" i="7"/>
  <c r="V30" i="7"/>
  <c r="V29" i="7"/>
  <c r="V27" i="7"/>
  <c r="V26" i="7"/>
  <c r="V25" i="7"/>
  <c r="V23" i="7"/>
  <c r="V22" i="7"/>
  <c r="V21" i="7"/>
  <c r="V19" i="7"/>
  <c r="V18" i="7"/>
  <c r="V17" i="7"/>
  <c r="V15" i="7"/>
  <c r="V14" i="7"/>
  <c r="V13" i="7"/>
  <c r="V11" i="7"/>
  <c r="V10" i="7"/>
  <c r="V9" i="7"/>
  <c r="U63" i="7"/>
  <c r="U62" i="7"/>
  <c r="U61" i="7"/>
  <c r="U59" i="7"/>
  <c r="U58" i="7"/>
  <c r="U57" i="7"/>
  <c r="U55" i="7"/>
  <c r="U54" i="7"/>
  <c r="U53" i="7"/>
  <c r="U51" i="7"/>
  <c r="U50" i="7"/>
  <c r="U49" i="7"/>
  <c r="U47" i="7"/>
  <c r="U46" i="7"/>
  <c r="U45" i="7"/>
  <c r="U43" i="7"/>
  <c r="U42" i="7"/>
  <c r="U41" i="7"/>
  <c r="U39" i="7"/>
  <c r="U38" i="7"/>
  <c r="U37" i="7"/>
  <c r="U35" i="7"/>
  <c r="U34" i="7"/>
  <c r="U33" i="7"/>
  <c r="U31" i="7"/>
  <c r="U30" i="7"/>
  <c r="U29" i="7"/>
  <c r="U27" i="7"/>
  <c r="U26" i="7"/>
  <c r="U25" i="7"/>
  <c r="U23" i="7"/>
  <c r="U22" i="7"/>
  <c r="U21" i="7"/>
  <c r="U19" i="7"/>
  <c r="U18" i="7"/>
  <c r="U17" i="7"/>
  <c r="U15" i="7"/>
  <c r="U14" i="7"/>
  <c r="U13" i="7"/>
  <c r="U11" i="7"/>
  <c r="U10" i="7"/>
  <c r="U9" i="7"/>
  <c r="T63" i="7"/>
  <c r="T62" i="7"/>
  <c r="T61" i="7"/>
  <c r="T59" i="7"/>
  <c r="T58" i="7"/>
  <c r="T57" i="7"/>
  <c r="T55" i="7"/>
  <c r="T54" i="7"/>
  <c r="T53" i="7"/>
  <c r="T51" i="7"/>
  <c r="T50" i="7"/>
  <c r="T49" i="7"/>
  <c r="T47" i="7"/>
  <c r="T46" i="7"/>
  <c r="T45" i="7"/>
  <c r="T43" i="7"/>
  <c r="T42" i="7"/>
  <c r="T41" i="7"/>
  <c r="T39" i="7"/>
  <c r="T38" i="7"/>
  <c r="T37" i="7"/>
  <c r="T35" i="7"/>
  <c r="T34" i="7"/>
  <c r="T33" i="7"/>
  <c r="T31" i="7"/>
  <c r="T30" i="7"/>
  <c r="T29" i="7"/>
  <c r="T27" i="7"/>
  <c r="T26" i="7"/>
  <c r="T25" i="7"/>
  <c r="T23" i="7"/>
  <c r="T22" i="7"/>
  <c r="T21" i="7"/>
  <c r="T19" i="7"/>
  <c r="T18" i="7"/>
  <c r="T17" i="7"/>
  <c r="T15" i="7"/>
  <c r="T14" i="7"/>
  <c r="T13" i="7"/>
  <c r="T11" i="7"/>
  <c r="T10" i="7"/>
  <c r="T9" i="7"/>
  <c r="S63" i="7"/>
  <c r="S62" i="7"/>
  <c r="S61" i="7"/>
  <c r="S59" i="7"/>
  <c r="S58" i="7"/>
  <c r="S57" i="7"/>
  <c r="S55" i="7"/>
  <c r="S54" i="7"/>
  <c r="S53" i="7"/>
  <c r="S51" i="7"/>
  <c r="S50" i="7"/>
  <c r="S49" i="7"/>
  <c r="S47" i="7"/>
  <c r="S46" i="7"/>
  <c r="S45" i="7"/>
  <c r="S43" i="7"/>
  <c r="S42" i="7"/>
  <c r="S41" i="7"/>
  <c r="S39" i="7"/>
  <c r="S38" i="7"/>
  <c r="S37" i="7"/>
  <c r="S35" i="7"/>
  <c r="S34" i="7"/>
  <c r="S33" i="7"/>
  <c r="S31" i="7"/>
  <c r="S30" i="7"/>
  <c r="S29" i="7"/>
  <c r="S27" i="7"/>
  <c r="S26" i="7"/>
  <c r="S25" i="7"/>
  <c r="S23" i="7"/>
  <c r="S22" i="7"/>
  <c r="S21" i="7"/>
  <c r="S19" i="7"/>
  <c r="S18" i="7"/>
  <c r="S17" i="7"/>
  <c r="S15" i="7"/>
  <c r="S14" i="7"/>
  <c r="S13" i="7"/>
  <c r="S11" i="7"/>
  <c r="S10" i="7"/>
  <c r="S9" i="7"/>
  <c r="AC53" i="9" l="1"/>
  <c r="AB53" i="9"/>
  <c r="AC51" i="9"/>
  <c r="AB51" i="9"/>
  <c r="AC49" i="9"/>
  <c r="AB49" i="9"/>
  <c r="AC47" i="9"/>
  <c r="AB47" i="9"/>
  <c r="AC45" i="9"/>
  <c r="AB45" i="9"/>
  <c r="AC43" i="9"/>
  <c r="AB43" i="9"/>
  <c r="AC41" i="9"/>
  <c r="AB41" i="9"/>
  <c r="AC39" i="9"/>
  <c r="AB39" i="9"/>
  <c r="AC37" i="9"/>
  <c r="AB37" i="9"/>
  <c r="AC35" i="9"/>
  <c r="AB35" i="9"/>
  <c r="AC33" i="9"/>
  <c r="AB33" i="9"/>
  <c r="AC31" i="9"/>
  <c r="AB31" i="9"/>
  <c r="AC29" i="9"/>
  <c r="AB29" i="9"/>
  <c r="AC27" i="9"/>
  <c r="AB27" i="9"/>
  <c r="AC25" i="9"/>
  <c r="AB25" i="9"/>
  <c r="AC23" i="9"/>
  <c r="AB23" i="9"/>
  <c r="AC21" i="9"/>
  <c r="AB21" i="9"/>
  <c r="AC19" i="9"/>
  <c r="AB19" i="9"/>
  <c r="AC17" i="9"/>
  <c r="AB17" i="9"/>
  <c r="AC15" i="9"/>
  <c r="AB15" i="9"/>
  <c r="AC13" i="9"/>
  <c r="AB13" i="9"/>
  <c r="AC11" i="9"/>
  <c r="AB11" i="9"/>
  <c r="AC9" i="9"/>
  <c r="AB9" i="9"/>
  <c r="AF53" i="9"/>
  <c r="AE53" i="9"/>
  <c r="AA53" i="9"/>
  <c r="Z53" i="9"/>
  <c r="Y53" i="9"/>
  <c r="X53" i="9"/>
  <c r="W53" i="9"/>
  <c r="V53" i="9"/>
  <c r="U53" i="9"/>
  <c r="T53" i="9"/>
  <c r="S53" i="9"/>
  <c r="R53" i="9"/>
  <c r="Q53" i="9"/>
  <c r="P53" i="9"/>
  <c r="O53" i="9"/>
  <c r="N53" i="9"/>
  <c r="M53" i="9"/>
  <c r="L53" i="9"/>
  <c r="K53" i="9"/>
  <c r="J53" i="9"/>
  <c r="I53" i="9"/>
  <c r="E53" i="9"/>
  <c r="D53" i="9"/>
  <c r="C53" i="9"/>
  <c r="S52" i="9"/>
  <c r="R52" i="9"/>
  <c r="Q52" i="9"/>
  <c r="P52" i="9"/>
  <c r="O52" i="9"/>
  <c r="N52" i="9"/>
  <c r="M52" i="9"/>
  <c r="L52" i="9"/>
  <c r="E52" i="9"/>
  <c r="F52" i="9" s="1"/>
  <c r="C52" i="9"/>
  <c r="AF51" i="9"/>
  <c r="AE51" i="9"/>
  <c r="AA51" i="9"/>
  <c r="Z51" i="9"/>
  <c r="Y51" i="9"/>
  <c r="X51" i="9"/>
  <c r="W51" i="9"/>
  <c r="V51" i="9"/>
  <c r="U51" i="9"/>
  <c r="T51" i="9"/>
  <c r="S51" i="9"/>
  <c r="R51" i="9"/>
  <c r="Q51" i="9"/>
  <c r="P51" i="9"/>
  <c r="O51" i="9"/>
  <c r="N51" i="9"/>
  <c r="M51" i="9"/>
  <c r="L51" i="9"/>
  <c r="K51" i="9"/>
  <c r="J51" i="9"/>
  <c r="I51" i="9"/>
  <c r="E51" i="9"/>
  <c r="D51" i="9"/>
  <c r="C51" i="9"/>
  <c r="S50" i="9"/>
  <c r="R50" i="9"/>
  <c r="Q50" i="9"/>
  <c r="P50" i="9"/>
  <c r="O50" i="9"/>
  <c r="N50" i="9"/>
  <c r="M50" i="9"/>
  <c r="L50" i="9"/>
  <c r="E50" i="9"/>
  <c r="F50" i="9" s="1"/>
  <c r="C50" i="9"/>
  <c r="AF49" i="9"/>
  <c r="AE49" i="9"/>
  <c r="AA49" i="9"/>
  <c r="Z49" i="9"/>
  <c r="Y49" i="9"/>
  <c r="X49" i="9"/>
  <c r="W49" i="9"/>
  <c r="V49" i="9"/>
  <c r="U49" i="9"/>
  <c r="T49" i="9"/>
  <c r="S49" i="9"/>
  <c r="R49" i="9"/>
  <c r="Q49" i="9"/>
  <c r="P49" i="9"/>
  <c r="O49" i="9"/>
  <c r="N49" i="9"/>
  <c r="M49" i="9"/>
  <c r="L49" i="9"/>
  <c r="K49" i="9"/>
  <c r="J49" i="9"/>
  <c r="I49" i="9"/>
  <c r="E49" i="9"/>
  <c r="D49" i="9"/>
  <c r="C49" i="9"/>
  <c r="S48" i="9"/>
  <c r="R48" i="9"/>
  <c r="Q48" i="9"/>
  <c r="P48" i="9"/>
  <c r="O48" i="9"/>
  <c r="N48" i="9"/>
  <c r="M48" i="9"/>
  <c r="L48" i="9"/>
  <c r="E48" i="9"/>
  <c r="F48" i="9" s="1"/>
  <c r="C48" i="9"/>
  <c r="AF47" i="9"/>
  <c r="AE47" i="9"/>
  <c r="AA47" i="9"/>
  <c r="Z47" i="9"/>
  <c r="Y47" i="9"/>
  <c r="X47" i="9"/>
  <c r="W47" i="9"/>
  <c r="V47" i="9"/>
  <c r="U47" i="9"/>
  <c r="T47" i="9"/>
  <c r="S47" i="9"/>
  <c r="R47" i="9"/>
  <c r="Q47" i="9"/>
  <c r="P47" i="9"/>
  <c r="O47" i="9"/>
  <c r="N47" i="9"/>
  <c r="M47" i="9"/>
  <c r="L47" i="9"/>
  <c r="K47" i="9"/>
  <c r="J47" i="9"/>
  <c r="I47" i="9"/>
  <c r="E47" i="9"/>
  <c r="D47" i="9"/>
  <c r="C47" i="9"/>
  <c r="S46" i="9"/>
  <c r="R46" i="9"/>
  <c r="Q46" i="9"/>
  <c r="P46" i="9"/>
  <c r="O46" i="9"/>
  <c r="N46" i="9"/>
  <c r="M46" i="9"/>
  <c r="L46" i="9"/>
  <c r="E46" i="9"/>
  <c r="F46" i="9" s="1"/>
  <c r="C46" i="9"/>
  <c r="AF45" i="9"/>
  <c r="AE45" i="9"/>
  <c r="AA45" i="9"/>
  <c r="Z45" i="9"/>
  <c r="Y45" i="9"/>
  <c r="X45" i="9"/>
  <c r="W45" i="9"/>
  <c r="V45" i="9"/>
  <c r="U45" i="9"/>
  <c r="T45" i="9"/>
  <c r="S45" i="9"/>
  <c r="R45" i="9"/>
  <c r="Q45" i="9"/>
  <c r="P45" i="9"/>
  <c r="O45" i="9"/>
  <c r="N45" i="9"/>
  <c r="M45" i="9"/>
  <c r="L45" i="9"/>
  <c r="K45" i="9"/>
  <c r="J45" i="9"/>
  <c r="I45" i="9"/>
  <c r="E45" i="9"/>
  <c r="D45" i="9"/>
  <c r="C45" i="9"/>
  <c r="S44" i="9"/>
  <c r="R44" i="9"/>
  <c r="Q44" i="9"/>
  <c r="P44" i="9"/>
  <c r="O44" i="9"/>
  <c r="N44" i="9"/>
  <c r="M44" i="9"/>
  <c r="L44" i="9"/>
  <c r="E44" i="9"/>
  <c r="F44" i="9" s="1"/>
  <c r="C44" i="9"/>
  <c r="AF43" i="9"/>
  <c r="AE43" i="9"/>
  <c r="AA43" i="9"/>
  <c r="Z43" i="9"/>
  <c r="Y43" i="9"/>
  <c r="X43" i="9"/>
  <c r="W43" i="9"/>
  <c r="V43" i="9"/>
  <c r="U43" i="9"/>
  <c r="T43" i="9"/>
  <c r="S43" i="9"/>
  <c r="R43" i="9"/>
  <c r="Q43" i="9"/>
  <c r="P43" i="9"/>
  <c r="O43" i="9"/>
  <c r="N43" i="9"/>
  <c r="M43" i="9"/>
  <c r="L43" i="9"/>
  <c r="K43" i="9"/>
  <c r="J43" i="9"/>
  <c r="I43" i="9"/>
  <c r="E43" i="9"/>
  <c r="D43" i="9"/>
  <c r="C43" i="9"/>
  <c r="S42" i="9"/>
  <c r="R42" i="9"/>
  <c r="Q42" i="9"/>
  <c r="P42" i="9"/>
  <c r="O42" i="9"/>
  <c r="N42" i="9"/>
  <c r="M42" i="9"/>
  <c r="L42" i="9"/>
  <c r="E42" i="9"/>
  <c r="F42" i="9" s="1"/>
  <c r="C42" i="9"/>
  <c r="AF41" i="9"/>
  <c r="AE41" i="9"/>
  <c r="AA41" i="9"/>
  <c r="Z41" i="9"/>
  <c r="Y41" i="9"/>
  <c r="X41" i="9"/>
  <c r="W41" i="9"/>
  <c r="V41" i="9"/>
  <c r="U41" i="9"/>
  <c r="T41" i="9"/>
  <c r="S41" i="9"/>
  <c r="R41" i="9"/>
  <c r="Q41" i="9"/>
  <c r="P41" i="9"/>
  <c r="O41" i="9"/>
  <c r="N41" i="9"/>
  <c r="M41" i="9"/>
  <c r="L41" i="9"/>
  <c r="K41" i="9"/>
  <c r="J41" i="9"/>
  <c r="I41" i="9"/>
  <c r="E41" i="9"/>
  <c r="D41" i="9"/>
  <c r="C41" i="9"/>
  <c r="S40" i="9"/>
  <c r="R40" i="9"/>
  <c r="Q40" i="9"/>
  <c r="P40" i="9"/>
  <c r="O40" i="9"/>
  <c r="N40" i="9"/>
  <c r="M40" i="9"/>
  <c r="L40" i="9"/>
  <c r="E40" i="9"/>
  <c r="F40" i="9" s="1"/>
  <c r="C40" i="9"/>
  <c r="AF39" i="9"/>
  <c r="AE39" i="9"/>
  <c r="AA39" i="9"/>
  <c r="Z39" i="9"/>
  <c r="Y39" i="9"/>
  <c r="X39" i="9"/>
  <c r="W39" i="9"/>
  <c r="V39" i="9"/>
  <c r="U39" i="9"/>
  <c r="T39" i="9"/>
  <c r="S39" i="9"/>
  <c r="R39" i="9"/>
  <c r="Q39" i="9"/>
  <c r="P39" i="9"/>
  <c r="O39" i="9"/>
  <c r="N39" i="9"/>
  <c r="M39" i="9"/>
  <c r="L39" i="9"/>
  <c r="K39" i="9"/>
  <c r="J39" i="9"/>
  <c r="I39" i="9"/>
  <c r="E39" i="9"/>
  <c r="D39" i="9"/>
  <c r="C39" i="9"/>
  <c r="S38" i="9"/>
  <c r="R38" i="9"/>
  <c r="Q38" i="9"/>
  <c r="P38" i="9"/>
  <c r="O38" i="9"/>
  <c r="N38" i="9"/>
  <c r="M38" i="9"/>
  <c r="L38" i="9"/>
  <c r="E38" i="9"/>
  <c r="F38" i="9" s="1"/>
  <c r="C38" i="9"/>
  <c r="AF37" i="9"/>
  <c r="AE37" i="9"/>
  <c r="AA37" i="9"/>
  <c r="Z37" i="9"/>
  <c r="Y37" i="9"/>
  <c r="X37" i="9"/>
  <c r="W37" i="9"/>
  <c r="V37" i="9"/>
  <c r="U37" i="9"/>
  <c r="T37" i="9"/>
  <c r="S37" i="9"/>
  <c r="R37" i="9"/>
  <c r="Q37" i="9"/>
  <c r="P37" i="9"/>
  <c r="O37" i="9"/>
  <c r="N37" i="9"/>
  <c r="M37" i="9"/>
  <c r="L37" i="9"/>
  <c r="K37" i="9"/>
  <c r="J37" i="9"/>
  <c r="I37" i="9"/>
  <c r="E37" i="9"/>
  <c r="D37" i="9"/>
  <c r="C37" i="9"/>
  <c r="S36" i="9"/>
  <c r="R36" i="9"/>
  <c r="Q36" i="9"/>
  <c r="P36" i="9"/>
  <c r="O36" i="9"/>
  <c r="N36" i="9"/>
  <c r="M36" i="9"/>
  <c r="L36" i="9"/>
  <c r="E36" i="9"/>
  <c r="F36" i="9" s="1"/>
  <c r="C36" i="9"/>
  <c r="AF35" i="9"/>
  <c r="AE35" i="9"/>
  <c r="AA35" i="9"/>
  <c r="Z35" i="9"/>
  <c r="Y35" i="9"/>
  <c r="X35" i="9"/>
  <c r="W35" i="9"/>
  <c r="V35" i="9"/>
  <c r="U35" i="9"/>
  <c r="T35" i="9"/>
  <c r="S35" i="9"/>
  <c r="R35" i="9"/>
  <c r="Q35" i="9"/>
  <c r="P35" i="9"/>
  <c r="O35" i="9"/>
  <c r="N35" i="9"/>
  <c r="M35" i="9"/>
  <c r="L35" i="9"/>
  <c r="K35" i="9"/>
  <c r="J35" i="9"/>
  <c r="I35" i="9"/>
  <c r="E35" i="9"/>
  <c r="D35" i="9"/>
  <c r="C35" i="9"/>
  <c r="S34" i="9"/>
  <c r="R34" i="9"/>
  <c r="Q34" i="9"/>
  <c r="P34" i="9"/>
  <c r="O34" i="9"/>
  <c r="N34" i="9"/>
  <c r="M34" i="9"/>
  <c r="L34" i="9"/>
  <c r="E34" i="9"/>
  <c r="F34" i="9" s="1"/>
  <c r="C34" i="9"/>
  <c r="AF33" i="9"/>
  <c r="AE33" i="9"/>
  <c r="AA33" i="9"/>
  <c r="Z33" i="9"/>
  <c r="Y33" i="9"/>
  <c r="X33" i="9"/>
  <c r="W33" i="9"/>
  <c r="V33" i="9"/>
  <c r="U33" i="9"/>
  <c r="T33" i="9"/>
  <c r="S33" i="9"/>
  <c r="R33" i="9"/>
  <c r="Q33" i="9"/>
  <c r="P33" i="9"/>
  <c r="O33" i="9"/>
  <c r="N33" i="9"/>
  <c r="M33" i="9"/>
  <c r="L33" i="9"/>
  <c r="K33" i="9"/>
  <c r="J33" i="9"/>
  <c r="I33" i="9"/>
  <c r="E33" i="9"/>
  <c r="D33" i="9"/>
  <c r="C33" i="9"/>
  <c r="S32" i="9"/>
  <c r="R32" i="9"/>
  <c r="Q32" i="9"/>
  <c r="P32" i="9"/>
  <c r="O32" i="9"/>
  <c r="N32" i="9"/>
  <c r="M32" i="9"/>
  <c r="L32" i="9"/>
  <c r="E32" i="9"/>
  <c r="F32" i="9" s="1"/>
  <c r="C32" i="9"/>
  <c r="AF31" i="9"/>
  <c r="AE31" i="9"/>
  <c r="AA31" i="9"/>
  <c r="Z31" i="9"/>
  <c r="Y31" i="9"/>
  <c r="X31" i="9"/>
  <c r="W31" i="9"/>
  <c r="V31" i="9"/>
  <c r="U31" i="9"/>
  <c r="T31" i="9"/>
  <c r="S31" i="9"/>
  <c r="R31" i="9"/>
  <c r="Q31" i="9"/>
  <c r="P31" i="9"/>
  <c r="O31" i="9"/>
  <c r="N31" i="9"/>
  <c r="M31" i="9"/>
  <c r="L31" i="9"/>
  <c r="K31" i="9"/>
  <c r="J31" i="9"/>
  <c r="I31" i="9"/>
  <c r="E31" i="9"/>
  <c r="D31" i="9"/>
  <c r="C31" i="9"/>
  <c r="S30" i="9"/>
  <c r="R30" i="9"/>
  <c r="Q30" i="9"/>
  <c r="P30" i="9"/>
  <c r="O30" i="9"/>
  <c r="N30" i="9"/>
  <c r="M30" i="9"/>
  <c r="L30" i="9"/>
  <c r="E30" i="9"/>
  <c r="F30" i="9" s="1"/>
  <c r="C30" i="9"/>
  <c r="AF29" i="9"/>
  <c r="AE29" i="9"/>
  <c r="AA29" i="9"/>
  <c r="Z29" i="9"/>
  <c r="Y29" i="9"/>
  <c r="X29" i="9"/>
  <c r="W29" i="9"/>
  <c r="V29" i="9"/>
  <c r="U29" i="9"/>
  <c r="T29" i="9"/>
  <c r="S29" i="9"/>
  <c r="R29" i="9"/>
  <c r="Q29" i="9"/>
  <c r="P29" i="9"/>
  <c r="O29" i="9"/>
  <c r="N29" i="9"/>
  <c r="M29" i="9"/>
  <c r="L29" i="9"/>
  <c r="K29" i="9"/>
  <c r="J29" i="9"/>
  <c r="I29" i="9"/>
  <c r="E29" i="9"/>
  <c r="D29" i="9"/>
  <c r="C29" i="9"/>
  <c r="S28" i="9"/>
  <c r="R28" i="9"/>
  <c r="Q28" i="9"/>
  <c r="P28" i="9"/>
  <c r="O28" i="9"/>
  <c r="N28" i="9"/>
  <c r="M28" i="9"/>
  <c r="L28" i="9"/>
  <c r="E28" i="9"/>
  <c r="F28" i="9" s="1"/>
  <c r="C28" i="9"/>
  <c r="AF27" i="9"/>
  <c r="AE27" i="9"/>
  <c r="AA27" i="9"/>
  <c r="Z27" i="9"/>
  <c r="Y27" i="9"/>
  <c r="X27" i="9"/>
  <c r="W27" i="9"/>
  <c r="V27" i="9"/>
  <c r="U27" i="9"/>
  <c r="T27" i="9"/>
  <c r="S27" i="9"/>
  <c r="R27" i="9"/>
  <c r="Q27" i="9"/>
  <c r="P27" i="9"/>
  <c r="O27" i="9"/>
  <c r="N27" i="9"/>
  <c r="M27" i="9"/>
  <c r="L27" i="9"/>
  <c r="K27" i="9"/>
  <c r="J27" i="9"/>
  <c r="I27" i="9"/>
  <c r="E27" i="9"/>
  <c r="D27" i="9"/>
  <c r="C27" i="9"/>
  <c r="S26" i="9"/>
  <c r="R26" i="9"/>
  <c r="Q26" i="9"/>
  <c r="P26" i="9"/>
  <c r="O26" i="9"/>
  <c r="N26" i="9"/>
  <c r="M26" i="9"/>
  <c r="L26" i="9"/>
  <c r="E26" i="9"/>
  <c r="F26" i="9" s="1"/>
  <c r="C26" i="9"/>
  <c r="AF25" i="9"/>
  <c r="AE25" i="9"/>
  <c r="AA25" i="9"/>
  <c r="Z25" i="9"/>
  <c r="Y25" i="9"/>
  <c r="X25" i="9"/>
  <c r="W25" i="9"/>
  <c r="V25" i="9"/>
  <c r="U25" i="9"/>
  <c r="T25" i="9"/>
  <c r="S25" i="9"/>
  <c r="R25" i="9"/>
  <c r="Q25" i="9"/>
  <c r="P25" i="9"/>
  <c r="O25" i="9"/>
  <c r="N25" i="9"/>
  <c r="M25" i="9"/>
  <c r="L25" i="9"/>
  <c r="K25" i="9"/>
  <c r="J25" i="9"/>
  <c r="I25" i="9"/>
  <c r="E25" i="9"/>
  <c r="D25" i="9"/>
  <c r="C25" i="9"/>
  <c r="S24" i="9"/>
  <c r="R24" i="9"/>
  <c r="Q24" i="9"/>
  <c r="P24" i="9"/>
  <c r="O24" i="9"/>
  <c r="N24" i="9"/>
  <c r="M24" i="9"/>
  <c r="L24" i="9"/>
  <c r="E24" i="9"/>
  <c r="F24" i="9" s="1"/>
  <c r="C24" i="9"/>
  <c r="AF23" i="9"/>
  <c r="AE23" i="9"/>
  <c r="AA23" i="9"/>
  <c r="Z23" i="9"/>
  <c r="Y23" i="9"/>
  <c r="X23" i="9"/>
  <c r="W23" i="9"/>
  <c r="V23" i="9"/>
  <c r="U23" i="9"/>
  <c r="T23" i="9"/>
  <c r="S23" i="9"/>
  <c r="R23" i="9"/>
  <c r="Q23" i="9"/>
  <c r="P23" i="9"/>
  <c r="O23" i="9"/>
  <c r="N23" i="9"/>
  <c r="M23" i="9"/>
  <c r="L23" i="9"/>
  <c r="K23" i="9"/>
  <c r="J23" i="9"/>
  <c r="I23" i="9"/>
  <c r="E23" i="9"/>
  <c r="D23" i="9"/>
  <c r="C23" i="9"/>
  <c r="S22" i="9"/>
  <c r="R22" i="9"/>
  <c r="Q22" i="9"/>
  <c r="P22" i="9"/>
  <c r="O22" i="9"/>
  <c r="N22" i="9"/>
  <c r="M22" i="9"/>
  <c r="L22" i="9"/>
  <c r="E22" i="9"/>
  <c r="F22" i="9" s="1"/>
  <c r="C22" i="9"/>
  <c r="AF21" i="9"/>
  <c r="AE21" i="9"/>
  <c r="AA21" i="9"/>
  <c r="Z21" i="9"/>
  <c r="Y21" i="9"/>
  <c r="X21" i="9"/>
  <c r="W21" i="9"/>
  <c r="V21" i="9"/>
  <c r="U21" i="9"/>
  <c r="T21" i="9"/>
  <c r="S21" i="9"/>
  <c r="R21" i="9"/>
  <c r="Q21" i="9"/>
  <c r="P21" i="9"/>
  <c r="O21" i="9"/>
  <c r="N21" i="9"/>
  <c r="M21" i="9"/>
  <c r="L21" i="9"/>
  <c r="K21" i="9"/>
  <c r="J21" i="9"/>
  <c r="I21" i="9"/>
  <c r="E21" i="9"/>
  <c r="D21" i="9"/>
  <c r="C21" i="9"/>
  <c r="S20" i="9"/>
  <c r="R20" i="9"/>
  <c r="Q20" i="9"/>
  <c r="P20" i="9"/>
  <c r="O20" i="9"/>
  <c r="N20" i="9"/>
  <c r="M20" i="9"/>
  <c r="L20" i="9"/>
  <c r="E20" i="9"/>
  <c r="F20" i="9" s="1"/>
  <c r="C20" i="9"/>
  <c r="AF19" i="9"/>
  <c r="AE19" i="9"/>
  <c r="AA19" i="9"/>
  <c r="Z19" i="9"/>
  <c r="Y19" i="9"/>
  <c r="X19" i="9"/>
  <c r="W19" i="9"/>
  <c r="V19" i="9"/>
  <c r="U19" i="9"/>
  <c r="T19" i="9"/>
  <c r="S19" i="9"/>
  <c r="R19" i="9"/>
  <c r="Q19" i="9"/>
  <c r="P19" i="9"/>
  <c r="O19" i="9"/>
  <c r="N19" i="9"/>
  <c r="M19" i="9"/>
  <c r="L19" i="9"/>
  <c r="K19" i="9"/>
  <c r="J19" i="9"/>
  <c r="I19" i="9"/>
  <c r="E19" i="9"/>
  <c r="D19" i="9"/>
  <c r="C19" i="9"/>
  <c r="S18" i="9"/>
  <c r="R18" i="9"/>
  <c r="Q18" i="9"/>
  <c r="P18" i="9"/>
  <c r="O18" i="9"/>
  <c r="N18" i="9"/>
  <c r="M18" i="9"/>
  <c r="L18" i="9"/>
  <c r="E18" i="9"/>
  <c r="F18" i="9" s="1"/>
  <c r="C18" i="9"/>
  <c r="AF17" i="9"/>
  <c r="AE17" i="9"/>
  <c r="AA17" i="9"/>
  <c r="Z17" i="9"/>
  <c r="Y17" i="9"/>
  <c r="X17" i="9"/>
  <c r="W17" i="9"/>
  <c r="V17" i="9"/>
  <c r="U17" i="9"/>
  <c r="T17" i="9"/>
  <c r="S17" i="9"/>
  <c r="R17" i="9"/>
  <c r="Q17" i="9"/>
  <c r="P17" i="9"/>
  <c r="O17" i="9"/>
  <c r="N17" i="9"/>
  <c r="M17" i="9"/>
  <c r="L17" i="9"/>
  <c r="K17" i="9"/>
  <c r="J17" i="9"/>
  <c r="I17" i="9"/>
  <c r="E17" i="9"/>
  <c r="D17" i="9"/>
  <c r="C17" i="9"/>
  <c r="S16" i="9"/>
  <c r="R16" i="9"/>
  <c r="Q16" i="9"/>
  <c r="P16" i="9"/>
  <c r="O16" i="9"/>
  <c r="N16" i="9"/>
  <c r="M16" i="9"/>
  <c r="L16" i="9"/>
  <c r="E16" i="9"/>
  <c r="F16" i="9" s="1"/>
  <c r="C16" i="9"/>
  <c r="AF15" i="9"/>
  <c r="AE15" i="9"/>
  <c r="AA15" i="9"/>
  <c r="Z15" i="9"/>
  <c r="Y15" i="9"/>
  <c r="X15" i="9"/>
  <c r="W15" i="9"/>
  <c r="V15" i="9"/>
  <c r="U15" i="9"/>
  <c r="T15" i="9"/>
  <c r="S15" i="9"/>
  <c r="R15" i="9"/>
  <c r="Q15" i="9"/>
  <c r="P15" i="9"/>
  <c r="O15" i="9"/>
  <c r="N15" i="9"/>
  <c r="M15" i="9"/>
  <c r="L15" i="9"/>
  <c r="K15" i="9"/>
  <c r="J15" i="9"/>
  <c r="I15" i="9"/>
  <c r="E15" i="9"/>
  <c r="D15" i="9"/>
  <c r="C15" i="9"/>
  <c r="S14" i="9"/>
  <c r="R14" i="9"/>
  <c r="Q14" i="9"/>
  <c r="P14" i="9"/>
  <c r="O14" i="9"/>
  <c r="N14" i="9"/>
  <c r="M14" i="9"/>
  <c r="L14" i="9"/>
  <c r="E14" i="9"/>
  <c r="F14" i="9" s="1"/>
  <c r="C14" i="9"/>
  <c r="AF13" i="9"/>
  <c r="AE13" i="9"/>
  <c r="AA13" i="9"/>
  <c r="Z13" i="9"/>
  <c r="Y13" i="9"/>
  <c r="X13" i="9"/>
  <c r="W13" i="9"/>
  <c r="V13" i="9"/>
  <c r="U13" i="9"/>
  <c r="T13" i="9"/>
  <c r="S13" i="9"/>
  <c r="R13" i="9"/>
  <c r="Q13" i="9"/>
  <c r="P13" i="9"/>
  <c r="O13" i="9"/>
  <c r="N13" i="9"/>
  <c r="M13" i="9"/>
  <c r="L13" i="9"/>
  <c r="K13" i="9"/>
  <c r="J13" i="9"/>
  <c r="I13" i="9"/>
  <c r="E13" i="9"/>
  <c r="D13" i="9"/>
  <c r="C13" i="9"/>
  <c r="S12" i="9"/>
  <c r="R12" i="9"/>
  <c r="Q12" i="9"/>
  <c r="P12" i="9"/>
  <c r="O12" i="9"/>
  <c r="N12" i="9"/>
  <c r="M12" i="9"/>
  <c r="L12" i="9"/>
  <c r="E12" i="9"/>
  <c r="F12" i="9" s="1"/>
  <c r="C12" i="9"/>
  <c r="AF11" i="9"/>
  <c r="AE11" i="9"/>
  <c r="AA11" i="9"/>
  <c r="Z11" i="9"/>
  <c r="Y11" i="9"/>
  <c r="X11" i="9"/>
  <c r="W11" i="9"/>
  <c r="V11" i="9"/>
  <c r="U11" i="9"/>
  <c r="T11" i="9"/>
  <c r="S11" i="9"/>
  <c r="R11" i="9"/>
  <c r="Q11" i="9"/>
  <c r="P11" i="9"/>
  <c r="O11" i="9"/>
  <c r="N11" i="9"/>
  <c r="M11" i="9"/>
  <c r="L11" i="9"/>
  <c r="K11" i="9"/>
  <c r="J11" i="9"/>
  <c r="I11" i="9"/>
  <c r="E11" i="9"/>
  <c r="D11" i="9"/>
  <c r="C11" i="9"/>
  <c r="S10" i="9"/>
  <c r="R10" i="9"/>
  <c r="Q10" i="9"/>
  <c r="P10" i="9"/>
  <c r="O10" i="9"/>
  <c r="N10" i="9"/>
  <c r="M10" i="9"/>
  <c r="L10" i="9"/>
  <c r="E10" i="9"/>
  <c r="F10" i="9" s="1"/>
  <c r="C10" i="9"/>
  <c r="AF9" i="9"/>
  <c r="AE9" i="9"/>
  <c r="AA9" i="9"/>
  <c r="Z9" i="9"/>
  <c r="Y9" i="9"/>
  <c r="X9" i="9"/>
  <c r="W9" i="9"/>
  <c r="V9" i="9"/>
  <c r="U9" i="9"/>
  <c r="T9" i="9"/>
  <c r="K9" i="9"/>
  <c r="J9" i="9"/>
  <c r="I9" i="9"/>
  <c r="D9" i="9"/>
  <c r="F9" i="9" s="1"/>
  <c r="F8" i="9"/>
  <c r="F13" i="9" l="1"/>
  <c r="F19" i="9"/>
  <c r="F35" i="9"/>
  <c r="F51" i="9"/>
  <c r="F25" i="9"/>
  <c r="F41" i="9"/>
  <c r="F11" i="9"/>
  <c r="F27" i="9"/>
  <c r="F43" i="9"/>
  <c r="F17" i="9"/>
  <c r="F33" i="9"/>
  <c r="F49" i="9"/>
  <c r="F53" i="9"/>
  <c r="F21" i="9"/>
  <c r="F29" i="9"/>
  <c r="F37" i="9"/>
  <c r="F45" i="9"/>
  <c r="F15" i="9"/>
  <c r="F23" i="9"/>
  <c r="F31" i="9"/>
  <c r="F39" i="9"/>
  <c r="F47" i="9"/>
  <c r="P99" i="7" l="1"/>
  <c r="O99" i="7"/>
  <c r="N99" i="7"/>
  <c r="M99" i="7"/>
  <c r="L99" i="7"/>
  <c r="K99" i="7"/>
  <c r="E99" i="7"/>
  <c r="D99" i="7"/>
  <c r="C99" i="7"/>
  <c r="P98" i="7"/>
  <c r="O98" i="7"/>
  <c r="N98" i="7"/>
  <c r="M98" i="7"/>
  <c r="L98" i="7"/>
  <c r="K98" i="7"/>
  <c r="E98" i="7"/>
  <c r="D98" i="7"/>
  <c r="C98" i="7"/>
  <c r="P97" i="7"/>
  <c r="O97" i="7"/>
  <c r="N97" i="7"/>
  <c r="M97" i="7"/>
  <c r="L97" i="7"/>
  <c r="K97" i="7"/>
  <c r="E97" i="7"/>
  <c r="D97" i="7"/>
  <c r="C97" i="7"/>
  <c r="P96" i="7"/>
  <c r="O96" i="7"/>
  <c r="N96" i="7"/>
  <c r="M96" i="7"/>
  <c r="L96" i="7"/>
  <c r="K96" i="7"/>
  <c r="E96" i="7"/>
  <c r="F96" i="7" s="1"/>
  <c r="C96" i="7"/>
  <c r="P95" i="7"/>
  <c r="O95" i="7"/>
  <c r="N95" i="7"/>
  <c r="M95" i="7"/>
  <c r="L95" i="7"/>
  <c r="K95" i="7"/>
  <c r="E95" i="7"/>
  <c r="D95" i="7"/>
  <c r="C95" i="7"/>
  <c r="P94" i="7"/>
  <c r="O94" i="7"/>
  <c r="N94" i="7"/>
  <c r="M94" i="7"/>
  <c r="L94" i="7"/>
  <c r="K94" i="7"/>
  <c r="E94" i="7"/>
  <c r="D94" i="7"/>
  <c r="C94" i="7"/>
  <c r="P93" i="7"/>
  <c r="O93" i="7"/>
  <c r="N93" i="7"/>
  <c r="M93" i="7"/>
  <c r="L93" i="7"/>
  <c r="K93" i="7"/>
  <c r="E93" i="7"/>
  <c r="D93" i="7"/>
  <c r="C93" i="7"/>
  <c r="P92" i="7"/>
  <c r="O92" i="7"/>
  <c r="N92" i="7"/>
  <c r="M92" i="7"/>
  <c r="L92" i="7"/>
  <c r="K92" i="7"/>
  <c r="E92" i="7"/>
  <c r="F92" i="7" s="1"/>
  <c r="C92" i="7"/>
  <c r="P91" i="7"/>
  <c r="O91" i="7"/>
  <c r="N91" i="7"/>
  <c r="M91" i="7"/>
  <c r="L91" i="7"/>
  <c r="K91" i="7"/>
  <c r="E91" i="7"/>
  <c r="D91" i="7"/>
  <c r="C91" i="7"/>
  <c r="P90" i="7"/>
  <c r="O90" i="7"/>
  <c r="N90" i="7"/>
  <c r="M90" i="7"/>
  <c r="L90" i="7"/>
  <c r="K90" i="7"/>
  <c r="E90" i="7"/>
  <c r="D90" i="7"/>
  <c r="C90" i="7"/>
  <c r="P89" i="7"/>
  <c r="O89" i="7"/>
  <c r="N89" i="7"/>
  <c r="M89" i="7"/>
  <c r="L89" i="7"/>
  <c r="K89" i="7"/>
  <c r="E89" i="7"/>
  <c r="D89" i="7"/>
  <c r="C89" i="7"/>
  <c r="P88" i="7"/>
  <c r="O88" i="7"/>
  <c r="N88" i="7"/>
  <c r="M88" i="7"/>
  <c r="L88" i="7"/>
  <c r="K88" i="7"/>
  <c r="E88" i="7"/>
  <c r="F88" i="7" s="1"/>
  <c r="C88" i="7"/>
  <c r="P87" i="7"/>
  <c r="O87" i="7"/>
  <c r="N87" i="7"/>
  <c r="M87" i="7"/>
  <c r="L87" i="7"/>
  <c r="K87" i="7"/>
  <c r="E87" i="7"/>
  <c r="D87" i="7"/>
  <c r="C87" i="7"/>
  <c r="P86" i="7"/>
  <c r="O86" i="7"/>
  <c r="N86" i="7"/>
  <c r="M86" i="7"/>
  <c r="L86" i="7"/>
  <c r="K86" i="7"/>
  <c r="E86" i="7"/>
  <c r="D86" i="7"/>
  <c r="C86" i="7"/>
  <c r="P85" i="7"/>
  <c r="O85" i="7"/>
  <c r="N85" i="7"/>
  <c r="M85" i="7"/>
  <c r="L85" i="7"/>
  <c r="K85" i="7"/>
  <c r="E85" i="7"/>
  <c r="D85" i="7"/>
  <c r="C85" i="7"/>
  <c r="P84" i="7"/>
  <c r="O84" i="7"/>
  <c r="N84" i="7"/>
  <c r="M84" i="7"/>
  <c r="L84" i="7"/>
  <c r="K84" i="7"/>
  <c r="E84" i="7"/>
  <c r="F84" i="7" s="1"/>
  <c r="C84" i="7"/>
  <c r="P83" i="7"/>
  <c r="O83" i="7"/>
  <c r="N83" i="7"/>
  <c r="M83" i="7"/>
  <c r="L83" i="7"/>
  <c r="K83" i="7"/>
  <c r="E83" i="7"/>
  <c r="D83" i="7"/>
  <c r="C83" i="7"/>
  <c r="P82" i="7"/>
  <c r="O82" i="7"/>
  <c r="N82" i="7"/>
  <c r="M82" i="7"/>
  <c r="L82" i="7"/>
  <c r="K82" i="7"/>
  <c r="E82" i="7"/>
  <c r="D82" i="7"/>
  <c r="C82" i="7"/>
  <c r="P81" i="7"/>
  <c r="O81" i="7"/>
  <c r="N81" i="7"/>
  <c r="M81" i="7"/>
  <c r="L81" i="7"/>
  <c r="K81" i="7"/>
  <c r="E81" i="7"/>
  <c r="D81" i="7"/>
  <c r="C81" i="7"/>
  <c r="P80" i="7"/>
  <c r="O80" i="7"/>
  <c r="N80" i="7"/>
  <c r="M80" i="7"/>
  <c r="L80" i="7"/>
  <c r="K80" i="7"/>
  <c r="E80" i="7"/>
  <c r="F80" i="7" s="1"/>
  <c r="C80" i="7"/>
  <c r="P79" i="7"/>
  <c r="O79" i="7"/>
  <c r="N79" i="7"/>
  <c r="M79" i="7"/>
  <c r="L79" i="7"/>
  <c r="K79" i="7"/>
  <c r="E79" i="7"/>
  <c r="D79" i="7"/>
  <c r="C79" i="7"/>
  <c r="P78" i="7"/>
  <c r="O78" i="7"/>
  <c r="N78" i="7"/>
  <c r="M78" i="7"/>
  <c r="L78" i="7"/>
  <c r="K78" i="7"/>
  <c r="E78" i="7"/>
  <c r="D78" i="7"/>
  <c r="C78" i="7"/>
  <c r="P77" i="7"/>
  <c r="O77" i="7"/>
  <c r="N77" i="7"/>
  <c r="M77" i="7"/>
  <c r="L77" i="7"/>
  <c r="K77" i="7"/>
  <c r="E77" i="7"/>
  <c r="F77" i="7" s="1"/>
  <c r="D77" i="7"/>
  <c r="C77" i="7"/>
  <c r="P76" i="7"/>
  <c r="O76" i="7"/>
  <c r="N76" i="7"/>
  <c r="M76" i="7"/>
  <c r="L76" i="7"/>
  <c r="K76" i="7"/>
  <c r="E76" i="7"/>
  <c r="F76" i="7" s="1"/>
  <c r="C76" i="7"/>
  <c r="P75" i="7"/>
  <c r="O75" i="7"/>
  <c r="N75" i="7"/>
  <c r="M75" i="7"/>
  <c r="L75" i="7"/>
  <c r="K75" i="7"/>
  <c r="E75" i="7"/>
  <c r="D75" i="7"/>
  <c r="C75" i="7"/>
  <c r="P74" i="7"/>
  <c r="O74" i="7"/>
  <c r="N74" i="7"/>
  <c r="M74" i="7"/>
  <c r="L74" i="7"/>
  <c r="K74" i="7"/>
  <c r="E74" i="7"/>
  <c r="D74" i="7"/>
  <c r="C74" i="7"/>
  <c r="P73" i="7"/>
  <c r="O73" i="7"/>
  <c r="N73" i="7"/>
  <c r="M73" i="7"/>
  <c r="L73" i="7"/>
  <c r="K73" i="7"/>
  <c r="E73" i="7"/>
  <c r="D73" i="7"/>
  <c r="C73" i="7"/>
  <c r="P72" i="7"/>
  <c r="O72" i="7"/>
  <c r="N72" i="7"/>
  <c r="M72" i="7"/>
  <c r="L72" i="7"/>
  <c r="K72" i="7"/>
  <c r="E72" i="7"/>
  <c r="F72" i="7" s="1"/>
  <c r="C72" i="7"/>
  <c r="P71" i="7"/>
  <c r="O71" i="7"/>
  <c r="N71" i="7"/>
  <c r="M71" i="7"/>
  <c r="L71" i="7"/>
  <c r="K71" i="7"/>
  <c r="E71" i="7"/>
  <c r="D71" i="7"/>
  <c r="C71" i="7"/>
  <c r="P70" i="7"/>
  <c r="O70" i="7"/>
  <c r="N70" i="7"/>
  <c r="M70" i="7"/>
  <c r="L70" i="7"/>
  <c r="K70" i="7"/>
  <c r="E70" i="7"/>
  <c r="D70" i="7"/>
  <c r="C70" i="7"/>
  <c r="P69" i="7"/>
  <c r="O69" i="7"/>
  <c r="N69" i="7"/>
  <c r="M69" i="7"/>
  <c r="L69" i="7"/>
  <c r="K69" i="7"/>
  <c r="E69" i="7"/>
  <c r="D69" i="7"/>
  <c r="C69" i="7"/>
  <c r="P68" i="7"/>
  <c r="O68" i="7"/>
  <c r="N68" i="7"/>
  <c r="M68" i="7"/>
  <c r="L68" i="7"/>
  <c r="K68" i="7"/>
  <c r="E68" i="7"/>
  <c r="F68" i="7" s="1"/>
  <c r="C68" i="7"/>
  <c r="P67" i="7"/>
  <c r="O67" i="7"/>
  <c r="N67" i="7"/>
  <c r="M67" i="7"/>
  <c r="L67" i="7"/>
  <c r="K67" i="7"/>
  <c r="E67" i="7"/>
  <c r="D67" i="7"/>
  <c r="C67" i="7"/>
  <c r="P66" i="7"/>
  <c r="O66" i="7"/>
  <c r="N66" i="7"/>
  <c r="M66" i="7"/>
  <c r="L66" i="7"/>
  <c r="K66" i="7"/>
  <c r="E66" i="7"/>
  <c r="D66" i="7"/>
  <c r="C66" i="7"/>
  <c r="P65" i="7"/>
  <c r="O65" i="7"/>
  <c r="N65" i="7"/>
  <c r="M65" i="7"/>
  <c r="L65" i="7"/>
  <c r="K65" i="7"/>
  <c r="E65" i="7"/>
  <c r="D65" i="7"/>
  <c r="C65" i="7"/>
  <c r="P64" i="7"/>
  <c r="O64" i="7"/>
  <c r="N64" i="7"/>
  <c r="M64" i="7"/>
  <c r="L64" i="7"/>
  <c r="K64" i="7"/>
  <c r="E64" i="7"/>
  <c r="F64" i="7" s="1"/>
  <c r="C64" i="7"/>
  <c r="R63" i="7"/>
  <c r="Q63" i="7"/>
  <c r="P63" i="7"/>
  <c r="O63" i="7"/>
  <c r="N63" i="7"/>
  <c r="M63" i="7"/>
  <c r="L63" i="7"/>
  <c r="K63" i="7"/>
  <c r="E63" i="7"/>
  <c r="D63" i="7"/>
  <c r="C63" i="7"/>
  <c r="R62" i="7"/>
  <c r="Q62" i="7"/>
  <c r="P62" i="7"/>
  <c r="O62" i="7"/>
  <c r="N62" i="7"/>
  <c r="M62" i="7"/>
  <c r="L62" i="7"/>
  <c r="K62" i="7"/>
  <c r="E62" i="7"/>
  <c r="D62" i="7"/>
  <c r="C62" i="7"/>
  <c r="R61" i="7"/>
  <c r="Q61" i="7"/>
  <c r="P61" i="7"/>
  <c r="O61" i="7"/>
  <c r="N61" i="7"/>
  <c r="M61" i="7"/>
  <c r="L61" i="7"/>
  <c r="K61" i="7"/>
  <c r="E61" i="7"/>
  <c r="D61" i="7"/>
  <c r="C61" i="7"/>
  <c r="P60" i="7"/>
  <c r="O60" i="7"/>
  <c r="N60" i="7"/>
  <c r="M60" i="7"/>
  <c r="L60" i="7"/>
  <c r="K60" i="7"/>
  <c r="E60" i="7"/>
  <c r="F60" i="7" s="1"/>
  <c r="C60" i="7"/>
  <c r="R59" i="7"/>
  <c r="Q59" i="7"/>
  <c r="P59" i="7"/>
  <c r="O59" i="7"/>
  <c r="N59" i="7"/>
  <c r="M59" i="7"/>
  <c r="L59" i="7"/>
  <c r="K59" i="7"/>
  <c r="E59" i="7"/>
  <c r="D59" i="7"/>
  <c r="C59" i="7"/>
  <c r="R58" i="7"/>
  <c r="Q58" i="7"/>
  <c r="P58" i="7"/>
  <c r="O58" i="7"/>
  <c r="N58" i="7"/>
  <c r="M58" i="7"/>
  <c r="L58" i="7"/>
  <c r="K58" i="7"/>
  <c r="E58" i="7"/>
  <c r="D58" i="7"/>
  <c r="C58" i="7"/>
  <c r="R57" i="7"/>
  <c r="Q57" i="7"/>
  <c r="P57" i="7"/>
  <c r="O57" i="7"/>
  <c r="N57" i="7"/>
  <c r="M57" i="7"/>
  <c r="L57" i="7"/>
  <c r="K57" i="7"/>
  <c r="E57" i="7"/>
  <c r="D57" i="7"/>
  <c r="C57" i="7"/>
  <c r="P56" i="7"/>
  <c r="O56" i="7"/>
  <c r="N56" i="7"/>
  <c r="M56" i="7"/>
  <c r="L56" i="7"/>
  <c r="K56" i="7"/>
  <c r="E56" i="7"/>
  <c r="F56" i="7" s="1"/>
  <c r="C56" i="7"/>
  <c r="R55" i="7"/>
  <c r="Q55" i="7"/>
  <c r="P55" i="7"/>
  <c r="O55" i="7"/>
  <c r="N55" i="7"/>
  <c r="M55" i="7"/>
  <c r="L55" i="7"/>
  <c r="K55" i="7"/>
  <c r="E55" i="7"/>
  <c r="D55" i="7"/>
  <c r="C55" i="7"/>
  <c r="R54" i="7"/>
  <c r="Q54" i="7"/>
  <c r="P54" i="7"/>
  <c r="O54" i="7"/>
  <c r="N54" i="7"/>
  <c r="M54" i="7"/>
  <c r="L54" i="7"/>
  <c r="K54" i="7"/>
  <c r="E54" i="7"/>
  <c r="D54" i="7"/>
  <c r="C54" i="7"/>
  <c r="R53" i="7"/>
  <c r="Q53" i="7"/>
  <c r="P53" i="7"/>
  <c r="O53" i="7"/>
  <c r="N53" i="7"/>
  <c r="M53" i="7"/>
  <c r="L53" i="7"/>
  <c r="K53" i="7"/>
  <c r="E53" i="7"/>
  <c r="D53" i="7"/>
  <c r="C53" i="7"/>
  <c r="P52" i="7"/>
  <c r="O52" i="7"/>
  <c r="N52" i="7"/>
  <c r="M52" i="7"/>
  <c r="L52" i="7"/>
  <c r="K52" i="7"/>
  <c r="E52" i="7"/>
  <c r="F52" i="7" s="1"/>
  <c r="C52" i="7"/>
  <c r="R51" i="7"/>
  <c r="Q51" i="7"/>
  <c r="P51" i="7"/>
  <c r="O51" i="7"/>
  <c r="N51" i="7"/>
  <c r="M51" i="7"/>
  <c r="L51" i="7"/>
  <c r="K51" i="7"/>
  <c r="E51" i="7"/>
  <c r="D51" i="7"/>
  <c r="C51" i="7"/>
  <c r="R50" i="7"/>
  <c r="Q50" i="7"/>
  <c r="P50" i="7"/>
  <c r="O50" i="7"/>
  <c r="N50" i="7"/>
  <c r="M50" i="7"/>
  <c r="L50" i="7"/>
  <c r="K50" i="7"/>
  <c r="E50" i="7"/>
  <c r="D50" i="7"/>
  <c r="C50" i="7"/>
  <c r="R49" i="7"/>
  <c r="Q49" i="7"/>
  <c r="P49" i="7"/>
  <c r="O49" i="7"/>
  <c r="N49" i="7"/>
  <c r="M49" i="7"/>
  <c r="L49" i="7"/>
  <c r="K49" i="7"/>
  <c r="E49" i="7"/>
  <c r="D49" i="7"/>
  <c r="C49" i="7"/>
  <c r="P48" i="7"/>
  <c r="O48" i="7"/>
  <c r="N48" i="7"/>
  <c r="M48" i="7"/>
  <c r="L48" i="7"/>
  <c r="K48" i="7"/>
  <c r="E48" i="7"/>
  <c r="F48" i="7" s="1"/>
  <c r="C48" i="7"/>
  <c r="R47" i="7"/>
  <c r="Q47" i="7"/>
  <c r="P47" i="7"/>
  <c r="O47" i="7"/>
  <c r="N47" i="7"/>
  <c r="M47" i="7"/>
  <c r="L47" i="7"/>
  <c r="K47" i="7"/>
  <c r="E47" i="7"/>
  <c r="D47" i="7"/>
  <c r="C47" i="7"/>
  <c r="R46" i="7"/>
  <c r="Q46" i="7"/>
  <c r="P46" i="7"/>
  <c r="O46" i="7"/>
  <c r="N46" i="7"/>
  <c r="M46" i="7"/>
  <c r="L46" i="7"/>
  <c r="K46" i="7"/>
  <c r="E46" i="7"/>
  <c r="D46" i="7"/>
  <c r="C46" i="7"/>
  <c r="R45" i="7"/>
  <c r="Q45" i="7"/>
  <c r="P45" i="7"/>
  <c r="O45" i="7"/>
  <c r="N45" i="7"/>
  <c r="M45" i="7"/>
  <c r="L45" i="7"/>
  <c r="K45" i="7"/>
  <c r="E45" i="7"/>
  <c r="D45" i="7"/>
  <c r="C45" i="7"/>
  <c r="P44" i="7"/>
  <c r="O44" i="7"/>
  <c r="N44" i="7"/>
  <c r="M44" i="7"/>
  <c r="L44" i="7"/>
  <c r="K44" i="7"/>
  <c r="E44" i="7"/>
  <c r="F44" i="7" s="1"/>
  <c r="C44" i="7"/>
  <c r="R43" i="7"/>
  <c r="Q43" i="7"/>
  <c r="P43" i="7"/>
  <c r="O43" i="7"/>
  <c r="N43" i="7"/>
  <c r="M43" i="7"/>
  <c r="L43" i="7"/>
  <c r="K43" i="7"/>
  <c r="E43" i="7"/>
  <c r="D43" i="7"/>
  <c r="C43" i="7"/>
  <c r="R42" i="7"/>
  <c r="Q42" i="7"/>
  <c r="P42" i="7"/>
  <c r="O42" i="7"/>
  <c r="N42" i="7"/>
  <c r="M42" i="7"/>
  <c r="L42" i="7"/>
  <c r="K42" i="7"/>
  <c r="E42" i="7"/>
  <c r="D42" i="7"/>
  <c r="C42" i="7"/>
  <c r="R41" i="7"/>
  <c r="Q41" i="7"/>
  <c r="P41" i="7"/>
  <c r="O41" i="7"/>
  <c r="N41" i="7"/>
  <c r="M41" i="7"/>
  <c r="L41" i="7"/>
  <c r="K41" i="7"/>
  <c r="E41" i="7"/>
  <c r="D41" i="7"/>
  <c r="C41" i="7"/>
  <c r="P40" i="7"/>
  <c r="O40" i="7"/>
  <c r="N40" i="7"/>
  <c r="M40" i="7"/>
  <c r="L40" i="7"/>
  <c r="K40" i="7"/>
  <c r="E40" i="7"/>
  <c r="F40" i="7" s="1"/>
  <c r="C40" i="7"/>
  <c r="R39" i="7"/>
  <c r="Q39" i="7"/>
  <c r="P39" i="7"/>
  <c r="O39" i="7"/>
  <c r="N39" i="7"/>
  <c r="M39" i="7"/>
  <c r="L39" i="7"/>
  <c r="K39" i="7"/>
  <c r="E39" i="7"/>
  <c r="D39" i="7"/>
  <c r="C39" i="7"/>
  <c r="R38" i="7"/>
  <c r="Q38" i="7"/>
  <c r="P38" i="7"/>
  <c r="O38" i="7"/>
  <c r="N38" i="7"/>
  <c r="M38" i="7"/>
  <c r="L38" i="7"/>
  <c r="K38" i="7"/>
  <c r="E38" i="7"/>
  <c r="D38" i="7"/>
  <c r="C38" i="7"/>
  <c r="R37" i="7"/>
  <c r="Q37" i="7"/>
  <c r="P37" i="7"/>
  <c r="O37" i="7"/>
  <c r="N37" i="7"/>
  <c r="M37" i="7"/>
  <c r="L37" i="7"/>
  <c r="K37" i="7"/>
  <c r="E37" i="7"/>
  <c r="D37" i="7"/>
  <c r="C37" i="7"/>
  <c r="P36" i="7"/>
  <c r="O36" i="7"/>
  <c r="N36" i="7"/>
  <c r="M36" i="7"/>
  <c r="L36" i="7"/>
  <c r="K36" i="7"/>
  <c r="E36" i="7"/>
  <c r="F36" i="7" s="1"/>
  <c r="C36" i="7"/>
  <c r="R35" i="7"/>
  <c r="Q35" i="7"/>
  <c r="P35" i="7"/>
  <c r="O35" i="7"/>
  <c r="N35" i="7"/>
  <c r="M35" i="7"/>
  <c r="L35" i="7"/>
  <c r="K35" i="7"/>
  <c r="E35" i="7"/>
  <c r="D35" i="7"/>
  <c r="F35" i="7" s="1"/>
  <c r="C35" i="7"/>
  <c r="R34" i="7"/>
  <c r="Q34" i="7"/>
  <c r="P34" i="7"/>
  <c r="O34" i="7"/>
  <c r="N34" i="7"/>
  <c r="M34" i="7"/>
  <c r="L34" i="7"/>
  <c r="K34" i="7"/>
  <c r="E34" i="7"/>
  <c r="D34" i="7"/>
  <c r="C34" i="7"/>
  <c r="R33" i="7"/>
  <c r="Q33" i="7"/>
  <c r="P33" i="7"/>
  <c r="O33" i="7"/>
  <c r="N33" i="7"/>
  <c r="M33" i="7"/>
  <c r="L33" i="7"/>
  <c r="K33" i="7"/>
  <c r="E33" i="7"/>
  <c r="D33" i="7"/>
  <c r="C33" i="7"/>
  <c r="P32" i="7"/>
  <c r="O32" i="7"/>
  <c r="N32" i="7"/>
  <c r="M32" i="7"/>
  <c r="L32" i="7"/>
  <c r="K32" i="7"/>
  <c r="E32" i="7"/>
  <c r="F32" i="7" s="1"/>
  <c r="C32" i="7"/>
  <c r="R31" i="7"/>
  <c r="Q31" i="7"/>
  <c r="P31" i="7"/>
  <c r="O31" i="7"/>
  <c r="N31" i="7"/>
  <c r="M31" i="7"/>
  <c r="L31" i="7"/>
  <c r="K31" i="7"/>
  <c r="E31" i="7"/>
  <c r="D31" i="7"/>
  <c r="C31" i="7"/>
  <c r="R30" i="7"/>
  <c r="Q30" i="7"/>
  <c r="P30" i="7"/>
  <c r="O30" i="7"/>
  <c r="N30" i="7"/>
  <c r="M30" i="7"/>
  <c r="L30" i="7"/>
  <c r="K30" i="7"/>
  <c r="E30" i="7"/>
  <c r="D30" i="7"/>
  <c r="C30" i="7"/>
  <c r="R29" i="7"/>
  <c r="Q29" i="7"/>
  <c r="P29" i="7"/>
  <c r="O29" i="7"/>
  <c r="N29" i="7"/>
  <c r="M29" i="7"/>
  <c r="L29" i="7"/>
  <c r="K29" i="7"/>
  <c r="E29" i="7"/>
  <c r="D29" i="7"/>
  <c r="C29" i="7"/>
  <c r="P28" i="7"/>
  <c r="O28" i="7"/>
  <c r="N28" i="7"/>
  <c r="M28" i="7"/>
  <c r="L28" i="7"/>
  <c r="K28" i="7"/>
  <c r="E28" i="7"/>
  <c r="F28" i="7" s="1"/>
  <c r="C28" i="7"/>
  <c r="R27" i="7"/>
  <c r="Q27" i="7"/>
  <c r="P27" i="7"/>
  <c r="O27" i="7"/>
  <c r="N27" i="7"/>
  <c r="M27" i="7"/>
  <c r="L27" i="7"/>
  <c r="K27" i="7"/>
  <c r="E27" i="7"/>
  <c r="D27" i="7"/>
  <c r="C27" i="7"/>
  <c r="R26" i="7"/>
  <c r="Q26" i="7"/>
  <c r="P26" i="7"/>
  <c r="O26" i="7"/>
  <c r="N26" i="7"/>
  <c r="M26" i="7"/>
  <c r="L26" i="7"/>
  <c r="K26" i="7"/>
  <c r="E26" i="7"/>
  <c r="D26" i="7"/>
  <c r="C26" i="7"/>
  <c r="R25" i="7"/>
  <c r="Q25" i="7"/>
  <c r="P25" i="7"/>
  <c r="O25" i="7"/>
  <c r="N25" i="7"/>
  <c r="M25" i="7"/>
  <c r="L25" i="7"/>
  <c r="K25" i="7"/>
  <c r="E25" i="7"/>
  <c r="D25" i="7"/>
  <c r="C25" i="7"/>
  <c r="P24" i="7"/>
  <c r="O24" i="7"/>
  <c r="N24" i="7"/>
  <c r="M24" i="7"/>
  <c r="L24" i="7"/>
  <c r="K24" i="7"/>
  <c r="E24" i="7"/>
  <c r="F24" i="7" s="1"/>
  <c r="C24" i="7"/>
  <c r="R23" i="7"/>
  <c r="Q23" i="7"/>
  <c r="P23" i="7"/>
  <c r="O23" i="7"/>
  <c r="N23" i="7"/>
  <c r="M23" i="7"/>
  <c r="L23" i="7"/>
  <c r="K23" i="7"/>
  <c r="E23" i="7"/>
  <c r="D23" i="7"/>
  <c r="C23" i="7"/>
  <c r="R22" i="7"/>
  <c r="Q22" i="7"/>
  <c r="P22" i="7"/>
  <c r="O22" i="7"/>
  <c r="N22" i="7"/>
  <c r="M22" i="7"/>
  <c r="L22" i="7"/>
  <c r="K22" i="7"/>
  <c r="E22" i="7"/>
  <c r="D22" i="7"/>
  <c r="C22" i="7"/>
  <c r="R21" i="7"/>
  <c r="Q21" i="7"/>
  <c r="P21" i="7"/>
  <c r="O21" i="7"/>
  <c r="N21" i="7"/>
  <c r="M21" i="7"/>
  <c r="L21" i="7"/>
  <c r="K21" i="7"/>
  <c r="E21" i="7"/>
  <c r="D21" i="7"/>
  <c r="C21" i="7"/>
  <c r="P20" i="7"/>
  <c r="O20" i="7"/>
  <c r="N20" i="7"/>
  <c r="M20" i="7"/>
  <c r="L20" i="7"/>
  <c r="K20" i="7"/>
  <c r="E20" i="7"/>
  <c r="F20" i="7" s="1"/>
  <c r="C20" i="7"/>
  <c r="R19" i="7"/>
  <c r="Q19" i="7"/>
  <c r="P19" i="7"/>
  <c r="O19" i="7"/>
  <c r="N19" i="7"/>
  <c r="M19" i="7"/>
  <c r="L19" i="7"/>
  <c r="K19" i="7"/>
  <c r="E19" i="7"/>
  <c r="D19" i="7"/>
  <c r="C19" i="7"/>
  <c r="R18" i="7"/>
  <c r="Q18" i="7"/>
  <c r="P18" i="7"/>
  <c r="O18" i="7"/>
  <c r="N18" i="7"/>
  <c r="M18" i="7"/>
  <c r="L18" i="7"/>
  <c r="K18" i="7"/>
  <c r="E18" i="7"/>
  <c r="D18" i="7"/>
  <c r="C18" i="7"/>
  <c r="R17" i="7"/>
  <c r="Q17" i="7"/>
  <c r="P17" i="7"/>
  <c r="O17" i="7"/>
  <c r="N17" i="7"/>
  <c r="M17" i="7"/>
  <c r="L17" i="7"/>
  <c r="K17" i="7"/>
  <c r="E17" i="7"/>
  <c r="D17" i="7"/>
  <c r="C17" i="7"/>
  <c r="P16" i="7"/>
  <c r="O16" i="7"/>
  <c r="N16" i="7"/>
  <c r="M16" i="7"/>
  <c r="L16" i="7"/>
  <c r="K16" i="7"/>
  <c r="E16" i="7"/>
  <c r="F16" i="7" s="1"/>
  <c r="C16" i="7"/>
  <c r="R15" i="7"/>
  <c r="Q15" i="7"/>
  <c r="P15" i="7"/>
  <c r="O15" i="7"/>
  <c r="N15" i="7"/>
  <c r="M15" i="7"/>
  <c r="L15" i="7"/>
  <c r="K15" i="7"/>
  <c r="E15" i="7"/>
  <c r="D15" i="7"/>
  <c r="C15" i="7"/>
  <c r="R14" i="7"/>
  <c r="Q14" i="7"/>
  <c r="P14" i="7"/>
  <c r="O14" i="7"/>
  <c r="N14" i="7"/>
  <c r="M14" i="7"/>
  <c r="L14" i="7"/>
  <c r="K14" i="7"/>
  <c r="E14" i="7"/>
  <c r="D14" i="7"/>
  <c r="C14" i="7"/>
  <c r="R13" i="7"/>
  <c r="Q13" i="7"/>
  <c r="P13" i="7"/>
  <c r="O13" i="7"/>
  <c r="N13" i="7"/>
  <c r="M13" i="7"/>
  <c r="L13" i="7"/>
  <c r="K13" i="7"/>
  <c r="E13" i="7"/>
  <c r="D13" i="7"/>
  <c r="C13" i="7"/>
  <c r="P12" i="7"/>
  <c r="O12" i="7"/>
  <c r="N12" i="7"/>
  <c r="M12" i="7"/>
  <c r="L12" i="7"/>
  <c r="K12" i="7"/>
  <c r="E12" i="7"/>
  <c r="F12" i="7" s="1"/>
  <c r="C12" i="7"/>
  <c r="R11" i="7"/>
  <c r="Q11" i="7"/>
  <c r="D11" i="7"/>
  <c r="F11" i="7" s="1"/>
  <c r="R10" i="7"/>
  <c r="Q10" i="7"/>
  <c r="D10" i="7"/>
  <c r="F10" i="7" s="1"/>
  <c r="R9" i="7"/>
  <c r="Q9" i="7"/>
  <c r="D9" i="7"/>
  <c r="F9" i="7" s="1"/>
  <c r="F8" i="7"/>
  <c r="F73" i="7" l="1"/>
  <c r="F79" i="7"/>
  <c r="F95" i="7"/>
  <c r="F51" i="7"/>
  <c r="F67" i="7"/>
  <c r="F46" i="7"/>
  <c r="F22" i="7"/>
  <c r="F33" i="7"/>
  <c r="F54" i="7"/>
  <c r="F99" i="7"/>
  <c r="F37" i="7"/>
  <c r="F55" i="7"/>
  <c r="F58" i="7"/>
  <c r="F75" i="7"/>
  <c r="F18" i="7"/>
  <c r="F70" i="7"/>
  <c r="F21" i="7"/>
  <c r="F31" i="7"/>
  <c r="F63" i="7"/>
  <c r="F94" i="7"/>
  <c r="F15" i="7"/>
  <c r="F25" i="7"/>
  <c r="F34" i="7"/>
  <c r="F65" i="7"/>
  <c r="F69" i="7"/>
  <c r="F49" i="7"/>
  <c r="F83" i="7"/>
  <c r="F41" i="7"/>
  <c r="F50" i="7"/>
  <c r="F59" i="7"/>
  <c r="F97" i="7"/>
  <c r="F61" i="7"/>
  <c r="F74" i="7"/>
  <c r="F91" i="7"/>
  <c r="F13" i="7"/>
  <c r="F47" i="7"/>
  <c r="F81" i="7"/>
  <c r="F17" i="7"/>
  <c r="F26" i="7"/>
  <c r="F38" i="7"/>
  <c r="F86" i="7"/>
  <c r="F82" i="7"/>
  <c r="F29" i="7"/>
  <c r="F39" i="7"/>
  <c r="F57" i="7"/>
  <c r="F62" i="7"/>
  <c r="F71" i="7"/>
  <c r="F78" i="7"/>
  <c r="F98" i="7"/>
  <c r="F14" i="7"/>
  <c r="F19" i="7"/>
  <c r="F27" i="7"/>
  <c r="F42" i="7"/>
  <c r="F85" i="7"/>
  <c r="F30" i="7"/>
  <c r="F45" i="7"/>
  <c r="F66" i="7"/>
  <c r="F87" i="7"/>
  <c r="F93" i="7"/>
  <c r="F43" i="7"/>
  <c r="F53" i="7"/>
  <c r="F23" i="7"/>
  <c r="F89" i="7"/>
  <c r="F90" i="7"/>
  <c r="B42" i="5" l="1"/>
  <c r="B41" i="5"/>
  <c r="B40" i="5"/>
  <c r="B39" i="5"/>
  <c r="B38" i="5"/>
  <c r="A38" i="5"/>
  <c r="B37" i="5"/>
  <c r="C36" i="5"/>
  <c r="B36" i="5"/>
  <c r="A36" i="5"/>
  <c r="B35" i="5"/>
  <c r="B34" i="5"/>
  <c r="B33" i="5"/>
  <c r="B32" i="5"/>
  <c r="B31" i="5"/>
  <c r="B30" i="5"/>
  <c r="C29" i="5"/>
  <c r="B29" i="5"/>
  <c r="C28" i="5"/>
  <c r="B28" i="5"/>
  <c r="C27" i="5"/>
  <c r="B27" i="5"/>
  <c r="C26" i="5"/>
  <c r="B26" i="5"/>
  <c r="C21" i="5"/>
  <c r="C20" i="5"/>
  <c r="C38" i="5"/>
  <c r="C18" i="5"/>
  <c r="C35" i="5"/>
  <c r="C15" i="5"/>
  <c r="C34" i="5" s="1"/>
  <c r="C14" i="5"/>
  <c r="C13" i="5"/>
  <c r="C32" i="5" s="1"/>
  <c r="C12" i="5"/>
  <c r="C11" i="5"/>
  <c r="Y6" i="5"/>
  <c r="X6" i="5"/>
  <c r="U6" i="5"/>
  <c r="T6" i="5"/>
  <c r="Q6" i="5"/>
  <c r="P6" i="5"/>
  <c r="M6" i="5"/>
  <c r="L6" i="5"/>
  <c r="I6" i="5"/>
  <c r="H6" i="5"/>
  <c r="E6" i="5"/>
  <c r="D6" i="5"/>
  <c r="Y1" i="5"/>
  <c r="Z1" i="5" s="1"/>
  <c r="AA1" i="5" s="1"/>
  <c r="U1" i="5"/>
  <c r="V1" i="5" s="1"/>
  <c r="W1" i="5" s="1"/>
  <c r="Q1" i="5"/>
  <c r="R1" i="5" s="1"/>
  <c r="M1" i="5"/>
  <c r="N1" i="5" s="1"/>
  <c r="O1" i="5" s="1"/>
  <c r="I1" i="5"/>
  <c r="J1" i="5" s="1"/>
  <c r="E1" i="5"/>
  <c r="F1" i="5" s="1"/>
  <c r="Q11" i="5" l="1"/>
  <c r="P11" i="5"/>
  <c r="S11" i="5"/>
  <c r="R11" i="5"/>
  <c r="C31" i="5"/>
  <c r="C30" i="5"/>
  <c r="C39" i="5"/>
  <c r="C33" i="5"/>
  <c r="G1" i="5"/>
  <c r="S1" i="5"/>
  <c r="K1" i="5"/>
  <c r="C37" i="5"/>
  <c r="C40" i="5"/>
  <c r="I40" i="2"/>
  <c r="I28" i="2" l="1"/>
  <c r="H28" i="2"/>
  <c r="I4" i="3"/>
  <c r="I5" i="3" s="1"/>
  <c r="I6" i="3" s="1"/>
  <c r="I7" i="3" s="1"/>
  <c r="I8" i="3" s="1"/>
  <c r="I9" i="3" s="1"/>
  <c r="I10" i="3" s="1"/>
  <c r="I11" i="3" s="1"/>
  <c r="E28" i="2"/>
  <c r="D28" i="2"/>
  <c r="E35" i="13" s="1"/>
  <c r="I35" i="13" l="1"/>
  <c r="L35" i="13" s="1"/>
  <c r="L50" i="13" s="1"/>
  <c r="L51" i="13" s="1"/>
  <c r="D29" i="2"/>
  <c r="I30" i="2" s="1"/>
  <c r="M35" i="13"/>
  <c r="P35" i="13" s="1"/>
  <c r="P50" i="13" s="1"/>
  <c r="P51" i="13" s="1"/>
  <c r="H35" i="13"/>
  <c r="H50" i="13" s="1"/>
  <c r="H51" i="13" s="1"/>
  <c r="AE58" i="19"/>
  <c r="V17" i="5"/>
  <c r="A33" i="5"/>
  <c r="G54" i="13" l="1"/>
  <c r="H54" i="13" s="1"/>
  <c r="D17" i="14" s="1"/>
  <c r="D26" i="14" s="1"/>
  <c r="D28" i="14" s="1"/>
  <c r="D29" i="14" s="1"/>
  <c r="G55" i="13"/>
  <c r="H55" i="13" s="1"/>
  <c r="D18" i="14" s="1"/>
  <c r="AA94" i="19" s="1"/>
  <c r="AA92" i="19"/>
  <c r="Z19" i="5"/>
  <c r="P19" i="5"/>
  <c r="M19" i="5"/>
  <c r="E19" i="5"/>
  <c r="V19" i="5"/>
  <c r="R19" i="5"/>
  <c r="H19" i="5"/>
  <c r="Y19" i="5"/>
  <c r="K19" i="5"/>
  <c r="T19" i="5"/>
  <c r="J19" i="5"/>
  <c r="W19" i="5"/>
  <c r="N19" i="5"/>
  <c r="L19" i="5"/>
  <c r="G19" i="5"/>
  <c r="O19" i="5"/>
  <c r="X19" i="5"/>
  <c r="D19" i="5"/>
  <c r="U19" i="5"/>
  <c r="AA19" i="5"/>
  <c r="Q19" i="5"/>
  <c r="S19" i="5"/>
  <c r="I19" i="5"/>
  <c r="F19" i="5"/>
  <c r="T38" i="5"/>
  <c r="R38" i="5"/>
  <c r="H38" i="5"/>
  <c r="Z14" i="5"/>
  <c r="P14" i="5"/>
  <c r="F14" i="5"/>
  <c r="G20" i="5"/>
  <c r="U20" i="5"/>
  <c r="J20" i="5"/>
  <c r="L38" i="5"/>
  <c r="J38" i="5"/>
  <c r="W38" i="5"/>
  <c r="R14" i="5"/>
  <c r="H14" i="5"/>
  <c r="U14" i="5"/>
  <c r="S20" i="5"/>
  <c r="Z20" i="5"/>
  <c r="Y20" i="5"/>
  <c r="D38" i="5"/>
  <c r="Y38" i="5"/>
  <c r="V38" i="5"/>
  <c r="J14" i="5"/>
  <c r="W14" i="5"/>
  <c r="M14" i="5"/>
  <c r="X20" i="5"/>
  <c r="H20" i="5"/>
  <c r="O20" i="5"/>
  <c r="G38" i="5"/>
  <c r="Q38" i="5"/>
  <c r="N38" i="5"/>
  <c r="T14" i="5"/>
  <c r="O14" i="5"/>
  <c r="E14" i="5"/>
  <c r="V20" i="5"/>
  <c r="F20" i="5"/>
  <c r="M20" i="5"/>
  <c r="AA38" i="5"/>
  <c r="I38" i="5"/>
  <c r="F38" i="5"/>
  <c r="Y14" i="5"/>
  <c r="G14" i="5"/>
  <c r="D14" i="5"/>
  <c r="E20" i="5"/>
  <c r="W20" i="5"/>
  <c r="Q20" i="5"/>
  <c r="P38" i="5"/>
  <c r="N14" i="5"/>
  <c r="T20" i="5"/>
  <c r="S38" i="5"/>
  <c r="O38" i="5"/>
  <c r="U38" i="5"/>
  <c r="AA14" i="5"/>
  <c r="Q14" i="5"/>
  <c r="L14" i="5"/>
  <c r="AA20" i="5"/>
  <c r="K20" i="5"/>
  <c r="R20" i="5"/>
  <c r="K14" i="5"/>
  <c r="L20" i="5"/>
  <c r="K38" i="5"/>
  <c r="X38" i="5"/>
  <c r="M38" i="5"/>
  <c r="S14" i="5"/>
  <c r="I14" i="5"/>
  <c r="V14" i="5"/>
  <c r="I20" i="5"/>
  <c r="P20" i="5"/>
  <c r="D20" i="5"/>
  <c r="Z38" i="5"/>
  <c r="X14" i="5"/>
  <c r="N20" i="5"/>
  <c r="E38" i="5"/>
  <c r="AA33" i="5"/>
  <c r="Y33" i="5"/>
  <c r="G33" i="5"/>
  <c r="S33" i="5"/>
  <c r="Q33" i="5"/>
  <c r="V33" i="5"/>
  <c r="E33" i="5"/>
  <c r="K33" i="5"/>
  <c r="I33" i="5"/>
  <c r="N33" i="5"/>
  <c r="D33" i="5"/>
  <c r="X33" i="5"/>
  <c r="F33" i="5"/>
  <c r="Z33" i="5"/>
  <c r="U33" i="5"/>
  <c r="R33" i="5"/>
  <c r="M33" i="5"/>
  <c r="O33" i="5"/>
  <c r="P33" i="5"/>
  <c r="H33" i="5"/>
  <c r="W33" i="5"/>
  <c r="J33" i="5"/>
  <c r="T33" i="5"/>
  <c r="L33" i="5"/>
  <c r="E41" i="10"/>
  <c r="E42" i="10" s="1"/>
  <c r="G41" i="10"/>
  <c r="G42" i="10" s="1"/>
  <c r="F41" i="10"/>
  <c r="F42" i="10" s="1"/>
  <c r="D41" i="10"/>
  <c r="D42" i="10" s="1"/>
  <c r="E21" i="10"/>
  <c r="E22" i="10" s="1"/>
  <c r="Z17" i="5"/>
  <c r="A28" i="5"/>
  <c r="A10" i="5"/>
  <c r="N17" i="5"/>
  <c r="R17" i="5"/>
  <c r="F17" i="5"/>
  <c r="J17" i="5"/>
  <c r="H59" i="13" l="1"/>
  <c r="H58" i="13"/>
  <c r="AA93" i="19"/>
  <c r="D62" i="2"/>
  <c r="Z28" i="5"/>
  <c r="Z36" i="5" s="1"/>
  <c r="V28" i="5"/>
  <c r="V36" i="5" s="1"/>
  <c r="N28" i="5"/>
  <c r="N36" i="5" s="1"/>
  <c r="J28" i="5"/>
  <c r="F28" i="5"/>
  <c r="F36" i="5" s="1"/>
  <c r="R28" i="5"/>
  <c r="R36" i="5" s="1"/>
  <c r="G10" i="5"/>
  <c r="G17" i="5" s="1"/>
  <c r="W10" i="5"/>
  <c r="W17" i="5" s="1"/>
  <c r="K10" i="5"/>
  <c r="K17" i="5" s="1"/>
  <c r="AA10" i="5"/>
  <c r="AA17" i="5" s="1"/>
  <c r="S10" i="5"/>
  <c r="O10" i="5"/>
  <c r="O17" i="5" s="1"/>
  <c r="G21" i="10"/>
  <c r="G22" i="10" s="1"/>
  <c r="F21" i="10"/>
  <c r="F22" i="10" s="1"/>
  <c r="D21" i="10"/>
  <c r="D22" i="10" s="1"/>
  <c r="A8" i="5"/>
  <c r="A26" i="5"/>
  <c r="A30" i="5"/>
  <c r="A12" i="5"/>
  <c r="A29" i="5"/>
  <c r="D61" i="2" l="1"/>
  <c r="F61" i="2" s="1"/>
  <c r="H60" i="13"/>
  <c r="D19" i="14" s="1"/>
  <c r="D20" i="14" s="1"/>
  <c r="AA108" i="19"/>
  <c r="AA109" i="19" s="1"/>
  <c r="AM14" i="19"/>
  <c r="AA29" i="5"/>
  <c r="AA36" i="5" s="1"/>
  <c r="W29" i="5"/>
  <c r="W36" i="5" s="1"/>
  <c r="S29" i="5"/>
  <c r="S36" i="5" s="1"/>
  <c r="O29" i="5"/>
  <c r="O36" i="5" s="1"/>
  <c r="K29" i="5"/>
  <c r="K36" i="5" s="1"/>
  <c r="G29" i="5"/>
  <c r="G36" i="5" s="1"/>
  <c r="M8" i="5"/>
  <c r="I8" i="5"/>
  <c r="Q8" i="5"/>
  <c r="E8" i="5"/>
  <c r="Y8" i="5"/>
  <c r="U8" i="5"/>
  <c r="Y12" i="5"/>
  <c r="X12" i="5"/>
  <c r="W12" i="5"/>
  <c r="V12" i="5"/>
  <c r="T12" i="5"/>
  <c r="Z12" i="5"/>
  <c r="AA12" i="5"/>
  <c r="U12" i="5"/>
  <c r="P30" i="5"/>
  <c r="S30" i="5"/>
  <c r="R30" i="5"/>
  <c r="Q30" i="5"/>
  <c r="D26" i="5"/>
  <c r="X26" i="5"/>
  <c r="T26" i="5"/>
  <c r="P26" i="5"/>
  <c r="L26" i="5"/>
  <c r="H26" i="5"/>
  <c r="J36" i="5"/>
  <c r="S17" i="5"/>
  <c r="A13" i="5"/>
  <c r="A31" i="5"/>
  <c r="A27" i="5"/>
  <c r="T10" i="23" l="1"/>
  <c r="W11" i="20"/>
  <c r="W31" i="5"/>
  <c r="V31" i="5"/>
  <c r="U31" i="5"/>
  <c r="T31" i="5"/>
  <c r="AA31" i="5"/>
  <c r="Z31" i="5"/>
  <c r="Y31" i="5"/>
  <c r="X31" i="5"/>
  <c r="M27" i="5"/>
  <c r="I27" i="5"/>
  <c r="E27" i="5"/>
  <c r="Y27" i="5"/>
  <c r="U27" i="5"/>
  <c r="Q27" i="5"/>
  <c r="K13" i="5"/>
  <c r="J13" i="5"/>
  <c r="I13" i="5"/>
  <c r="H13" i="5"/>
  <c r="A39" i="5"/>
  <c r="A32" i="5"/>
  <c r="A15" i="5"/>
  <c r="AJ11" i="20" l="1"/>
  <c r="K32" i="5"/>
  <c r="J32" i="5"/>
  <c r="I32" i="5"/>
  <c r="H32" i="5"/>
  <c r="AA15" i="5"/>
  <c r="S15" i="5"/>
  <c r="K15" i="5"/>
  <c r="Z15" i="5"/>
  <c r="R15" i="5"/>
  <c r="J15" i="5"/>
  <c r="Y15" i="5"/>
  <c r="Q15" i="5"/>
  <c r="I15" i="5"/>
  <c r="D15" i="5"/>
  <c r="X15" i="5"/>
  <c r="P15" i="5"/>
  <c r="H15" i="5"/>
  <c r="L15" i="5"/>
  <c r="W15" i="5"/>
  <c r="O15" i="5"/>
  <c r="G15" i="5"/>
  <c r="V15" i="5"/>
  <c r="N15" i="5"/>
  <c r="F15" i="5"/>
  <c r="T15" i="5"/>
  <c r="U15" i="5"/>
  <c r="M15" i="5"/>
  <c r="E15" i="5"/>
  <c r="AA39" i="5"/>
  <c r="S39" i="5"/>
  <c r="K39" i="5"/>
  <c r="L39" i="5"/>
  <c r="Z39" i="5"/>
  <c r="R39" i="5"/>
  <c r="J39" i="5"/>
  <c r="Y39" i="5"/>
  <c r="Q39" i="5"/>
  <c r="I39" i="5"/>
  <c r="X39" i="5"/>
  <c r="P39" i="5"/>
  <c r="H39" i="5"/>
  <c r="D39" i="5"/>
  <c r="W39" i="5"/>
  <c r="O39" i="5"/>
  <c r="G39" i="5"/>
  <c r="V39" i="5"/>
  <c r="N39" i="5"/>
  <c r="F39" i="5"/>
  <c r="T39" i="5"/>
  <c r="U39" i="5"/>
  <c r="M39" i="5"/>
  <c r="E39" i="5"/>
  <c r="A18" i="5"/>
  <c r="A37" i="5" s="1"/>
  <c r="A34" i="5"/>
  <c r="AA18" i="5" l="1"/>
  <c r="S18" i="5"/>
  <c r="K18" i="5"/>
  <c r="Z18" i="5"/>
  <c r="R18" i="5"/>
  <c r="J18" i="5"/>
  <c r="Y18" i="5"/>
  <c r="Q18" i="5"/>
  <c r="I18" i="5"/>
  <c r="L18" i="5"/>
  <c r="X18" i="5"/>
  <c r="P18" i="5"/>
  <c r="H18" i="5"/>
  <c r="W18" i="5"/>
  <c r="O18" i="5"/>
  <c r="G18" i="5"/>
  <c r="T18" i="5"/>
  <c r="V18" i="5"/>
  <c r="N18" i="5"/>
  <c r="F18" i="5"/>
  <c r="D18" i="5"/>
  <c r="U18" i="5"/>
  <c r="M18" i="5"/>
  <c r="E18" i="5"/>
  <c r="AA37" i="5"/>
  <c r="S37" i="5"/>
  <c r="K37" i="5"/>
  <c r="Z37" i="5"/>
  <c r="R37" i="5"/>
  <c r="J37" i="5"/>
  <c r="Y37" i="5"/>
  <c r="Q37" i="5"/>
  <c r="I37" i="5"/>
  <c r="T37" i="5"/>
  <c r="X37" i="5"/>
  <c r="P37" i="5"/>
  <c r="H37" i="5"/>
  <c r="W37" i="5"/>
  <c r="O37" i="5"/>
  <c r="G37" i="5"/>
  <c r="L37" i="5"/>
  <c r="V37" i="5"/>
  <c r="N37" i="5"/>
  <c r="F37" i="5"/>
  <c r="U37" i="5"/>
  <c r="M37" i="5"/>
  <c r="E37" i="5"/>
  <c r="D37" i="5"/>
  <c r="AA34" i="5"/>
  <c r="S34" i="5"/>
  <c r="K34" i="5"/>
  <c r="Z34" i="5"/>
  <c r="R34" i="5"/>
  <c r="J34" i="5"/>
  <c r="Y34" i="5"/>
  <c r="Q34" i="5"/>
  <c r="I34" i="5"/>
  <c r="L34" i="5"/>
  <c r="X34" i="5"/>
  <c r="P34" i="5"/>
  <c r="H34" i="5"/>
  <c r="T34" i="5"/>
  <c r="W34" i="5"/>
  <c r="O34" i="5"/>
  <c r="G34" i="5"/>
  <c r="D34" i="5"/>
  <c r="V34" i="5"/>
  <c r="N34" i="5"/>
  <c r="F34" i="5"/>
  <c r="U34" i="5"/>
  <c r="M34" i="5"/>
  <c r="E34" i="5"/>
  <c r="A21" i="5"/>
  <c r="A40" i="5" s="1"/>
  <c r="A35" i="5"/>
  <c r="J40" i="5" l="1"/>
  <c r="AA21" i="5"/>
  <c r="AA22" i="5" s="1"/>
  <c r="AA23" i="5" s="1"/>
  <c r="N21" i="5"/>
  <c r="N22" i="5" s="1"/>
  <c r="N23" i="5" s="1"/>
  <c r="AA35" i="5"/>
  <c r="S35" i="5"/>
  <c r="Z35" i="5"/>
  <c r="R35" i="5"/>
  <c r="T35" i="5"/>
  <c r="Y35" i="5"/>
  <c r="Q35" i="5"/>
  <c r="X35" i="5"/>
  <c r="P35" i="5"/>
  <c r="W35" i="5"/>
  <c r="V35" i="5"/>
  <c r="U35" i="5"/>
  <c r="D40" i="5"/>
  <c r="V40" i="5"/>
  <c r="X21" i="5"/>
  <c r="X22" i="5" s="1"/>
  <c r="X23" i="5" s="1"/>
  <c r="I40" i="5"/>
  <c r="U21" i="5"/>
  <c r="U22" i="5" s="1"/>
  <c r="U23" i="5" s="1"/>
  <c r="P21" i="5"/>
  <c r="P22" i="5" s="1"/>
  <c r="P23" i="5" s="1"/>
  <c r="K40" i="5"/>
  <c r="M40" i="5"/>
  <c r="W40" i="5"/>
  <c r="O21" i="5"/>
  <c r="O22" i="5" s="1"/>
  <c r="O23" i="5" s="1"/>
  <c r="H40" i="5"/>
  <c r="V21" i="5"/>
  <c r="V22" i="5" s="1"/>
  <c r="V23" i="5" s="1"/>
  <c r="F21" i="5"/>
  <c r="F22" i="5" s="1"/>
  <c r="F23" i="5" s="1"/>
  <c r="S40" i="5"/>
  <c r="U40" i="5"/>
  <c r="D21" i="5"/>
  <c r="D22" i="5" s="1"/>
  <c r="D23" i="5" s="1"/>
  <c r="AA40" i="5"/>
  <c r="F40" i="5"/>
  <c r="P40" i="5"/>
  <c r="E21" i="5"/>
  <c r="E22" i="5" s="1"/>
  <c r="E23" i="5" s="1"/>
  <c r="L21" i="5"/>
  <c r="L22" i="5" s="1"/>
  <c r="L23" i="5" s="1"/>
  <c r="R40" i="5"/>
  <c r="N40" i="5"/>
  <c r="X40" i="5"/>
  <c r="R21" i="5"/>
  <c r="R22" i="5" s="1"/>
  <c r="R23" i="5" s="1"/>
  <c r="W21" i="5"/>
  <c r="W22" i="5" s="1"/>
  <c r="W23" i="5" s="1"/>
  <c r="J21" i="5"/>
  <c r="J22" i="5" s="1"/>
  <c r="J23" i="5" s="1"/>
  <c r="Y21" i="5"/>
  <c r="Y22" i="5" s="1"/>
  <c r="Y23" i="5" s="1"/>
  <c r="L40" i="5"/>
  <c r="Z40" i="5"/>
  <c r="G21" i="5"/>
  <c r="G22" i="5" s="1"/>
  <c r="G23" i="5" s="1"/>
  <c r="H21" i="5"/>
  <c r="H22" i="5" s="1"/>
  <c r="H23" i="5" s="1"/>
  <c r="M21" i="5"/>
  <c r="M22" i="5" s="1"/>
  <c r="M23" i="5" s="1"/>
  <c r="T40" i="5"/>
  <c r="G40" i="5"/>
  <c r="Q40" i="5"/>
  <c r="Q21" i="5"/>
  <c r="Q22" i="5" s="1"/>
  <c r="Q23" i="5" s="1"/>
  <c r="I21" i="5"/>
  <c r="I22" i="5" s="1"/>
  <c r="I23" i="5" s="1"/>
  <c r="S21" i="5"/>
  <c r="S22" i="5" s="1"/>
  <c r="S23" i="5" s="1"/>
  <c r="Z21" i="5"/>
  <c r="Z22" i="5" s="1"/>
  <c r="Z23" i="5" s="1"/>
  <c r="E40" i="5"/>
  <c r="O40" i="5"/>
  <c r="Y40" i="5"/>
  <c r="Y41" i="5" s="1"/>
  <c r="Y42" i="5" s="1"/>
  <c r="T21" i="5"/>
  <c r="T22" i="5" s="1"/>
  <c r="T23" i="5" s="1"/>
  <c r="K21" i="5"/>
  <c r="K22" i="5" s="1"/>
  <c r="K23" i="5" s="1"/>
  <c r="G41" i="5" l="1"/>
  <c r="G42" i="5" s="1"/>
  <c r="L41" i="5"/>
  <c r="L42" i="5" s="1"/>
  <c r="V41" i="5"/>
  <c r="V42" i="5" s="1"/>
  <c r="U41" i="5"/>
  <c r="U42" i="5" s="1"/>
  <c r="F41" i="5"/>
  <c r="F42" i="5" s="1"/>
  <c r="Q41" i="5"/>
  <c r="Q42" i="5" s="1"/>
  <c r="S41" i="5"/>
  <c r="S42" i="5" s="1"/>
  <c r="D41" i="5"/>
  <c r="D42" i="5" s="1"/>
  <c r="I41" i="5"/>
  <c r="I42" i="5" s="1"/>
  <c r="P41" i="5"/>
  <c r="P42" i="5" s="1"/>
  <c r="N41" i="5"/>
  <c r="N42" i="5" s="1"/>
  <c r="K41" i="5"/>
  <c r="K42" i="5" s="1"/>
  <c r="Z41" i="5"/>
  <c r="Z42" i="5" s="1"/>
  <c r="J41" i="5"/>
  <c r="J42" i="5" s="1"/>
  <c r="H41" i="5"/>
  <c r="H42" i="5" s="1"/>
  <c r="R41" i="5"/>
  <c r="R42" i="5" s="1"/>
  <c r="M41" i="5"/>
  <c r="M42" i="5" s="1"/>
  <c r="O41" i="5"/>
  <c r="O42" i="5" s="1"/>
  <c r="T41" i="5"/>
  <c r="T42" i="5" s="1"/>
  <c r="W41" i="5"/>
  <c r="W42" i="5" s="1"/>
  <c r="X41" i="5"/>
  <c r="X42" i="5" s="1"/>
  <c r="E41" i="5"/>
  <c r="E42" i="5" s="1"/>
  <c r="AA41" i="5"/>
  <c r="AA42" i="5" s="1"/>
  <c r="E61" i="2"/>
  <c r="D9" i="14" l="1"/>
  <c r="E62" i="2"/>
  <c r="F62" i="2" s="1"/>
  <c r="D10" i="14" l="1"/>
  <c r="D13" i="14"/>
  <c r="D14" i="14" l="1"/>
  <c r="K10" i="23" l="1"/>
  <c r="N11" i="20"/>
  <c r="AJ10"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1B8F44E0-93FC-4DF5-9138-E5A78F1F3952}">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30" authorId="0" shapeId="0" xr:uid="{4E658D63-FC3C-440C-8733-C1C714BE4B25}">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FDCA3345-F3F5-4B3C-8C1D-0704F3E4D6BD}">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30" authorId="0" shapeId="0" xr:uid="{822F56B6-CE44-4A06-A634-2DD704EBAEC1}">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05E864C9-4148-4CAB-8E13-C2A6AD230532}">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30" authorId="0" shapeId="0" xr:uid="{A51D534F-F454-46F0-B434-EB3707BF7F13}">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横須賀市</author>
    <author>Kitajima</author>
  </authors>
  <commentList>
    <comment ref="E4" authorId="0" shapeId="0" xr:uid="{7C3549F0-9F73-4DEE-AB9A-B7A07E4813BB}">
      <text>
        <r>
          <rPr>
            <b/>
            <sz val="9"/>
            <color indexed="81"/>
            <rFont val="MS P ゴシック"/>
            <family val="3"/>
            <charset val="128"/>
          </rPr>
          <t>横須賀市:</t>
        </r>
        <r>
          <rPr>
            <sz val="9"/>
            <color indexed="81"/>
            <rFont val="MS P ゴシック"/>
            <family val="3"/>
            <charset val="128"/>
          </rPr>
          <t xml:space="preserve">
処遇改善等加算に係る経験年数算定表から算定された年数</t>
        </r>
      </text>
    </comment>
    <comment ref="O18" authorId="1" shapeId="0" xr:uid="{7E570DAB-30D7-4AE0-B6AF-6D51A1C27F8A}">
      <text>
        <r>
          <rPr>
            <sz val="9"/>
            <color indexed="81"/>
            <rFont val="MS P ゴシック"/>
            <family val="3"/>
            <charset val="128"/>
          </rPr>
          <t>満３歳児を控除した数字を引用しています。他の欄も同じ。</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38" authorId="0" shapeId="0" xr:uid="{76BF810F-FA86-4E4B-A49D-13897D438767}">
      <text>
        <r>
          <rPr>
            <sz val="12"/>
            <color indexed="81"/>
            <rFont val="ＭＳ Ｐゴシック"/>
            <family val="3"/>
            <charset val="128"/>
          </rPr>
          <t>加算算定上の「加配人数」を入力</t>
        </r>
        <r>
          <rPr>
            <sz val="10"/>
            <color indexed="81"/>
            <rFont val="ＭＳ Ｐゴシック"/>
            <family val="3"/>
            <charset val="128"/>
          </rPr>
          <t xml:space="preserve">
</t>
        </r>
      </text>
    </comment>
    <comment ref="C45" authorId="0" shapeId="0" xr:uid="{6F4D12FD-6DFE-4CCD-8590-50F147E0F400}">
      <text>
        <r>
          <rPr>
            <sz val="12"/>
            <color indexed="81"/>
            <rFont val="MS P ゴシック"/>
            <family val="3"/>
            <charset val="128"/>
          </rPr>
          <t>A[配置」であること</t>
        </r>
      </text>
    </comment>
    <comment ref="F47" authorId="0" shapeId="0" xr:uid="{5EB0E4BD-AE8B-490F-8F3B-9D2A34BA6540}">
      <text>
        <r>
          <rPr>
            <sz val="12"/>
            <color indexed="81"/>
            <rFont val="MS P ゴシック"/>
            <family val="3"/>
            <charset val="128"/>
          </rPr>
          <t>「必要代替保育教諭等数－配置代替保育教諭等数」の値を入力</t>
        </r>
      </text>
    </comment>
    <comment ref="F48" authorId="0" shapeId="0" xr:uid="{D5299B82-9B09-4BF3-96E2-B76B4E19AB5A}">
      <text>
        <r>
          <rPr>
            <sz val="12"/>
            <color indexed="81"/>
            <rFont val="MS P ゴシック"/>
            <family val="3"/>
            <charset val="128"/>
          </rPr>
          <t>「必要保育教諭等数－配置保育教諭等数」
の値を入力</t>
        </r>
      </text>
    </comment>
    <comment ref="H58" authorId="0" shapeId="0" xr:uid="{02CA0279-83EA-41B8-92CC-B9712960AD20}">
      <text>
        <r>
          <rPr>
            <sz val="12"/>
            <color indexed="81"/>
            <rFont val="MS P ゴシック"/>
            <family val="3"/>
            <charset val="128"/>
          </rPr>
          <t>研修修了者の実人数が算定人数に達していない場合は、実人数が人数Aとなります。</t>
        </r>
      </text>
    </comment>
    <comment ref="H59" authorId="0" shapeId="0" xr:uid="{95A5DD3F-6493-4866-B053-36359DBAF2A2}">
      <text>
        <r>
          <rPr>
            <sz val="12"/>
            <color indexed="81"/>
            <rFont val="MS P ゴシック"/>
            <family val="3"/>
            <charset val="128"/>
          </rPr>
          <t>研修修了者の実人数が算定人数に達していない場合は、実人数が人数Bとなります。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横須賀市</author>
  </authors>
  <commentList>
    <comment ref="I5" authorId="0" shapeId="0" xr:uid="{DCAC4F24-65BF-454A-8A1A-396FD9875C28}">
      <text>
        <r>
          <rPr>
            <sz val="9"/>
            <color indexed="81"/>
            <rFont val="MS P ゴシック"/>
            <family val="3"/>
            <charset val="128"/>
          </rPr>
          <t>准看護師、保健師、理学療法士等は「看護師等」</t>
        </r>
      </text>
    </comment>
  </commentList>
</comments>
</file>

<file path=xl/sharedStrings.xml><?xml version="1.0" encoding="utf-8"?>
<sst xmlns="http://schemas.openxmlformats.org/spreadsheetml/2006/main" count="2232" uniqueCount="902">
  <si>
    <t>◆適用単価（加算１）</t>
    <rPh sb="1" eb="3">
      <t>テキヨウ</t>
    </rPh>
    <rPh sb="3" eb="5">
      <t>タンカ</t>
    </rPh>
    <rPh sb="6" eb="8">
      <t>カサン</t>
    </rPh>
    <phoneticPr fontId="4"/>
  </si>
  <si>
    <t>◆適用単価（加算２）</t>
    <rPh sb="1" eb="3">
      <t>テキヨウ</t>
    </rPh>
    <rPh sb="3" eb="5">
      <t>タンカ</t>
    </rPh>
    <rPh sb="6" eb="8">
      <t>カサン</t>
    </rPh>
    <phoneticPr fontId="4"/>
  </si>
  <si>
    <t>【通常定員区分】</t>
    <rPh sb="1" eb="3">
      <t>ツウジョウ</t>
    </rPh>
    <rPh sb="3" eb="5">
      <t>テイイン</t>
    </rPh>
    <rPh sb="5" eb="7">
      <t>クブン</t>
    </rPh>
    <phoneticPr fontId="4"/>
  </si>
  <si>
    <t>【その他の区分】</t>
    <rPh sb="3" eb="4">
      <t>ホカ</t>
    </rPh>
    <rPh sb="5" eb="7">
      <t>クブン</t>
    </rPh>
    <phoneticPr fontId="4"/>
  </si>
  <si>
    <t>【区分があるもの】</t>
    <rPh sb="1" eb="3">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</si>
  <si>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</si>
  <si>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</si>
  <si>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</si>
  <si>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</si>
  <si>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３歳児配置改善</t>
    <rPh sb="1" eb="3">
      <t>サイジ</t>
    </rPh>
    <rPh sb="3" eb="5">
      <t>ハイチ</t>
    </rPh>
    <rPh sb="5" eb="7">
      <t>カイゼン</t>
    </rPh>
    <phoneticPr fontId="6"/>
  </si>
  <si>
    <t>4歳以上児配置改善</t>
    <rPh sb="1" eb="4">
      <t>サイイジョウ</t>
    </rPh>
    <rPh sb="4" eb="5">
      <t>ジ</t>
    </rPh>
    <rPh sb="5" eb="7">
      <t>ハイチ</t>
    </rPh>
    <rPh sb="7" eb="9">
      <t>カイゼン</t>
    </rPh>
    <phoneticPr fontId="6"/>
  </si>
  <si>
    <t>夜間保育</t>
    <rPh sb="0" eb="2">
      <t>ヤカン</t>
    </rPh>
    <rPh sb="2" eb="4">
      <t>ホイク</t>
    </rPh>
    <phoneticPr fontId="6"/>
  </si>
  <si>
    <t>休日保育加算</t>
    <rPh sb="0" eb="2">
      <t>キュウジツ</t>
    </rPh>
    <rPh sb="2" eb="4">
      <t>ホイク</t>
    </rPh>
    <rPh sb="4" eb="6">
      <t>カサン</t>
    </rPh>
    <phoneticPr fontId="2"/>
  </si>
  <si>
    <t>休日保育加算</t>
    <rPh sb="0" eb="2">
      <t>キュウジツ</t>
    </rPh>
    <rPh sb="2" eb="4">
      <t>ホイク</t>
    </rPh>
    <rPh sb="4" eb="6">
      <t>カサン</t>
    </rPh>
    <phoneticPr fontId="4"/>
  </si>
  <si>
    <t>療育支援加算</t>
    <rPh sb="0" eb="2">
      <t>リョウイク</t>
    </rPh>
    <rPh sb="2" eb="4">
      <t>シエン</t>
    </rPh>
    <rPh sb="4" eb="6">
      <t>カサン</t>
    </rPh>
    <phoneticPr fontId="4"/>
  </si>
  <si>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</si>
  <si>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</si>
  <si>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</si>
  <si>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</si>
  <si>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</si>
  <si>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</si>
  <si>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</si>
  <si>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</si>
  <si>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４歳以上児</t>
    <rPh sb="1" eb="2">
      <t>サイ</t>
    </rPh>
    <rPh sb="2" eb="4">
      <t>イジョウ</t>
    </rPh>
    <rPh sb="4" eb="5">
      <t>ジ</t>
    </rPh>
    <phoneticPr fontId="6"/>
  </si>
  <si>
    <t>A</t>
    <phoneticPr fontId="6"/>
  </si>
  <si>
    <t>対象外</t>
    <rPh sb="0" eb="3">
      <t>タイショウガイ</t>
    </rPh>
    <phoneticPr fontId="4"/>
  </si>
  <si>
    <t>３歳児</t>
    <rPh sb="1" eb="3">
      <t>サイジ</t>
    </rPh>
    <phoneticPr fontId="6"/>
  </si>
  <si>
    <t>B</t>
    <phoneticPr fontId="6"/>
  </si>
  <si>
    <t>～210人</t>
    <rPh sb="4" eb="5">
      <t>ヒト</t>
    </rPh>
    <phoneticPr fontId="4"/>
  </si>
  <si>
    <t>Ａ</t>
    <phoneticPr fontId="4"/>
  </si>
  <si>
    <t>配置(A)</t>
    <rPh sb="0" eb="2">
      <t>ハイチ</t>
    </rPh>
    <phoneticPr fontId="4"/>
  </si>
  <si>
    <t>１、２歳児</t>
    <rPh sb="3" eb="5">
      <t>サイジ</t>
    </rPh>
    <phoneticPr fontId="6"/>
  </si>
  <si>
    <t>C</t>
    <phoneticPr fontId="6"/>
  </si>
  <si>
    <t>211人～279人</t>
    <rPh sb="3" eb="4">
      <t>ヒト</t>
    </rPh>
    <rPh sb="8" eb="9">
      <t>ヒト</t>
    </rPh>
    <phoneticPr fontId="4"/>
  </si>
  <si>
    <t>B</t>
    <phoneticPr fontId="4"/>
  </si>
  <si>
    <t>兼務(B)</t>
    <rPh sb="0" eb="2">
      <t>ケンム</t>
    </rPh>
    <phoneticPr fontId="4"/>
  </si>
  <si>
    <t>乳児</t>
    <rPh sb="0" eb="2">
      <t>ニュウジ</t>
    </rPh>
    <phoneticPr fontId="6"/>
  </si>
  <si>
    <t>D</t>
    <phoneticPr fontId="6"/>
  </si>
  <si>
    <t>280人～349人</t>
    <rPh sb="3" eb="4">
      <t>ヒト</t>
    </rPh>
    <rPh sb="8" eb="9">
      <t>ヒト</t>
    </rPh>
    <phoneticPr fontId="4"/>
  </si>
  <si>
    <t>嘱託(C)</t>
    <rPh sb="0" eb="2">
      <t>ショクタク</t>
    </rPh>
    <phoneticPr fontId="4"/>
  </si>
  <si>
    <t>350人～419人</t>
    <rPh sb="3" eb="4">
      <t>ヒト</t>
    </rPh>
    <rPh sb="8" eb="9">
      <t>ヒト</t>
    </rPh>
    <phoneticPr fontId="4"/>
  </si>
  <si>
    <t>420人～489人</t>
    <rPh sb="3" eb="4">
      <t>ヒト</t>
    </rPh>
    <rPh sb="8" eb="9">
      <t>ヒト</t>
    </rPh>
    <phoneticPr fontId="4"/>
  </si>
  <si>
    <t>【区分なし】</t>
    <rPh sb="1" eb="3">
      <t>クブン</t>
    </rPh>
    <phoneticPr fontId="4"/>
  </si>
  <si>
    <t>490人～559人</t>
    <rPh sb="3" eb="4">
      <t>ヒト</t>
    </rPh>
    <rPh sb="8" eb="9">
      <t>ヒト</t>
    </rPh>
    <phoneticPr fontId="4"/>
  </si>
  <si>
    <t>560人～629人</t>
    <rPh sb="3" eb="4">
      <t>ヒト</t>
    </rPh>
    <rPh sb="8" eb="9">
      <t>ヒト</t>
    </rPh>
    <phoneticPr fontId="4"/>
  </si>
  <si>
    <t>21人から25人まで</t>
    <phoneticPr fontId="4"/>
  </si>
  <si>
    <t>630人～699人</t>
    <rPh sb="3" eb="4">
      <t>ヒト</t>
    </rPh>
    <phoneticPr fontId="4"/>
  </si>
  <si>
    <t>700人～769人</t>
    <phoneticPr fontId="4"/>
  </si>
  <si>
    <t>840人～909人</t>
    <phoneticPr fontId="4"/>
  </si>
  <si>
    <t>冷暖房費-その他地域</t>
    <rPh sb="0" eb="3">
      <t>レイダンボウ</t>
    </rPh>
    <rPh sb="3" eb="4">
      <t>ヒ</t>
    </rPh>
    <rPh sb="7" eb="8">
      <t>ホカ</t>
    </rPh>
    <rPh sb="8" eb="10">
      <t>チイキ</t>
    </rPh>
    <phoneticPr fontId="4"/>
  </si>
  <si>
    <t>26人から30人まで</t>
    <phoneticPr fontId="4"/>
  </si>
  <si>
    <t>910人～979人</t>
    <phoneticPr fontId="4"/>
  </si>
  <si>
    <t>施設機能強化推進費</t>
    <rPh sb="0" eb="2">
      <t>シセツ</t>
    </rPh>
    <rPh sb="2" eb="4">
      <t>キノウ</t>
    </rPh>
    <rPh sb="4" eb="6">
      <t>キョウカ</t>
    </rPh>
    <rPh sb="6" eb="8">
      <t>スイシン</t>
    </rPh>
    <rPh sb="8" eb="9">
      <t>ヒ</t>
    </rPh>
    <phoneticPr fontId="4"/>
  </si>
  <si>
    <t>980人～1049人</t>
    <phoneticPr fontId="4"/>
  </si>
  <si>
    <t>第三者評価受審</t>
    <rPh sb="0" eb="3">
      <t>ダイサンシャ</t>
    </rPh>
    <rPh sb="3" eb="5">
      <t>ヒョウカ</t>
    </rPh>
    <rPh sb="5" eb="7">
      <t>ジュシン</t>
    </rPh>
    <phoneticPr fontId="4"/>
  </si>
  <si>
    <t>1050人～</t>
    <phoneticPr fontId="4"/>
  </si>
  <si>
    <t>31人から35人まで</t>
    <phoneticPr fontId="4"/>
  </si>
  <si>
    <t>36人から40人まで</t>
    <phoneticPr fontId="4"/>
  </si>
  <si>
    <t>41人から45人まで</t>
    <phoneticPr fontId="4"/>
  </si>
  <si>
    <t>46人から50人まで</t>
    <phoneticPr fontId="4"/>
  </si>
  <si>
    <t>51人から55人まで</t>
    <phoneticPr fontId="4"/>
  </si>
  <si>
    <t>56人から60人まで</t>
    <phoneticPr fontId="4"/>
  </si>
  <si>
    <t>61人から70人まで</t>
  </si>
  <si>
    <t>71人から80人まで</t>
  </si>
  <si>
    <t>81人から90人まで</t>
  </si>
  <si>
    <t>91人から100人まで</t>
  </si>
  <si>
    <t>101人から110人まで</t>
  </si>
  <si>
    <t>111人から120人まで</t>
  </si>
  <si>
    <t>121人から130人まで</t>
  </si>
  <si>
    <t>131人から140人まで</t>
  </si>
  <si>
    <t>141人から150人まで</t>
  </si>
  <si>
    <t>151人から160人まで</t>
  </si>
  <si>
    <t>161人から170人まで</t>
  </si>
  <si>
    <t>171人以上</t>
    <rPh sb="3" eb="4">
      <t>ヒト</t>
    </rPh>
    <rPh sb="4" eb="6">
      <t>イジョウ</t>
    </rPh>
    <phoneticPr fontId="4"/>
  </si>
  <si>
    <t>平均経験年数</t>
    <rPh sb="0" eb="6">
      <t>ヘイキンケイケンネンスウ</t>
    </rPh>
    <phoneticPr fontId="4"/>
  </si>
  <si>
    <t>分園</t>
    <rPh sb="0" eb="1">
      <t>ブン</t>
    </rPh>
    <rPh sb="1" eb="2">
      <t>ソノ</t>
    </rPh>
    <phoneticPr fontId="4"/>
  </si>
  <si>
    <t>分園なし</t>
    <rPh sb="0" eb="2">
      <t>ブンエン</t>
    </rPh>
    <phoneticPr fontId="4"/>
  </si>
  <si>
    <t>分園あり</t>
    <rPh sb="0" eb="2">
      <t>ブンエン</t>
    </rPh>
    <phoneticPr fontId="4"/>
  </si>
  <si>
    <t>本園の定員</t>
    <rPh sb="0" eb="2">
      <t>ホンエン</t>
    </rPh>
    <rPh sb="3" eb="5">
      <t>テイイン</t>
    </rPh>
    <phoneticPr fontId="4"/>
  </si>
  <si>
    <t>分園の有無</t>
    <rPh sb="0" eb="2">
      <t>ブンエン</t>
    </rPh>
    <rPh sb="3" eb="5">
      <t>ウム</t>
    </rPh>
    <phoneticPr fontId="4"/>
  </si>
  <si>
    <t>定員（全体）</t>
    <rPh sb="0" eb="2">
      <t>テイイン</t>
    </rPh>
    <rPh sb="3" eb="5">
      <t>ゼンタイ</t>
    </rPh>
    <phoneticPr fontId="4"/>
  </si>
  <si>
    <t>〇　基本情報</t>
    <rPh sb="2" eb="6">
      <t>キホンジョウホウ</t>
    </rPh>
    <phoneticPr fontId="4"/>
  </si>
  <si>
    <t>標準時間</t>
    <rPh sb="0" eb="4">
      <t>ヒョウジュンジカン</t>
    </rPh>
    <phoneticPr fontId="4"/>
  </si>
  <si>
    <t>短時間</t>
    <rPh sb="0" eb="3">
      <t>タンジカン</t>
    </rPh>
    <phoneticPr fontId="4"/>
  </si>
  <si>
    <t>※「分園あり」を選ばない限り、分園の情報は反映されません。</t>
    <rPh sb="2" eb="4">
      <t>ブンエン</t>
    </rPh>
    <rPh sb="8" eb="9">
      <t>エラ</t>
    </rPh>
    <rPh sb="12" eb="13">
      <t>カギ</t>
    </rPh>
    <rPh sb="15" eb="17">
      <t>ブンエン</t>
    </rPh>
    <rPh sb="18" eb="20">
      <t>ジョウホウ</t>
    </rPh>
    <rPh sb="21" eb="23">
      <t>ハンエイ</t>
    </rPh>
    <phoneticPr fontId="4"/>
  </si>
  <si>
    <t>計</t>
    <rPh sb="0" eb="1">
      <t>ケイ</t>
    </rPh>
    <phoneticPr fontId="4"/>
  </si>
  <si>
    <t>本園</t>
    <rPh sb="0" eb="2">
      <t>ホンエン</t>
    </rPh>
    <phoneticPr fontId="4"/>
  </si>
  <si>
    <t>分園</t>
    <rPh sb="0" eb="2">
      <t>ブンエン</t>
    </rPh>
    <phoneticPr fontId="4"/>
  </si>
  <si>
    <t>３歳児配置改善加算</t>
    <rPh sb="1" eb="3">
      <t>サイジ</t>
    </rPh>
    <rPh sb="3" eb="5">
      <t>ハイチ</t>
    </rPh>
    <rPh sb="5" eb="7">
      <t>カイゼン</t>
    </rPh>
    <rPh sb="7" eb="9">
      <t>カサン</t>
    </rPh>
    <phoneticPr fontId="2"/>
  </si>
  <si>
    <t>４歳以上児配置改善加算</t>
    <rPh sb="1" eb="2">
      <t>サイ</t>
    </rPh>
    <rPh sb="4" eb="5">
      <t>ジ</t>
    </rPh>
    <rPh sb="5" eb="7">
      <t>ハイチ</t>
    </rPh>
    <rPh sb="7" eb="9">
      <t>カイゼン</t>
    </rPh>
    <rPh sb="9" eb="11">
      <t>カサン</t>
    </rPh>
    <phoneticPr fontId="2"/>
  </si>
  <si>
    <t>１歳児配置改善加算</t>
    <rPh sb="1" eb="3">
      <t>サイジ</t>
    </rPh>
    <rPh sb="3" eb="5">
      <t>ハイチ</t>
    </rPh>
    <rPh sb="5" eb="7">
      <t>カイゼン</t>
    </rPh>
    <rPh sb="7" eb="9">
      <t>カサン</t>
    </rPh>
    <phoneticPr fontId="2"/>
  </si>
  <si>
    <t>●</t>
    <phoneticPr fontId="4"/>
  </si>
  <si>
    <t>園合計</t>
    <rPh sb="0" eb="1">
      <t>ソノ</t>
    </rPh>
    <rPh sb="1" eb="3">
      <t>ゴウケイ</t>
    </rPh>
    <phoneticPr fontId="4"/>
  </si>
  <si>
    <t>加算一般</t>
    <rPh sb="0" eb="2">
      <t>カサン</t>
    </rPh>
    <rPh sb="2" eb="4">
      <t>イッパン</t>
    </rPh>
    <phoneticPr fontId="4"/>
  </si>
  <si>
    <t>療育支援</t>
    <rPh sb="0" eb="4">
      <t>リョウイクシエン</t>
    </rPh>
    <phoneticPr fontId="4"/>
  </si>
  <si>
    <t>栄養管理</t>
    <rPh sb="0" eb="4">
      <t>エイヨウカンリ</t>
    </rPh>
    <phoneticPr fontId="4"/>
  </si>
  <si>
    <t>A(特別児童扶養手当支給対象児童受入）</t>
    <rPh sb="2" eb="4">
      <t>トクベツ</t>
    </rPh>
    <rPh sb="4" eb="6">
      <t>ジドウ</t>
    </rPh>
    <rPh sb="6" eb="10">
      <t>フヨウテアテ</t>
    </rPh>
    <rPh sb="10" eb="16">
      <t>シキュウタイショウジドウ</t>
    </rPh>
    <rPh sb="16" eb="17">
      <t>ウ</t>
    </rPh>
    <rPh sb="17" eb="18">
      <t>イ</t>
    </rPh>
    <phoneticPr fontId="4"/>
  </si>
  <si>
    <t>B(それ以外の障害児受入）</t>
    <rPh sb="4" eb="6">
      <t>イガイ</t>
    </rPh>
    <rPh sb="7" eb="11">
      <t>ショウガイジウ</t>
    </rPh>
    <rPh sb="11" eb="12">
      <t>イ</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</si>
  <si>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</si>
  <si>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</si>
  <si>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</si>
  <si>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</si>
  <si>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夜間保育加算</t>
    <rPh sb="0" eb="2">
      <t>ヤカン</t>
    </rPh>
    <rPh sb="2" eb="4">
      <t>ホイク</t>
    </rPh>
    <rPh sb="4" eb="6">
      <t>カサン</t>
    </rPh>
    <phoneticPr fontId="2"/>
  </si>
  <si>
    <t>療育支援加算</t>
    <rPh sb="0" eb="6">
      <t>リョウイクシエンカサン</t>
    </rPh>
    <phoneticPr fontId="2"/>
  </si>
  <si>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</si>
  <si>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</si>
  <si>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</si>
  <si>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</si>
  <si>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</si>
  <si>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</si>
  <si>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A</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</si>
  <si>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</si>
  <si>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</si>
  <si>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</si>
  <si>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</si>
  <si>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処遇改善等加算（本園/標準時間）単価</t>
    <rPh sb="0" eb="7">
      <t>ショグウカイゼントウカサン</t>
    </rPh>
    <rPh sb="11" eb="15">
      <t>ヒョウジュンジカン</t>
    </rPh>
    <rPh sb="16" eb="18">
      <t>タンカ</t>
    </rPh>
    <phoneticPr fontId="4"/>
  </si>
  <si>
    <t>処遇改善等加算（本園/短時間）単価</t>
    <rPh sb="0" eb="5">
      <t>ショグウカイゼントウ</t>
    </rPh>
    <rPh sb="5" eb="7">
      <t>カサン</t>
    </rPh>
    <rPh sb="8" eb="10">
      <t>ホンエン</t>
    </rPh>
    <rPh sb="11" eb="14">
      <t>タンジカン</t>
    </rPh>
    <rPh sb="15" eb="17">
      <t>タンカ</t>
    </rPh>
    <phoneticPr fontId="4"/>
  </si>
  <si>
    <t>処遇改善等加算（分園/標準時間）単価</t>
    <rPh sb="0" eb="7">
      <t>ショグウカイゼントウカサン</t>
    </rPh>
    <rPh sb="11" eb="15">
      <t>ヒョウジュンジカン</t>
    </rPh>
    <rPh sb="16" eb="18">
      <t>タンカ</t>
    </rPh>
    <phoneticPr fontId="4"/>
  </si>
  <si>
    <t>処遇改善等加算（分園/短時間）単価</t>
    <rPh sb="0" eb="5">
      <t>ショグウカイゼントウ</t>
    </rPh>
    <rPh sb="5" eb="7">
      <t>カサン</t>
    </rPh>
    <rPh sb="11" eb="14">
      <t>タンジカン</t>
    </rPh>
    <rPh sb="15" eb="17">
      <t>タンカ</t>
    </rPh>
    <phoneticPr fontId="4"/>
  </si>
  <si>
    <t>3歳児配置改善加算単価</t>
    <rPh sb="1" eb="3">
      <t>サイジ</t>
    </rPh>
    <rPh sb="3" eb="9">
      <t>ハイチカイゼンカサン</t>
    </rPh>
    <rPh sb="9" eb="11">
      <t>タンカ</t>
    </rPh>
    <phoneticPr fontId="4"/>
  </si>
  <si>
    <t>1歳児配置改善加算単価</t>
    <rPh sb="1" eb="3">
      <t>サイジ</t>
    </rPh>
    <rPh sb="3" eb="9">
      <t>ハイチカイゼンカサン</t>
    </rPh>
    <rPh sb="9" eb="11">
      <t>タンカ</t>
    </rPh>
    <phoneticPr fontId="4"/>
  </si>
  <si>
    <t>4歳以上児配置改善加算単価</t>
    <rPh sb="1" eb="4">
      <t>サイイジョウ</t>
    </rPh>
    <rPh sb="4" eb="5">
      <t>ジ</t>
    </rPh>
    <rPh sb="5" eb="7">
      <t>ハイチ</t>
    </rPh>
    <rPh sb="7" eb="9">
      <t>カイゼン</t>
    </rPh>
    <rPh sb="9" eb="11">
      <t>カサン</t>
    </rPh>
    <rPh sb="11" eb="13">
      <t>タンカ</t>
    </rPh>
    <phoneticPr fontId="4"/>
  </si>
  <si>
    <t>休日保育</t>
    <rPh sb="0" eb="4">
      <t>キュウジツホイク</t>
    </rPh>
    <phoneticPr fontId="4"/>
  </si>
  <si>
    <t>～210人</t>
  </si>
  <si>
    <t>211人～279人</t>
  </si>
  <si>
    <t>280人～349人</t>
  </si>
  <si>
    <t>350人～419人</t>
  </si>
  <si>
    <t>420人～489人</t>
  </si>
  <si>
    <t>490人～559人</t>
  </si>
  <si>
    <t>560人～629人</t>
  </si>
  <si>
    <t>630人～699人</t>
  </si>
  <si>
    <t>700人～769人</t>
  </si>
  <si>
    <t>770人～839人</t>
  </si>
  <si>
    <t>840人～909人</t>
  </si>
  <si>
    <t>910人～979人</t>
  </si>
  <si>
    <t>980人～1049人</t>
  </si>
  <si>
    <t>1050人～</t>
  </si>
  <si>
    <t>休日保育加算単価</t>
    <rPh sb="0" eb="8">
      <t>キュウジツホイクカサンタンカ</t>
    </rPh>
    <phoneticPr fontId="4"/>
  </si>
  <si>
    <t>770人～839人</t>
    <phoneticPr fontId="4"/>
  </si>
  <si>
    <t>夜間保育加算単価</t>
    <rPh sb="0" eb="6">
      <t>ヤカンホイクカサン</t>
    </rPh>
    <rPh sb="6" eb="8">
      <t>タンカ</t>
    </rPh>
    <phoneticPr fontId="4"/>
  </si>
  <si>
    <t>分園の調整</t>
    <rPh sb="0" eb="2">
      <t>ブンエン</t>
    </rPh>
    <rPh sb="3" eb="5">
      <t>チョウセイ</t>
    </rPh>
    <phoneticPr fontId="4"/>
  </si>
  <si>
    <t>療育支援加算単価</t>
    <rPh sb="0" eb="6">
      <t>リョウイクシエンカサン</t>
    </rPh>
    <rPh sb="6" eb="8">
      <t>タンカ</t>
    </rPh>
    <phoneticPr fontId="2"/>
  </si>
  <si>
    <t>栄養管理加算単価</t>
    <rPh sb="0" eb="6">
      <t>エイヨウカンリカサン</t>
    </rPh>
    <rPh sb="6" eb="8">
      <t>タンカ</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</si>
  <si>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</si>
  <si>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</si>
  <si>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</si>
  <si>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</si>
  <si>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</si>
  <si>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</si>
  <si>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</si>
  <si>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</si>
  <si>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</si>
  <si>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</si>
  <si>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チーム保育</t>
    <rPh sb="3" eb="5">
      <t>ホイク</t>
    </rPh>
    <phoneticPr fontId="4"/>
  </si>
  <si>
    <t>土曜弊所</t>
    <rPh sb="0" eb="4">
      <t>ドヨウヘイショ</t>
    </rPh>
    <phoneticPr fontId="4"/>
  </si>
  <si>
    <t>月に1日</t>
    <rPh sb="0" eb="1">
      <t>ゲツ</t>
    </rPh>
    <rPh sb="3" eb="4">
      <t>ニチ</t>
    </rPh>
    <phoneticPr fontId="4"/>
  </si>
  <si>
    <t>月に2日</t>
    <rPh sb="0" eb="1">
      <t>ゲツ</t>
    </rPh>
    <rPh sb="3" eb="4">
      <t>ニチ</t>
    </rPh>
    <phoneticPr fontId="4"/>
  </si>
  <si>
    <t>月に3日以上</t>
    <rPh sb="0" eb="1">
      <t>ゲツ</t>
    </rPh>
    <rPh sb="3" eb="4">
      <t>ニチ</t>
    </rPh>
    <rPh sb="4" eb="6">
      <t>イジョウ</t>
    </rPh>
    <phoneticPr fontId="4"/>
  </si>
  <si>
    <t>全ての土曜日</t>
    <rPh sb="0" eb="1">
      <t>スベ</t>
    </rPh>
    <rPh sb="3" eb="6">
      <t>ドヨウビ</t>
    </rPh>
    <phoneticPr fontId="4"/>
  </si>
  <si>
    <t>flag</t>
    <phoneticPr fontId="4"/>
  </si>
  <si>
    <t>土曜閉所減算単価</t>
    <rPh sb="0" eb="4">
      <t>ドヨウヘイショ</t>
    </rPh>
    <rPh sb="4" eb="6">
      <t>ゲンサン</t>
    </rPh>
    <rPh sb="6" eb="8">
      <t>タンカ</t>
    </rPh>
    <phoneticPr fontId="4"/>
  </si>
  <si>
    <t>1歳児配置改善</t>
    <rPh sb="1" eb="3">
      <t>サイジ</t>
    </rPh>
    <rPh sb="3" eb="5">
      <t>ハイチ</t>
    </rPh>
    <rPh sb="5" eb="7">
      <t>カイゼン</t>
    </rPh>
    <phoneticPr fontId="6"/>
  </si>
  <si>
    <t>チーム保育加配加算</t>
    <rPh sb="3" eb="5">
      <t>ホイク</t>
    </rPh>
    <rPh sb="5" eb="7">
      <t>カハイ</t>
    </rPh>
    <rPh sb="7" eb="9">
      <t>カサン</t>
    </rPh>
    <phoneticPr fontId="4"/>
  </si>
  <si>
    <t>1号2号利用定員</t>
    <rPh sb="1" eb="2">
      <t>ゴウ</t>
    </rPh>
    <rPh sb="3" eb="4">
      <t>ゴウ</t>
    </rPh>
    <rPh sb="4" eb="6">
      <t>リヨウ</t>
    </rPh>
    <rPh sb="6" eb="8">
      <t>テイイン</t>
    </rPh>
    <phoneticPr fontId="4"/>
  </si>
  <si>
    <t>10人まで</t>
    <rPh sb="2" eb="3">
      <t>ヒト</t>
    </rPh>
    <phoneticPr fontId="4"/>
  </si>
  <si>
    <t>～10人</t>
    <rPh sb="3" eb="4">
      <t>ヒト</t>
    </rPh>
    <phoneticPr fontId="4"/>
  </si>
  <si>
    <t>11人～15人</t>
    <rPh sb="2" eb="3">
      <t>ヒト</t>
    </rPh>
    <rPh sb="6" eb="7">
      <t>ヒト</t>
    </rPh>
    <phoneticPr fontId="4"/>
  </si>
  <si>
    <t>16人～20人</t>
    <rPh sb="2" eb="3">
      <t>ヒト</t>
    </rPh>
    <rPh sb="6" eb="7">
      <t>ヒト</t>
    </rPh>
    <phoneticPr fontId="4"/>
  </si>
  <si>
    <t>21人～25人</t>
    <rPh sb="2" eb="3">
      <t>ヒト</t>
    </rPh>
    <rPh sb="6" eb="7">
      <t>ヒト</t>
    </rPh>
    <phoneticPr fontId="4"/>
  </si>
  <si>
    <t>26人～30人</t>
    <rPh sb="2" eb="3">
      <t>ヒト</t>
    </rPh>
    <rPh sb="6" eb="7">
      <t>ヒト</t>
    </rPh>
    <phoneticPr fontId="4"/>
  </si>
  <si>
    <t>E</t>
    <phoneticPr fontId="4"/>
  </si>
  <si>
    <t>31人～35人</t>
    <rPh sb="2" eb="3">
      <t>ヒト</t>
    </rPh>
    <rPh sb="6" eb="7">
      <t>ヒト</t>
    </rPh>
    <phoneticPr fontId="4"/>
  </si>
  <si>
    <t>F</t>
    <phoneticPr fontId="4"/>
  </si>
  <si>
    <t>36人～40人</t>
    <rPh sb="2" eb="3">
      <t>ヒト</t>
    </rPh>
    <rPh sb="6" eb="7">
      <t>ヒト</t>
    </rPh>
    <phoneticPr fontId="4"/>
  </si>
  <si>
    <t>G</t>
    <phoneticPr fontId="4"/>
  </si>
  <si>
    <t>41人～45人</t>
    <rPh sb="2" eb="3">
      <t>ヒト</t>
    </rPh>
    <rPh sb="6" eb="7">
      <t>ヒト</t>
    </rPh>
    <phoneticPr fontId="4"/>
  </si>
  <si>
    <t>H</t>
    <phoneticPr fontId="4"/>
  </si>
  <si>
    <t>処遇改善等加算Ⅱ(A)</t>
    <rPh sb="0" eb="2">
      <t>ショグウ</t>
    </rPh>
    <rPh sb="2" eb="4">
      <t>カイゼン</t>
    </rPh>
    <rPh sb="4" eb="5">
      <t>トウ</t>
    </rPh>
    <rPh sb="5" eb="7">
      <t>カサン</t>
    </rPh>
    <phoneticPr fontId="4"/>
  </si>
  <si>
    <t>16人から20人まで</t>
    <rPh sb="2" eb="3">
      <t>ヒト</t>
    </rPh>
    <rPh sb="7" eb="8">
      <t>ヒト</t>
    </rPh>
    <phoneticPr fontId="6"/>
  </si>
  <si>
    <t>46人～50人</t>
    <rPh sb="2" eb="3">
      <t>ヒト</t>
    </rPh>
    <rPh sb="6" eb="7">
      <t>ヒト</t>
    </rPh>
    <phoneticPr fontId="4"/>
  </si>
  <si>
    <t>I</t>
    <phoneticPr fontId="4"/>
  </si>
  <si>
    <t>処遇改善等加算Ⅱ(B)</t>
    <rPh sb="0" eb="2">
      <t>ショグウ</t>
    </rPh>
    <rPh sb="2" eb="4">
      <t>カイゼン</t>
    </rPh>
    <rPh sb="4" eb="5">
      <t>トウ</t>
    </rPh>
    <rPh sb="5" eb="7">
      <t>カサン</t>
    </rPh>
    <phoneticPr fontId="4"/>
  </si>
  <si>
    <t>51人～55人</t>
    <rPh sb="2" eb="3">
      <t>ヒト</t>
    </rPh>
    <rPh sb="6" eb="7">
      <t>ヒト</t>
    </rPh>
    <phoneticPr fontId="4"/>
  </si>
  <si>
    <t>J</t>
    <phoneticPr fontId="4"/>
  </si>
  <si>
    <t>56人～60人</t>
    <rPh sb="2" eb="3">
      <t>ヒト</t>
    </rPh>
    <rPh sb="6" eb="7">
      <t>ヒト</t>
    </rPh>
    <phoneticPr fontId="4"/>
  </si>
  <si>
    <t>K</t>
    <phoneticPr fontId="4"/>
  </si>
  <si>
    <t>61人～75人</t>
    <rPh sb="2" eb="3">
      <t>ヒト</t>
    </rPh>
    <rPh sb="6" eb="7">
      <t>ヒト</t>
    </rPh>
    <phoneticPr fontId="4"/>
  </si>
  <si>
    <t>L</t>
    <phoneticPr fontId="4"/>
  </si>
  <si>
    <t>70人～90人</t>
    <rPh sb="2" eb="3">
      <t>ヒト</t>
    </rPh>
    <rPh sb="6" eb="7">
      <t>ヒト</t>
    </rPh>
    <phoneticPr fontId="4"/>
  </si>
  <si>
    <t>M</t>
    <phoneticPr fontId="4"/>
  </si>
  <si>
    <t>91人～105人</t>
    <rPh sb="2" eb="3">
      <t>ヒト</t>
    </rPh>
    <rPh sb="7" eb="8">
      <t>ヒト</t>
    </rPh>
    <phoneticPr fontId="4"/>
  </si>
  <si>
    <t>N</t>
    <phoneticPr fontId="4"/>
  </si>
  <si>
    <t>106人～120人</t>
    <rPh sb="3" eb="4">
      <t>ヒト</t>
    </rPh>
    <phoneticPr fontId="4"/>
  </si>
  <si>
    <t>O</t>
    <phoneticPr fontId="4"/>
  </si>
  <si>
    <t>121人～135人</t>
    <phoneticPr fontId="4"/>
  </si>
  <si>
    <t>P</t>
    <phoneticPr fontId="4"/>
  </si>
  <si>
    <t>136人～150人</t>
    <phoneticPr fontId="4"/>
  </si>
  <si>
    <t>Q</t>
    <phoneticPr fontId="4"/>
  </si>
  <si>
    <t>151人～180人</t>
    <phoneticPr fontId="4"/>
  </si>
  <si>
    <t>R</t>
    <phoneticPr fontId="4"/>
  </si>
  <si>
    <t>181人～210人</t>
    <phoneticPr fontId="4"/>
  </si>
  <si>
    <t>S</t>
    <phoneticPr fontId="4"/>
  </si>
  <si>
    <t>211人～240人</t>
    <phoneticPr fontId="4"/>
  </si>
  <si>
    <t>T</t>
    <phoneticPr fontId="4"/>
  </si>
  <si>
    <t>241人～270人</t>
    <rPh sb="8" eb="9">
      <t>ヒト</t>
    </rPh>
    <phoneticPr fontId="4"/>
  </si>
  <si>
    <t>U</t>
    <phoneticPr fontId="4"/>
  </si>
  <si>
    <t>270人～300人</t>
    <rPh sb="8" eb="9">
      <t>ヒト</t>
    </rPh>
    <phoneticPr fontId="4"/>
  </si>
  <si>
    <t>V</t>
    <phoneticPr fontId="4"/>
  </si>
  <si>
    <t>301人～</t>
    <phoneticPr fontId="4"/>
  </si>
  <si>
    <t>W</t>
    <phoneticPr fontId="4"/>
  </si>
  <si>
    <t>副園長・教頭配置</t>
    <rPh sb="0" eb="3">
      <t>フクエンチョウ</t>
    </rPh>
    <rPh sb="4" eb="6">
      <t>キョウトウ</t>
    </rPh>
    <rPh sb="6" eb="8">
      <t>ハイチ</t>
    </rPh>
    <phoneticPr fontId="4"/>
  </si>
  <si>
    <t>３歳児配置改善</t>
    <rPh sb="1" eb="3">
      <t>サイジ</t>
    </rPh>
    <rPh sb="3" eb="5">
      <t>ハイチ</t>
    </rPh>
    <rPh sb="5" eb="7">
      <t>カイゼン</t>
    </rPh>
    <phoneticPr fontId="4"/>
  </si>
  <si>
    <t>4歳以上児配置改善</t>
    <rPh sb="1" eb="4">
      <t>サイイジョウ</t>
    </rPh>
    <rPh sb="4" eb="5">
      <t>ジ</t>
    </rPh>
    <rPh sb="5" eb="7">
      <t>ハイチ</t>
    </rPh>
    <rPh sb="7" eb="9">
      <t>カイゼン</t>
    </rPh>
    <phoneticPr fontId="4"/>
  </si>
  <si>
    <t>満3歳児対応加配(3歳児配置改善なし）</t>
    <rPh sb="0" eb="1">
      <t>ミツル</t>
    </rPh>
    <rPh sb="2" eb="4">
      <t>サイジ</t>
    </rPh>
    <rPh sb="4" eb="6">
      <t>タイオウ</t>
    </rPh>
    <rPh sb="6" eb="8">
      <t>カハイ</t>
    </rPh>
    <rPh sb="10" eb="12">
      <t>サイジ</t>
    </rPh>
    <rPh sb="12" eb="14">
      <t>ハイチ</t>
    </rPh>
    <rPh sb="14" eb="16">
      <t>カイゼン</t>
    </rPh>
    <phoneticPr fontId="4"/>
  </si>
  <si>
    <t>満3歳児対応加配(3歳児配置改善あり）</t>
    <rPh sb="0" eb="1">
      <t>ミツル</t>
    </rPh>
    <rPh sb="2" eb="4">
      <t>サイジ</t>
    </rPh>
    <rPh sb="4" eb="6">
      <t>タイオウ</t>
    </rPh>
    <rPh sb="6" eb="8">
      <t>カハイ</t>
    </rPh>
    <rPh sb="10" eb="12">
      <t>サイジ</t>
    </rPh>
    <rPh sb="12" eb="14">
      <t>ハイチ</t>
    </rPh>
    <rPh sb="14" eb="16">
      <t>カイゼン</t>
    </rPh>
    <phoneticPr fontId="4"/>
  </si>
  <si>
    <t>講師配置</t>
    <rPh sb="0" eb="2">
      <t>コウシ</t>
    </rPh>
    <rPh sb="2" eb="4">
      <t>ハイチ</t>
    </rPh>
    <phoneticPr fontId="4"/>
  </si>
  <si>
    <t>チーム保育加配</t>
    <rPh sb="3" eb="5">
      <t>ホイク</t>
    </rPh>
    <rPh sb="5" eb="7">
      <t>カハイ</t>
    </rPh>
    <phoneticPr fontId="4"/>
  </si>
  <si>
    <t>通園送迎</t>
    <rPh sb="0" eb="2">
      <t>ツウエン</t>
    </rPh>
    <rPh sb="2" eb="4">
      <t>ソウゲイ</t>
    </rPh>
    <phoneticPr fontId="4"/>
  </si>
  <si>
    <t>給食実施（施設内）</t>
    <rPh sb="0" eb="2">
      <t>キュウショク</t>
    </rPh>
    <rPh sb="2" eb="4">
      <t>ジッシ</t>
    </rPh>
    <rPh sb="5" eb="7">
      <t>シセツ</t>
    </rPh>
    <rPh sb="7" eb="8">
      <t>ナイ</t>
    </rPh>
    <phoneticPr fontId="4"/>
  </si>
  <si>
    <t>給食実施（外部搬入）</t>
    <rPh sb="0" eb="2">
      <t>キュウショク</t>
    </rPh>
    <rPh sb="2" eb="4">
      <t>ジッシ</t>
    </rPh>
    <rPh sb="5" eb="7">
      <t>ガイブ</t>
    </rPh>
    <rPh sb="7" eb="9">
      <t>ハンニュウ</t>
    </rPh>
    <phoneticPr fontId="4"/>
  </si>
  <si>
    <t>a</t>
    <phoneticPr fontId="6"/>
  </si>
  <si>
    <t>b</t>
    <phoneticPr fontId="6"/>
  </si>
  <si>
    <t>16人から20人まで</t>
    <rPh sb="2" eb="3">
      <t>ヒト</t>
    </rPh>
    <rPh sb="7" eb="8">
      <t>ヒト</t>
    </rPh>
    <phoneticPr fontId="4"/>
  </si>
  <si>
    <t>21人から25人まで</t>
    <rPh sb="2" eb="3">
      <t>ヒト</t>
    </rPh>
    <rPh sb="7" eb="8">
      <t>ヒト</t>
    </rPh>
    <phoneticPr fontId="4"/>
  </si>
  <si>
    <t>事務職員配置</t>
    <rPh sb="0" eb="2">
      <t>ジム</t>
    </rPh>
    <rPh sb="2" eb="4">
      <t>ショクイン</t>
    </rPh>
    <rPh sb="4" eb="6">
      <t>ハイチ</t>
    </rPh>
    <phoneticPr fontId="6"/>
  </si>
  <si>
    <t>指導充実加配</t>
    <rPh sb="0" eb="2">
      <t>シドウ</t>
    </rPh>
    <rPh sb="2" eb="4">
      <t>ジュウジツ</t>
    </rPh>
    <rPh sb="4" eb="6">
      <t>カハイ</t>
    </rPh>
    <phoneticPr fontId="6"/>
  </si>
  <si>
    <t>事務負担対応加配</t>
    <rPh sb="0" eb="2">
      <t>ジム</t>
    </rPh>
    <rPh sb="2" eb="4">
      <t>フタン</t>
    </rPh>
    <rPh sb="4" eb="6">
      <t>タイオウ</t>
    </rPh>
    <rPh sb="6" eb="8">
      <t>カハイ</t>
    </rPh>
    <phoneticPr fontId="6"/>
  </si>
  <si>
    <t>61人から75人まで</t>
    <rPh sb="2" eb="3">
      <t>ヒト</t>
    </rPh>
    <rPh sb="7" eb="8">
      <t>ヒト</t>
    </rPh>
    <phoneticPr fontId="4"/>
  </si>
  <si>
    <t>76人から90人まで</t>
    <rPh sb="2" eb="3">
      <t>ヒト</t>
    </rPh>
    <rPh sb="7" eb="8">
      <t>ヒト</t>
    </rPh>
    <phoneticPr fontId="4"/>
  </si>
  <si>
    <t>91人から105人まで</t>
    <rPh sb="2" eb="3">
      <t>ヒト</t>
    </rPh>
    <rPh sb="8" eb="9">
      <t>ヒト</t>
    </rPh>
    <phoneticPr fontId="4"/>
  </si>
  <si>
    <t>106人から120人まで</t>
    <rPh sb="3" eb="4">
      <t>ヒト</t>
    </rPh>
    <rPh sb="9" eb="10">
      <t>ヒト</t>
    </rPh>
    <phoneticPr fontId="4"/>
  </si>
  <si>
    <t>121人から135人まで</t>
    <rPh sb="3" eb="4">
      <t>ヒト</t>
    </rPh>
    <rPh sb="9" eb="10">
      <t>ヒト</t>
    </rPh>
    <phoneticPr fontId="4"/>
  </si>
  <si>
    <t>136人から150人まで</t>
    <rPh sb="3" eb="4">
      <t>ヒト</t>
    </rPh>
    <rPh sb="9" eb="10">
      <t>ヒト</t>
    </rPh>
    <phoneticPr fontId="4"/>
  </si>
  <si>
    <t>151人から180人まで</t>
    <rPh sb="3" eb="4">
      <t>ヒト</t>
    </rPh>
    <rPh sb="9" eb="10">
      <t>ヒト</t>
    </rPh>
    <phoneticPr fontId="4"/>
  </si>
  <si>
    <t>181人から210人まで</t>
    <rPh sb="3" eb="4">
      <t>ヒト</t>
    </rPh>
    <rPh sb="9" eb="10">
      <t>ヒト</t>
    </rPh>
    <phoneticPr fontId="4"/>
  </si>
  <si>
    <t>211人から240人まで</t>
    <rPh sb="3" eb="4">
      <t>ヒト</t>
    </rPh>
    <rPh sb="9" eb="10">
      <t>ヒト</t>
    </rPh>
    <phoneticPr fontId="4"/>
  </si>
  <si>
    <t>241人から270人まで</t>
    <rPh sb="3" eb="4">
      <t>ヒト</t>
    </rPh>
    <rPh sb="9" eb="10">
      <t>ヒト</t>
    </rPh>
    <phoneticPr fontId="4"/>
  </si>
  <si>
    <t>271人から300人まで</t>
    <rPh sb="3" eb="4">
      <t>ヒト</t>
    </rPh>
    <rPh sb="9" eb="10">
      <t>ヒト</t>
    </rPh>
    <phoneticPr fontId="4"/>
  </si>
  <si>
    <t>301人以上</t>
    <rPh sb="3" eb="4">
      <t>ヒト</t>
    </rPh>
    <rPh sb="4" eb="6">
      <t>イジョウ</t>
    </rPh>
    <phoneticPr fontId="4"/>
  </si>
  <si>
    <t>【1号2号利用定員】</t>
    <rPh sb="2" eb="3">
      <t>ゴウ</t>
    </rPh>
    <rPh sb="4" eb="5">
      <t>ゴウ</t>
    </rPh>
    <rPh sb="5" eb="7">
      <t>リヨウ</t>
    </rPh>
    <rPh sb="7" eb="9">
      <t>テイイン</t>
    </rPh>
    <phoneticPr fontId="4"/>
  </si>
  <si>
    <t>学級編制調整</t>
    <rPh sb="0" eb="2">
      <t>ガッキュウ</t>
    </rPh>
    <rPh sb="2" eb="4">
      <t>ヘンセイ</t>
    </rPh>
    <rPh sb="4" eb="6">
      <t>チョウセイ</t>
    </rPh>
    <phoneticPr fontId="4"/>
  </si>
  <si>
    <t>11人から15人まで</t>
    <rPh sb="2" eb="3">
      <t>ヒト</t>
    </rPh>
    <rPh sb="7" eb="8">
      <t>ヒト</t>
    </rPh>
    <phoneticPr fontId="4"/>
  </si>
  <si>
    <t>主幹教諭等非専任化調整</t>
    <rPh sb="0" eb="1">
      <t>オモ</t>
    </rPh>
    <rPh sb="1" eb="2">
      <t>ミキ</t>
    </rPh>
    <rPh sb="2" eb="4">
      <t>キョウユ</t>
    </rPh>
    <rPh sb="4" eb="5">
      <t>トウ</t>
    </rPh>
    <rPh sb="5" eb="6">
      <t>ヒ</t>
    </rPh>
    <rPh sb="6" eb="8">
      <t>センニン</t>
    </rPh>
    <rPh sb="8" eb="9">
      <t>カ</t>
    </rPh>
    <rPh sb="9" eb="11">
      <t>チョウセイ</t>
    </rPh>
    <phoneticPr fontId="4"/>
  </si>
  <si>
    <t>検討メモ：年齢別配置基準違反と資格なしの減算はいったん無視している。</t>
    <rPh sb="0" eb="2">
      <t>ケントウ</t>
    </rPh>
    <rPh sb="5" eb="12">
      <t>ネンレイベツハイチキジュン</t>
    </rPh>
    <rPh sb="12" eb="14">
      <t>イハン</t>
    </rPh>
    <rPh sb="15" eb="17">
      <t>シカク</t>
    </rPh>
    <rPh sb="20" eb="22">
      <t>ゲンサン</t>
    </rPh>
    <rPh sb="27" eb="29">
      <t>ムシ</t>
    </rPh>
    <phoneticPr fontId="4"/>
  </si>
  <si>
    <t>土曜閉所</t>
    <rPh sb="0" eb="4">
      <t>ドヨウヘイショ</t>
    </rPh>
    <phoneticPr fontId="4"/>
  </si>
  <si>
    <t>月1日</t>
    <rPh sb="0" eb="1">
      <t>ゲツ</t>
    </rPh>
    <rPh sb="2" eb="3">
      <t>ニチ</t>
    </rPh>
    <phoneticPr fontId="4"/>
  </si>
  <si>
    <t>月2日</t>
    <rPh sb="0" eb="1">
      <t>ゲツ</t>
    </rPh>
    <rPh sb="2" eb="3">
      <t>ニチ</t>
    </rPh>
    <phoneticPr fontId="4"/>
  </si>
  <si>
    <t>月3日以上</t>
    <rPh sb="0" eb="1">
      <t>ゲツ</t>
    </rPh>
    <rPh sb="2" eb="3">
      <t>ニチ</t>
    </rPh>
    <rPh sb="3" eb="5">
      <t>イジョウ</t>
    </rPh>
    <phoneticPr fontId="4"/>
  </si>
  <si>
    <t>すべて</t>
    <phoneticPr fontId="4"/>
  </si>
  <si>
    <t>主幹教諭等非専任化調整</t>
    <rPh sb="0" eb="2">
      <t>シュカン</t>
    </rPh>
    <rPh sb="2" eb="5">
      <t>キョウユトウ</t>
    </rPh>
    <rPh sb="5" eb="8">
      <t>ヒセンニン</t>
    </rPh>
    <rPh sb="8" eb="9">
      <t>バ</t>
    </rPh>
    <rPh sb="9" eb="11">
      <t>チョウセイ</t>
    </rPh>
    <phoneticPr fontId="6"/>
  </si>
  <si>
    <t>検討メモ：年齢別配置基準違反と資格なしの減算、1号こども利用定員設定なしの加算はいったん無視している。</t>
    <rPh sb="0" eb="2">
      <t>ケントウ</t>
    </rPh>
    <rPh sb="24" eb="25">
      <t>ゴウ</t>
    </rPh>
    <rPh sb="28" eb="30">
      <t>リヨウ</t>
    </rPh>
    <rPh sb="30" eb="32">
      <t>テイイン</t>
    </rPh>
    <rPh sb="32" eb="34">
      <t>セッテイ</t>
    </rPh>
    <rPh sb="37" eb="39">
      <t>カサン</t>
    </rPh>
    <rPh sb="44" eb="46">
      <t>ムシ</t>
    </rPh>
    <phoneticPr fontId="4"/>
  </si>
  <si>
    <t>列1</t>
  </si>
  <si>
    <t>列2</t>
  </si>
  <si>
    <t>列3</t>
  </si>
  <si>
    <t>列4</t>
  </si>
  <si>
    <t>列5</t>
  </si>
  <si>
    <t>列6</t>
  </si>
  <si>
    <t>列7</t>
  </si>
  <si>
    <t>列8</t>
  </si>
  <si>
    <t>列9</t>
  </si>
  <si>
    <t>列10</t>
  </si>
  <si>
    <t>列11</t>
  </si>
  <si>
    <t>列12</t>
  </si>
  <si>
    <t>列13</t>
  </si>
  <si>
    <t>列14</t>
  </si>
  <si>
    <t>列15</t>
  </si>
  <si>
    <t>列16</t>
  </si>
  <si>
    <t>列17</t>
  </si>
  <si>
    <t>列18</t>
  </si>
  <si>
    <t>列19</t>
  </si>
  <si>
    <t>列20</t>
  </si>
  <si>
    <t>列21</t>
  </si>
  <si>
    <t>列22</t>
  </si>
  <si>
    <t>列23</t>
  </si>
  <si>
    <t>列24</t>
  </si>
  <si>
    <t>列25</t>
  </si>
  <si>
    <t>列26</t>
  </si>
  <si>
    <t>列27</t>
  </si>
  <si>
    <t>【認定こども園用】処遇改善等加算区分1・2加算額見込み計算表</t>
    <rPh sb="1" eb="3">
      <t>ニンテイ</t>
    </rPh>
    <rPh sb="6" eb="7">
      <t>エン</t>
    </rPh>
    <rPh sb="7" eb="8">
      <t>ヨウ</t>
    </rPh>
    <rPh sb="9" eb="16">
      <t>ショグウカイゼントウカサン</t>
    </rPh>
    <phoneticPr fontId="4"/>
  </si>
  <si>
    <t>1号定員key1</t>
    <rPh sb="1" eb="2">
      <t>ゴウ</t>
    </rPh>
    <rPh sb="2" eb="4">
      <t>テイイン</t>
    </rPh>
    <phoneticPr fontId="4"/>
  </si>
  <si>
    <t>1号定員key2</t>
    <rPh sb="1" eb="2">
      <t>ゴウ</t>
    </rPh>
    <rPh sb="2" eb="4">
      <t>テイイン</t>
    </rPh>
    <phoneticPr fontId="4"/>
  </si>
  <si>
    <t>1号定員</t>
    <rPh sb="1" eb="4">
      <t>ゴウテイイン</t>
    </rPh>
    <phoneticPr fontId="4"/>
  </si>
  <si>
    <t>1号2号定員</t>
    <rPh sb="1" eb="2">
      <t>ゴウ</t>
    </rPh>
    <rPh sb="3" eb="4">
      <t>ゴウ</t>
    </rPh>
    <rPh sb="4" eb="6">
      <t>テイイン</t>
    </rPh>
    <phoneticPr fontId="4"/>
  </si>
  <si>
    <t>総定員</t>
    <rPh sb="0" eb="3">
      <t>ソウテイイン</t>
    </rPh>
    <phoneticPr fontId="4"/>
  </si>
  <si>
    <t>〇　【1号】平均利用子ども数（見込）</t>
    <rPh sb="4" eb="5">
      <t>ゴウ</t>
    </rPh>
    <rPh sb="6" eb="10">
      <t>ヘイキンリヨウ</t>
    </rPh>
    <rPh sb="10" eb="11">
      <t>コ</t>
    </rPh>
    <rPh sb="13" eb="14">
      <t>カズ</t>
    </rPh>
    <rPh sb="15" eb="17">
      <t>ミコ</t>
    </rPh>
    <phoneticPr fontId="4"/>
  </si>
  <si>
    <t>〇　【2・3号】平均利用子ども数（見込）</t>
    <rPh sb="6" eb="7">
      <t>ゴウ</t>
    </rPh>
    <rPh sb="8" eb="12">
      <t>ヘイキンリヨウ</t>
    </rPh>
    <rPh sb="12" eb="13">
      <t>コ</t>
    </rPh>
    <rPh sb="15" eb="16">
      <t>カズ</t>
    </rPh>
    <rPh sb="17" eb="19">
      <t>ミコ</t>
    </rPh>
    <phoneticPr fontId="4"/>
  </si>
  <si>
    <t>【1号】</t>
    <rPh sb="2" eb="3">
      <t>ゴウ</t>
    </rPh>
    <phoneticPr fontId="4"/>
  </si>
  <si>
    <t>【2号】</t>
    <rPh sb="2" eb="3">
      <t>ゴウ</t>
    </rPh>
    <phoneticPr fontId="4"/>
  </si>
  <si>
    <t>【3号】</t>
    <rPh sb="2" eb="3">
      <t>ゴウ</t>
    </rPh>
    <phoneticPr fontId="4"/>
  </si>
  <si>
    <t>教育標準時間</t>
    <rPh sb="0" eb="2">
      <t>キョウイク</t>
    </rPh>
    <rPh sb="2" eb="6">
      <t>ヒョウジュンジカン</t>
    </rPh>
    <phoneticPr fontId="4"/>
  </si>
  <si>
    <t>副園長・教頭配置加算</t>
    <rPh sb="0" eb="3">
      <t>フクエンチョウ</t>
    </rPh>
    <rPh sb="4" eb="6">
      <t>キョウトウ</t>
    </rPh>
    <rPh sb="6" eb="8">
      <t>ハイチ</t>
    </rPh>
    <rPh sb="8" eb="10">
      <t>カサン</t>
    </rPh>
    <phoneticPr fontId="2"/>
  </si>
  <si>
    <t>学級編成調整加配加算</t>
    <phoneticPr fontId="2"/>
  </si>
  <si>
    <t>満３歳児対応加配加算</t>
    <phoneticPr fontId="2"/>
  </si>
  <si>
    <t>講師配置加算</t>
    <rPh sb="0" eb="2">
      <t>コウシ</t>
    </rPh>
    <rPh sb="2" eb="4">
      <t>ハイチ</t>
    </rPh>
    <rPh sb="4" eb="6">
      <t>カサン</t>
    </rPh>
    <phoneticPr fontId="2"/>
  </si>
  <si>
    <t>チーム保育加配加算</t>
    <rPh sb="3" eb="5">
      <t>ホイク</t>
    </rPh>
    <rPh sb="5" eb="7">
      <t>カハイ</t>
    </rPh>
    <rPh sb="7" eb="9">
      <t>カサン</t>
    </rPh>
    <phoneticPr fontId="2"/>
  </si>
  <si>
    <t>通園送迎加算</t>
    <rPh sb="0" eb="2">
      <t>ツウエン</t>
    </rPh>
    <rPh sb="2" eb="4">
      <t>ソウゲイ</t>
    </rPh>
    <rPh sb="4" eb="6">
      <t>カサン</t>
    </rPh>
    <phoneticPr fontId="2"/>
  </si>
  <si>
    <t>給食実施加算</t>
    <rPh sb="0" eb="6">
      <t>キュウショクジッシカサン</t>
    </rPh>
    <phoneticPr fontId="4"/>
  </si>
  <si>
    <t>給食実施</t>
    <rPh sb="0" eb="2">
      <t>キュウショク</t>
    </rPh>
    <rPh sb="2" eb="4">
      <t>ジッシ</t>
    </rPh>
    <phoneticPr fontId="4"/>
  </si>
  <si>
    <t>施設内調理</t>
    <rPh sb="0" eb="3">
      <t>シセツナイ</t>
    </rPh>
    <rPh sb="3" eb="5">
      <t>チョウリ</t>
    </rPh>
    <phoneticPr fontId="4"/>
  </si>
  <si>
    <t>外部搬入</t>
    <rPh sb="0" eb="4">
      <t>ガイブハンニュウ</t>
    </rPh>
    <phoneticPr fontId="4"/>
  </si>
  <si>
    <t>主幹保育教諭等専任化なしの調整（減算）</t>
    <rPh sb="0" eb="2">
      <t>シュカン</t>
    </rPh>
    <rPh sb="2" eb="4">
      <t>ホイク</t>
    </rPh>
    <rPh sb="4" eb="7">
      <t>キョウユトウ</t>
    </rPh>
    <rPh sb="7" eb="9">
      <t>センニン</t>
    </rPh>
    <rPh sb="9" eb="10">
      <t>バ</t>
    </rPh>
    <rPh sb="13" eb="15">
      <t>チョウセイ</t>
    </rPh>
    <rPh sb="16" eb="18">
      <t>ゲンサン</t>
    </rPh>
    <phoneticPr fontId="2"/>
  </si>
  <si>
    <t>事務職員配置加算</t>
    <rPh sb="0" eb="2">
      <t>ジム</t>
    </rPh>
    <rPh sb="2" eb="4">
      <t>ショクイン</t>
    </rPh>
    <rPh sb="4" eb="6">
      <t>ハイチ</t>
    </rPh>
    <rPh sb="6" eb="8">
      <t>カサン</t>
    </rPh>
    <phoneticPr fontId="2"/>
  </si>
  <si>
    <t>指導充実加配加算</t>
    <rPh sb="0" eb="6">
      <t>シドウジュウジツカハイ</t>
    </rPh>
    <rPh sb="6" eb="8">
      <t>カサン</t>
    </rPh>
    <phoneticPr fontId="2"/>
  </si>
  <si>
    <t>事務負担対応加配加算</t>
    <rPh sb="0" eb="6">
      <t>ジムフタンタイオウ</t>
    </rPh>
    <rPh sb="6" eb="8">
      <t>カハイ</t>
    </rPh>
    <rPh sb="8" eb="10">
      <t>カサン</t>
    </rPh>
    <phoneticPr fontId="2"/>
  </si>
  <si>
    <t>満3歳児</t>
    <rPh sb="0" eb="1">
      <t>ミツル</t>
    </rPh>
    <rPh sb="2" eb="4">
      <t>サイジ</t>
    </rPh>
    <phoneticPr fontId="4"/>
  </si>
  <si>
    <t>※ 満3歳児を除く。</t>
    <rPh sb="2" eb="3">
      <t>ミツル</t>
    </rPh>
    <rPh sb="4" eb="6">
      <t>サイジ</t>
    </rPh>
    <rPh sb="7" eb="8">
      <t>ノゾ</t>
    </rPh>
    <phoneticPr fontId="4"/>
  </si>
  <si>
    <t>2・3号定員（全体）</t>
    <rPh sb="3" eb="6">
      <t>ゴウテイイン</t>
    </rPh>
    <rPh sb="7" eb="9">
      <t>ゼンタイ</t>
    </rPh>
    <phoneticPr fontId="4"/>
  </si>
  <si>
    <t>2・3号定員（本園）</t>
    <rPh sb="3" eb="6">
      <t>ゴウテイイン</t>
    </rPh>
    <rPh sb="7" eb="9">
      <t>ホンエン</t>
    </rPh>
    <phoneticPr fontId="4"/>
  </si>
  <si>
    <t>参考／園全体</t>
    <rPh sb="0" eb="2">
      <t>サンコウ</t>
    </rPh>
    <rPh sb="3" eb="4">
      <t>ソノ</t>
    </rPh>
    <rPh sb="4" eb="6">
      <t>ゼンタイ</t>
    </rPh>
    <phoneticPr fontId="4"/>
  </si>
  <si>
    <t>チーム保育加配加算単価</t>
    <rPh sb="3" eb="5">
      <t>ホイク</t>
    </rPh>
    <rPh sb="5" eb="7">
      <t>カハイ</t>
    </rPh>
    <rPh sb="7" eb="9">
      <t>カサン</t>
    </rPh>
    <rPh sb="9" eb="11">
      <t>タンカ</t>
    </rPh>
    <phoneticPr fontId="4"/>
  </si>
  <si>
    <t>主幹教諭等専任化なしの調整</t>
    <rPh sb="0" eb="2">
      <t>シュカン</t>
    </rPh>
    <rPh sb="2" eb="4">
      <t>キョウユ</t>
    </rPh>
    <rPh sb="4" eb="5">
      <t>トウ</t>
    </rPh>
    <rPh sb="5" eb="7">
      <t>センニン</t>
    </rPh>
    <rPh sb="7" eb="8">
      <t>バ</t>
    </rPh>
    <rPh sb="11" eb="13">
      <t>チョウセイ</t>
    </rPh>
    <phoneticPr fontId="4"/>
  </si>
  <si>
    <t>b</t>
    <phoneticPr fontId="4"/>
  </si>
  <si>
    <t>a</t>
    <phoneticPr fontId="4"/>
  </si>
  <si>
    <t>処遇改善等加算単価</t>
    <rPh sb="0" eb="7">
      <t>ショグウカイゼントウカサン</t>
    </rPh>
    <rPh sb="7" eb="9">
      <t>タンカ</t>
    </rPh>
    <phoneticPr fontId="4"/>
  </si>
  <si>
    <t>副園長・教頭配置加算単価</t>
    <rPh sb="0" eb="3">
      <t>フクエンチョウ</t>
    </rPh>
    <rPh sb="4" eb="6">
      <t>キョウトウ</t>
    </rPh>
    <rPh sb="6" eb="8">
      <t>ハイチ</t>
    </rPh>
    <rPh sb="8" eb="10">
      <t>カサン</t>
    </rPh>
    <rPh sb="10" eb="12">
      <t>タンカ</t>
    </rPh>
    <phoneticPr fontId="4"/>
  </si>
  <si>
    <t>学級編成調整加配加算単価</t>
    <rPh sb="0" eb="2">
      <t>ガッキュウ</t>
    </rPh>
    <rPh sb="2" eb="4">
      <t>ヘンセイ</t>
    </rPh>
    <rPh sb="4" eb="6">
      <t>チョウセイ</t>
    </rPh>
    <rPh sb="6" eb="8">
      <t>カハイ</t>
    </rPh>
    <rPh sb="8" eb="10">
      <t>カサン</t>
    </rPh>
    <rPh sb="10" eb="12">
      <t>タンカ</t>
    </rPh>
    <phoneticPr fontId="4"/>
  </si>
  <si>
    <t>3歳児配置改善加算単価</t>
  </si>
  <si>
    <t>4歳以上児配置改善加算単価</t>
    <rPh sb="1" eb="4">
      <t>サイイジョウ</t>
    </rPh>
    <rPh sb="4" eb="5">
      <t>コ</t>
    </rPh>
    <rPh sb="5" eb="7">
      <t>ハイチ</t>
    </rPh>
    <rPh sb="7" eb="9">
      <t>カイゼン</t>
    </rPh>
    <rPh sb="9" eb="11">
      <t>カサン</t>
    </rPh>
    <rPh sb="11" eb="13">
      <t>タンカ</t>
    </rPh>
    <phoneticPr fontId="4"/>
  </si>
  <si>
    <t>講師配置加算単価</t>
    <rPh sb="0" eb="6">
      <t>コウシハイチカサン</t>
    </rPh>
    <rPh sb="6" eb="8">
      <t>タンカ</t>
    </rPh>
    <phoneticPr fontId="4"/>
  </si>
  <si>
    <t>満３歳児対応加配加算単価</t>
    <rPh sb="0" eb="1">
      <t>マン</t>
    </rPh>
    <rPh sb="2" eb="4">
      <t>サイジ</t>
    </rPh>
    <rPh sb="4" eb="6">
      <t>タイオウ</t>
    </rPh>
    <rPh sb="6" eb="8">
      <t>カハイ</t>
    </rPh>
    <rPh sb="8" eb="10">
      <t>カサン</t>
    </rPh>
    <rPh sb="10" eb="12">
      <t>タンカ</t>
    </rPh>
    <phoneticPr fontId="4"/>
  </si>
  <si>
    <t>通園送迎費加算単価</t>
    <rPh sb="0" eb="2">
      <t>ツウエン</t>
    </rPh>
    <rPh sb="2" eb="4">
      <t>ソウゲイ</t>
    </rPh>
    <rPh sb="4" eb="5">
      <t>ヒ</t>
    </rPh>
    <rPh sb="5" eb="7">
      <t>カサン</t>
    </rPh>
    <rPh sb="7" eb="9">
      <t>タンカ</t>
    </rPh>
    <phoneticPr fontId="4"/>
  </si>
  <si>
    <t>給食日数</t>
    <rPh sb="0" eb="2">
      <t>キュウショク</t>
    </rPh>
    <rPh sb="2" eb="4">
      <t>ニッスウ</t>
    </rPh>
    <phoneticPr fontId="4"/>
  </si>
  <si>
    <t>給食実施加算単価（自園調理）</t>
    <rPh sb="0" eb="6">
      <t>キュウショクジッシカサン</t>
    </rPh>
    <rPh sb="6" eb="8">
      <t>タンカ</t>
    </rPh>
    <rPh sb="9" eb="10">
      <t>ジ</t>
    </rPh>
    <rPh sb="10" eb="11">
      <t>ソノ</t>
    </rPh>
    <rPh sb="11" eb="13">
      <t>チョウリ</t>
    </rPh>
    <phoneticPr fontId="4"/>
  </si>
  <si>
    <t>給食実施加算単価（外部搬入）</t>
    <rPh sb="0" eb="6">
      <t>キュウショクジッシカサン</t>
    </rPh>
    <rPh sb="6" eb="8">
      <t>タンカ</t>
    </rPh>
    <rPh sb="9" eb="13">
      <t>ガイブハンニュウ</t>
    </rPh>
    <phoneticPr fontId="4"/>
  </si>
  <si>
    <t>事務職員配置加算単価</t>
    <rPh sb="0" eb="2">
      <t>ジム</t>
    </rPh>
    <rPh sb="2" eb="4">
      <t>ショクイン</t>
    </rPh>
    <rPh sb="4" eb="6">
      <t>ハイチ</t>
    </rPh>
    <rPh sb="6" eb="8">
      <t>カサン</t>
    </rPh>
    <rPh sb="8" eb="10">
      <t>タンカ</t>
    </rPh>
    <phoneticPr fontId="4"/>
  </si>
  <si>
    <t>指導充実加配加算単価</t>
    <rPh sb="0" eb="2">
      <t>シドウ</t>
    </rPh>
    <rPh sb="2" eb="4">
      <t>ジュウジツ</t>
    </rPh>
    <rPh sb="4" eb="6">
      <t>カハイ</t>
    </rPh>
    <rPh sb="6" eb="8">
      <t>カサン</t>
    </rPh>
    <rPh sb="8" eb="10">
      <t>タンカ</t>
    </rPh>
    <phoneticPr fontId="4"/>
  </si>
  <si>
    <t>事務負担対応加配加算単価</t>
    <rPh sb="0" eb="6">
      <t>ジムフタンタイオウ</t>
    </rPh>
    <rPh sb="6" eb="10">
      <t>カハイカサン</t>
    </rPh>
    <rPh sb="10" eb="12">
      <t>タンカ</t>
    </rPh>
    <phoneticPr fontId="4"/>
  </si>
  <si>
    <t>月額（1号）</t>
    <rPh sb="0" eb="2">
      <t>ゲツガク</t>
    </rPh>
    <rPh sb="4" eb="5">
      <t>ゴウ</t>
    </rPh>
    <phoneticPr fontId="4"/>
  </si>
  <si>
    <t>月額（2・3号）</t>
    <rPh sb="0" eb="2">
      <t>ゲツガク</t>
    </rPh>
    <rPh sb="6" eb="7">
      <t>ゴウ</t>
    </rPh>
    <phoneticPr fontId="4"/>
  </si>
  <si>
    <t>加算率(a)</t>
    <rPh sb="0" eb="2">
      <t>カサン</t>
    </rPh>
    <rPh sb="2" eb="3">
      <t>リツ</t>
    </rPh>
    <phoneticPr fontId="4"/>
  </si>
  <si>
    <t>加算率(b)</t>
    <rPh sb="0" eb="2">
      <t>カサン</t>
    </rPh>
    <rPh sb="2" eb="3">
      <t>リツ</t>
    </rPh>
    <phoneticPr fontId="4"/>
  </si>
  <si>
    <t>月額合計</t>
    <rPh sb="0" eb="2">
      <t>ゲツガク</t>
    </rPh>
    <rPh sb="2" eb="4">
      <t>ゴウケイ</t>
    </rPh>
    <phoneticPr fontId="4"/>
  </si>
  <si>
    <t>施設・事業所名</t>
    <rPh sb="0" eb="2">
      <t>シセツ</t>
    </rPh>
    <rPh sb="3" eb="6">
      <t>ジギョウショ</t>
    </rPh>
    <rPh sb="6" eb="7">
      <t>メイ</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</si>
  <si>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</si>
  <si>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小規模保育所、事業所内保育事業所については、１，２歳児、０歳児欄に記入すること。</t>
    <rPh sb="0" eb="3">
      <t>ショウキボ</t>
    </rPh>
    <rPh sb="3" eb="6">
      <t>ホイクショ</t>
    </rPh>
    <rPh sb="7" eb="10">
      <t>ジギョウショ</t>
    </rPh>
    <rPh sb="10" eb="11">
      <t>ナイ</t>
    </rPh>
    <rPh sb="11" eb="13">
      <t>ホイク</t>
    </rPh>
    <rPh sb="13" eb="16">
      <t>ジギョウショ</t>
    </rPh>
    <rPh sb="25" eb="27">
      <t>サイジ</t>
    </rPh>
    <rPh sb="29" eb="31">
      <t>サイジ</t>
    </rPh>
    <rPh sb="31" eb="32">
      <t>ラン</t>
    </rPh>
    <rPh sb="33" eb="35">
      <t>キニュウ</t>
    </rPh>
    <phoneticPr fontId="4"/>
  </si>
  <si>
    <t>平均
児童数</t>
    <rPh sb="0" eb="2">
      <t>ヘイキン</t>
    </rPh>
    <rPh sb="3" eb="6">
      <t>ジドウスウ</t>
    </rPh>
    <phoneticPr fontId="4"/>
  </si>
  <si>
    <t>実績</t>
    <rPh sb="0" eb="2">
      <t>ジッセキ</t>
    </rPh>
    <phoneticPr fontId="4"/>
  </si>
  <si>
    <t>児童数</t>
    <rPh sb="0" eb="3">
      <t>ジドウスウ</t>
    </rPh>
    <phoneticPr fontId="4"/>
  </si>
  <si>
    <t>伸び率</t>
    <rPh sb="0" eb="1">
      <t>ノ</t>
    </rPh>
    <rPh sb="2" eb="3">
      <t>リツ</t>
    </rPh>
    <phoneticPr fontId="4"/>
  </si>
  <si>
    <t xml:space="preserve"> </t>
    <phoneticPr fontId="4"/>
  </si>
  <si>
    <t>３歳児</t>
    <rPh sb="1" eb="3">
      <t>サイジ</t>
    </rPh>
    <phoneticPr fontId="4"/>
  </si>
  <si>
    <t>０歳児</t>
    <rPh sb="1" eb="3">
      <t>サイジ</t>
    </rPh>
    <phoneticPr fontId="4"/>
  </si>
  <si>
    <t>合計</t>
    <rPh sb="0" eb="2">
      <t>ゴウケイ</t>
    </rPh>
    <phoneticPr fontId="4"/>
  </si>
  <si>
    <t>７年度</t>
    <rPh sb="1" eb="3">
      <t>ネンド</t>
    </rPh>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</si>
  <si>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</si>
  <si>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</si>
  <si>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</si>
  <si>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</si>
  <si>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例：近隣の保育所が、10月に閉所予定であり、その児童数の○○人を受け入れる予定であるため。</t>
    <rPh sb="0" eb="1">
      <t>レイ</t>
    </rPh>
    <rPh sb="2" eb="4">
      <t>キンリン</t>
    </rPh>
    <rPh sb="5" eb="7">
      <t>ホイク</t>
    </rPh>
    <rPh sb="7" eb="8">
      <t>ショ</t>
    </rPh>
    <rPh sb="12" eb="13">
      <t>ガツ</t>
    </rPh>
    <rPh sb="14" eb="16">
      <t>ヘイショ</t>
    </rPh>
    <rPh sb="16" eb="18">
      <t>ヨテイ</t>
    </rPh>
    <rPh sb="24" eb="27">
      <t>ジドウスウ</t>
    </rPh>
    <rPh sb="30" eb="31">
      <t>ジン</t>
    </rPh>
    <rPh sb="32" eb="33">
      <t>ウ</t>
    </rPh>
    <rPh sb="34" eb="35">
      <t>イ</t>
    </rPh>
    <rPh sb="37" eb="39">
      <t>ヨテイ</t>
    </rPh>
    <phoneticPr fontId="4"/>
  </si>
  <si>
    <t>平均年齢別児童数計算表（認定こども園）</t>
    <rPh sb="0" eb="2">
      <t>ヘイキン</t>
    </rPh>
    <rPh sb="2" eb="5">
      <t>ネンレイベツ</t>
    </rPh>
    <rPh sb="5" eb="8">
      <t>ジドウスウ</t>
    </rPh>
    <rPh sb="8" eb="11">
      <t>ケイサンヒョウ</t>
    </rPh>
    <rPh sb="12" eb="14">
      <t>ニン</t>
    </rPh>
    <phoneticPr fontId="4"/>
  </si>
  <si>
    <t>うち満３歳児</t>
    <rPh sb="2" eb="3">
      <t>マン</t>
    </rPh>
    <rPh sb="4" eb="6">
      <t>サイジ</t>
    </rPh>
    <phoneticPr fontId="4"/>
  </si>
  <si>
    <t>２歳児</t>
    <rPh sb="1" eb="3">
      <t>サイジ</t>
    </rPh>
    <phoneticPr fontId="4"/>
  </si>
  <si>
    <t>青色セルは入力項目</t>
    <rPh sb="0" eb="2">
      <t>アオイロ</t>
    </rPh>
    <rPh sb="5" eb="7">
      <t>ニュウリョク</t>
    </rPh>
    <rPh sb="7" eb="9">
      <t>コウモク</t>
    </rPh>
    <phoneticPr fontId="4"/>
  </si>
  <si>
    <t>５歳児</t>
    <rPh sb="1" eb="3">
      <t>サイジ</t>
    </rPh>
    <phoneticPr fontId="4"/>
  </si>
  <si>
    <t>４歳児</t>
    <rPh sb="1" eb="3">
      <t>サイジ</t>
    </rPh>
    <phoneticPr fontId="4"/>
  </si>
  <si>
    <t>１歳児</t>
    <rPh sb="1" eb="3">
      <t>サイジ</t>
    </rPh>
    <phoneticPr fontId="4"/>
  </si>
  <si>
    <t>見込み（4月実績×（１）で算出された伸び率）</t>
    <phoneticPr fontId="4"/>
  </si>
  <si>
    <t>平均年齢別児童数計算表（認定こども園／分園）</t>
    <rPh sb="0" eb="2">
      <t>ヘイキン</t>
    </rPh>
    <rPh sb="2" eb="5">
      <t>ネンレイベツ</t>
    </rPh>
    <rPh sb="5" eb="8">
      <t>ジドウスウ</t>
    </rPh>
    <rPh sb="8" eb="11">
      <t>ケイサンヒョウ</t>
    </rPh>
    <rPh sb="12" eb="14">
      <t>ニン</t>
    </rPh>
    <rPh sb="19" eb="21">
      <t>ブンエン</t>
    </rPh>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</si>
  <si>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</si>
  <si>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</si>
  <si>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本園</t>
  </si>
  <si>
    <t>分園</t>
  </si>
  <si>
    <t>平均児童数</t>
    <rPh sb="0" eb="2">
      <t>ヘイキン</t>
    </rPh>
    <rPh sb="2" eb="4">
      <t>ジドウ</t>
    </rPh>
    <rPh sb="4" eb="5">
      <t>スウ</t>
    </rPh>
    <phoneticPr fontId="4"/>
  </si>
  <si>
    <t>処遇改善等加算区分３　加算算定対象人数計算表（認定こども園）</t>
    <rPh sb="0" eb="2">
      <t>ショグウ</t>
    </rPh>
    <rPh sb="2" eb="4">
      <t>カイゼン</t>
    </rPh>
    <rPh sb="4" eb="5">
      <t>トウ</t>
    </rPh>
    <rPh sb="5" eb="7">
      <t>カサン</t>
    </rPh>
    <rPh sb="11" eb="13">
      <t>カサン</t>
    </rPh>
    <rPh sb="13" eb="15">
      <t>サンテイ</t>
    </rPh>
    <rPh sb="15" eb="17">
      <t>タイショウ</t>
    </rPh>
    <rPh sb="17" eb="19">
      <t>ニンズウ</t>
    </rPh>
    <rPh sb="19" eb="21">
      <t>ケイサン</t>
    </rPh>
    <rPh sb="21" eb="22">
      <t>ヒョウ</t>
    </rPh>
    <rPh sb="23" eb="25">
      <t>ニン</t>
    </rPh>
    <phoneticPr fontId="4"/>
  </si>
  <si>
    <t>0．基礎情報</t>
    <rPh sb="2" eb="4">
      <t>キソ</t>
    </rPh>
    <rPh sb="4" eb="6">
      <t>ジョウホウ</t>
    </rPh>
    <phoneticPr fontId="4"/>
  </si>
  <si>
    <t>選択
項目</t>
    <rPh sb="0" eb="2">
      <t>センタク</t>
    </rPh>
    <rPh sb="3" eb="5">
      <t>コウモク</t>
    </rPh>
    <phoneticPr fontId="4"/>
  </si>
  <si>
    <t>入力
項目</t>
    <rPh sb="0" eb="2">
      <t>ニュウリョク</t>
    </rPh>
    <rPh sb="3" eb="5">
      <t>コウモク</t>
    </rPh>
    <phoneticPr fontId="4"/>
  </si>
  <si>
    <t>本園分を
記入</t>
    <rPh sb="0" eb="1">
      <t>ホン</t>
    </rPh>
    <rPh sb="1" eb="2">
      <t>エン</t>
    </rPh>
    <rPh sb="2" eb="3">
      <t>ブン</t>
    </rPh>
    <rPh sb="5" eb="7">
      <t>キニュウ</t>
    </rPh>
    <phoneticPr fontId="4"/>
  </si>
  <si>
    <t>利用定員数</t>
    <rPh sb="0" eb="2">
      <t>リヨウ</t>
    </rPh>
    <rPh sb="2" eb="4">
      <t>テイイン</t>
    </rPh>
    <rPh sb="4" eb="5">
      <t>スウ</t>
    </rPh>
    <phoneticPr fontId="4"/>
  </si>
  <si>
    <t>１号</t>
    <rPh sb="1" eb="2">
      <t>ゴウ</t>
    </rPh>
    <phoneticPr fontId="4"/>
  </si>
  <si>
    <t>２・３号</t>
    <rPh sb="3" eb="4">
      <t>ゴウ</t>
    </rPh>
    <phoneticPr fontId="4"/>
  </si>
  <si>
    <t>年齢別児童数</t>
    <rPh sb="0" eb="3">
      <t>ネンレイベツ</t>
    </rPh>
    <rPh sb="3" eb="6">
      <t>ジドウスウ</t>
    </rPh>
    <phoneticPr fontId="4"/>
  </si>
  <si>
    <t>４歳児以上児</t>
    <rPh sb="1" eb="3">
      <t>サイジ</t>
    </rPh>
    <rPh sb="3" eb="5">
      <t>イジョウ</t>
    </rPh>
    <rPh sb="5" eb="6">
      <t>ジ</t>
    </rPh>
    <phoneticPr fontId="4"/>
  </si>
  <si>
    <t>３歳児</t>
    <rPh sb="1" eb="2">
      <t>サイ</t>
    </rPh>
    <rPh sb="2" eb="3">
      <t>ジ</t>
    </rPh>
    <phoneticPr fontId="4"/>
  </si>
  <si>
    <t>　うち満３歳児</t>
    <rPh sb="3" eb="4">
      <t>マン</t>
    </rPh>
    <rPh sb="5" eb="7">
      <t>サイジ</t>
    </rPh>
    <phoneticPr fontId="4"/>
  </si>
  <si>
    <t>１，２歳児</t>
    <rPh sb="3" eb="5">
      <t>サイジ</t>
    </rPh>
    <phoneticPr fontId="4"/>
  </si>
  <si>
    <t>　うち１歳児</t>
    <rPh sb="4" eb="6">
      <t>サイジ</t>
    </rPh>
    <phoneticPr fontId="4"/>
  </si>
  <si>
    <t>※</t>
    <phoneticPr fontId="4"/>
  </si>
  <si>
    <r>
      <t xml:space="preserve">各月平均の年齢別児童数を使用する場合は、別途配布している「年齢別児童数計算表」により計算した児童数を入力すること。
</t>
    </r>
    <r>
      <rPr>
        <sz val="11"/>
        <color rgb="FFFF0000"/>
        <rFont val="HG丸ｺﾞｼｯｸM-PRO"/>
        <family val="3"/>
        <charset val="128"/>
      </rPr>
      <t>特例給付を受けて利用する児童がいる場合は、該当する年齢区分に含めること。</t>
    </r>
    <rPh sb="0" eb="2">
      <t>カクツキ</t>
    </rPh>
    <rPh sb="2" eb="4">
      <t>ヘイキン</t>
    </rPh>
    <rPh sb="5" eb="8">
      <t>ネンレイベツ</t>
    </rPh>
    <rPh sb="8" eb="11">
      <t>ジドウスウ</t>
    </rPh>
    <rPh sb="12" eb="14">
      <t>シヨウ</t>
    </rPh>
    <rPh sb="16" eb="18">
      <t>バアイ</t>
    </rPh>
    <rPh sb="20" eb="22">
      <t>ベット</t>
    </rPh>
    <rPh sb="22" eb="24">
      <t>ハイフ</t>
    </rPh>
    <rPh sb="29" eb="32">
      <t>ネンレイベツ</t>
    </rPh>
    <rPh sb="32" eb="35">
      <t>ジドウスウ</t>
    </rPh>
    <rPh sb="35" eb="37">
      <t>ケイサン</t>
    </rPh>
    <rPh sb="37" eb="38">
      <t>オモテ</t>
    </rPh>
    <rPh sb="42" eb="44">
      <t>ケイサン</t>
    </rPh>
    <rPh sb="46" eb="49">
      <t>ジドウスウ</t>
    </rPh>
    <rPh sb="50" eb="52">
      <t>ニュウリョク</t>
    </rPh>
    <phoneticPr fontId="4"/>
  </si>
  <si>
    <t>１．加算対象人数の基礎となる職員数</t>
    <rPh sb="2" eb="4">
      <t>カサン</t>
    </rPh>
    <rPh sb="4" eb="6">
      <t>タイショウ</t>
    </rPh>
    <rPh sb="6" eb="8">
      <t>ニンズウ</t>
    </rPh>
    <rPh sb="9" eb="11">
      <t>キソ</t>
    </rPh>
    <rPh sb="14" eb="17">
      <t>ショクインスウ</t>
    </rPh>
    <phoneticPr fontId="4"/>
  </si>
  <si>
    <t>本園分</t>
    <rPh sb="0" eb="1">
      <t>ホン</t>
    </rPh>
    <rPh sb="1" eb="2">
      <t>エン</t>
    </rPh>
    <rPh sb="2" eb="3">
      <t>ブン</t>
    </rPh>
    <phoneticPr fontId="4"/>
  </si>
  <si>
    <t>職員数
（自動計算）</t>
    <rPh sb="0" eb="3">
      <t>ショクインスウ</t>
    </rPh>
    <rPh sb="5" eb="7">
      <t>ジドウ</t>
    </rPh>
    <rPh sb="7" eb="9">
      <t>ケイサン</t>
    </rPh>
    <phoneticPr fontId="4"/>
  </si>
  <si>
    <t>ａ</t>
    <phoneticPr fontId="4"/>
  </si>
  <si>
    <t>年齢別配置基準による職員数</t>
    <rPh sb="0" eb="3">
      <t>ネンレイベツ</t>
    </rPh>
    <rPh sb="3" eb="7">
      <t>ハイキ</t>
    </rPh>
    <rPh sb="10" eb="13">
      <t>ショクインスウ</t>
    </rPh>
    <phoneticPr fontId="4"/>
  </si>
  <si>
    <t>4歳以上児</t>
    <rPh sb="1" eb="4">
      <t>サイイジョウ</t>
    </rPh>
    <rPh sb="2" eb="4">
      <t>イジョウ</t>
    </rPh>
    <rPh sb="4" eb="5">
      <t>ジ</t>
    </rPh>
    <phoneticPr fontId="4"/>
  </si>
  <si>
    <t>　４歳以上児配置改善加算</t>
    <rPh sb="3" eb="5">
      <t>イジョウ</t>
    </rPh>
    <rPh sb="5" eb="6">
      <t>ジ</t>
    </rPh>
    <phoneticPr fontId="4"/>
  </si>
  <si>
    <t>3歳児（満３歳児含む）</t>
    <rPh sb="1" eb="3">
      <t>サイジ</t>
    </rPh>
    <rPh sb="4" eb="5">
      <t>マン</t>
    </rPh>
    <rPh sb="6" eb="8">
      <t>サイジ</t>
    </rPh>
    <rPh sb="8" eb="9">
      <t>フク</t>
    </rPh>
    <phoneticPr fontId="4"/>
  </si>
  <si>
    <t>　３歳児配置改善加算</t>
    <phoneticPr fontId="4"/>
  </si>
  <si>
    <t>　満３歳児対応加配加算</t>
    <rPh sb="1" eb="2">
      <t>マン</t>
    </rPh>
    <rPh sb="3" eb="4">
      <t>サイ</t>
    </rPh>
    <rPh sb="4" eb="5">
      <t>ジ</t>
    </rPh>
    <rPh sb="5" eb="7">
      <t>タイオウ</t>
    </rPh>
    <rPh sb="7" eb="9">
      <t>カハイ</t>
    </rPh>
    <rPh sb="9" eb="11">
      <t>カサン</t>
    </rPh>
    <phoneticPr fontId="4"/>
  </si>
  <si>
    <t>　１歳児配置改善加算</t>
    <phoneticPr fontId="4"/>
  </si>
  <si>
    <t>小計（小数点第一位四捨五入）</t>
    <rPh sb="0" eb="2">
      <t>ショウケイ</t>
    </rPh>
    <rPh sb="3" eb="6">
      <t>ショウスウテン</t>
    </rPh>
    <rPh sb="6" eb="7">
      <t>ダイ</t>
    </rPh>
    <rPh sb="7" eb="9">
      <t>イチイ</t>
    </rPh>
    <rPh sb="9" eb="13">
      <t>シシャゴニュウ</t>
    </rPh>
    <phoneticPr fontId="4"/>
  </si>
  <si>
    <t>休けい保育教諭</t>
    <rPh sb="0" eb="1">
      <t>キュウ</t>
    </rPh>
    <rPh sb="3" eb="5">
      <t>ホイク</t>
    </rPh>
    <rPh sb="5" eb="7">
      <t>キョウユ</t>
    </rPh>
    <phoneticPr fontId="4"/>
  </si>
  <si>
    <t>ｃ</t>
    <phoneticPr fontId="4"/>
  </si>
  <si>
    <t>調理員</t>
    <rPh sb="0" eb="3">
      <t>チョウリイン</t>
    </rPh>
    <phoneticPr fontId="4"/>
  </si>
  <si>
    <t>d</t>
    <phoneticPr fontId="4"/>
  </si>
  <si>
    <t>保育標準時間認定の児童</t>
    <rPh sb="0" eb="2">
      <t>ホイク</t>
    </rPh>
    <rPh sb="2" eb="4">
      <t>ヒョウジュン</t>
    </rPh>
    <rPh sb="4" eb="6">
      <t>ジカン</t>
    </rPh>
    <rPh sb="6" eb="8">
      <t>ニンテイ</t>
    </rPh>
    <rPh sb="9" eb="11">
      <t>ジドウ</t>
    </rPh>
    <phoneticPr fontId="4"/>
  </si>
  <si>
    <t>e</t>
    <phoneticPr fontId="4"/>
  </si>
  <si>
    <t>学級編制調整加配加算</t>
    <rPh sb="0" eb="2">
      <t>ガッキュウ</t>
    </rPh>
    <rPh sb="2" eb="4">
      <t>ヘンセイ</t>
    </rPh>
    <rPh sb="4" eb="6">
      <t>チョウセイ</t>
    </rPh>
    <rPh sb="6" eb="8">
      <t>カハイ</t>
    </rPh>
    <rPh sb="8" eb="10">
      <t>カサン</t>
    </rPh>
    <phoneticPr fontId="4"/>
  </si>
  <si>
    <t>f</t>
    <phoneticPr fontId="4"/>
  </si>
  <si>
    <t>講師配置加算</t>
    <rPh sb="0" eb="2">
      <t>コウシ</t>
    </rPh>
    <rPh sb="2" eb="4">
      <t>ハイチ</t>
    </rPh>
    <rPh sb="4" eb="6">
      <t>カサン</t>
    </rPh>
    <phoneticPr fontId="4"/>
  </si>
  <si>
    <t>g</t>
    <phoneticPr fontId="4"/>
  </si>
  <si>
    <t>h</t>
    <phoneticPr fontId="4"/>
  </si>
  <si>
    <t>通園送迎加算</t>
    <rPh sb="0" eb="2">
      <t>ツウエン</t>
    </rPh>
    <rPh sb="2" eb="4">
      <t>ソウゲイ</t>
    </rPh>
    <rPh sb="4" eb="6">
      <t>カサン</t>
    </rPh>
    <phoneticPr fontId="4"/>
  </si>
  <si>
    <t>i</t>
    <phoneticPr fontId="4"/>
  </si>
  <si>
    <t>給食実施加算（自園調理に限る。）</t>
    <rPh sb="0" eb="2">
      <t>キュウショク</t>
    </rPh>
    <rPh sb="2" eb="4">
      <t>ジッシ</t>
    </rPh>
    <rPh sb="4" eb="6">
      <t>カサン</t>
    </rPh>
    <phoneticPr fontId="4"/>
  </si>
  <si>
    <t>j</t>
  </si>
  <si>
    <t>k</t>
  </si>
  <si>
    <t>事務職員配置加算</t>
    <rPh sb="0" eb="2">
      <t>ジム</t>
    </rPh>
    <rPh sb="2" eb="4">
      <t>ショクイン</t>
    </rPh>
    <rPh sb="4" eb="6">
      <t>ハイチ</t>
    </rPh>
    <rPh sb="6" eb="8">
      <t>カサン</t>
    </rPh>
    <phoneticPr fontId="4"/>
  </si>
  <si>
    <t>l</t>
  </si>
  <si>
    <t>指導充実加配加算</t>
    <rPh sb="0" eb="2">
      <t>シドウ</t>
    </rPh>
    <rPh sb="2" eb="4">
      <t>ジュウジツ</t>
    </rPh>
    <rPh sb="4" eb="6">
      <t>カハイ</t>
    </rPh>
    <rPh sb="6" eb="8">
      <t>カサン</t>
    </rPh>
    <phoneticPr fontId="4"/>
  </si>
  <si>
    <t>m</t>
  </si>
  <si>
    <t>事務負担対応加配加算</t>
    <rPh sb="0" eb="2">
      <t>ジム</t>
    </rPh>
    <rPh sb="2" eb="4">
      <t>フタン</t>
    </rPh>
    <rPh sb="4" eb="6">
      <t>タイオウ</t>
    </rPh>
    <rPh sb="6" eb="8">
      <t>カハイ</t>
    </rPh>
    <rPh sb="8" eb="10">
      <t>カサン</t>
    </rPh>
    <phoneticPr fontId="4"/>
  </si>
  <si>
    <t>n</t>
    <phoneticPr fontId="4"/>
  </si>
  <si>
    <t>o</t>
    <phoneticPr fontId="4"/>
  </si>
  <si>
    <t>副園長・教頭配置加算</t>
    <rPh sb="0" eb="3">
      <t>フクエンチョウ</t>
    </rPh>
    <rPh sb="4" eb="6">
      <t>キョウトウ</t>
    </rPh>
    <rPh sb="6" eb="8">
      <t>ハイチ</t>
    </rPh>
    <rPh sb="8" eb="10">
      <t>カサン</t>
    </rPh>
    <phoneticPr fontId="4"/>
  </si>
  <si>
    <t>p</t>
    <phoneticPr fontId="4"/>
  </si>
  <si>
    <t>主幹保育教諭等の専任化により子育て支援の取組を実施していない場合であって、代替保育教諭等を配置していない場合</t>
    <rPh sb="0" eb="2">
      <t>シュカン</t>
    </rPh>
    <rPh sb="2" eb="4">
      <t>ホイク</t>
    </rPh>
    <rPh sb="4" eb="6">
      <t>キョウユ</t>
    </rPh>
    <rPh sb="6" eb="7">
      <t>トウ</t>
    </rPh>
    <rPh sb="8" eb="10">
      <t>センニン</t>
    </rPh>
    <rPh sb="10" eb="11">
      <t>カ</t>
    </rPh>
    <rPh sb="14" eb="17">
      <t>コソ</t>
    </rPh>
    <rPh sb="17" eb="19">
      <t>シエン</t>
    </rPh>
    <rPh sb="20" eb="22">
      <t>トリクミ</t>
    </rPh>
    <rPh sb="23" eb="25">
      <t>ジッシ</t>
    </rPh>
    <rPh sb="30" eb="32">
      <t>バアイ</t>
    </rPh>
    <rPh sb="37" eb="39">
      <t>ダイタイ</t>
    </rPh>
    <rPh sb="39" eb="41">
      <t>ホイク</t>
    </rPh>
    <rPh sb="41" eb="43">
      <t>キョウユ</t>
    </rPh>
    <rPh sb="43" eb="44">
      <t>トウ</t>
    </rPh>
    <rPh sb="45" eb="47">
      <t>ハイチ</t>
    </rPh>
    <rPh sb="52" eb="54">
      <t>バアイ</t>
    </rPh>
    <phoneticPr fontId="4"/>
  </si>
  <si>
    <t>q</t>
    <phoneticPr fontId="4"/>
  </si>
  <si>
    <t>年齢別配置基準を下回る場合</t>
    <rPh sb="0" eb="3">
      <t>ネンレイベツ</t>
    </rPh>
    <rPh sb="3" eb="7">
      <t>ハイキ</t>
    </rPh>
    <rPh sb="8" eb="10">
      <t>シタマワ</t>
    </rPh>
    <rPh sb="11" eb="13">
      <t>バアイ</t>
    </rPh>
    <phoneticPr fontId="4"/>
  </si>
  <si>
    <t>利用定員数に基づく職員数</t>
    <rPh sb="0" eb="2">
      <t>リヨウ</t>
    </rPh>
    <rPh sb="2" eb="4">
      <t>テイイン</t>
    </rPh>
    <rPh sb="4" eb="5">
      <t>スウ</t>
    </rPh>
    <rPh sb="6" eb="7">
      <t>モト</t>
    </rPh>
    <rPh sb="9" eb="12">
      <t>ショクインスウ</t>
    </rPh>
    <phoneticPr fontId="4"/>
  </si>
  <si>
    <t>職員数（1人未満端数　四捨五入）</t>
    <rPh sb="0" eb="3">
      <t>ショクインスウ</t>
    </rPh>
    <rPh sb="5" eb="6">
      <t>ニン</t>
    </rPh>
    <rPh sb="6" eb="8">
      <t>ミマン</t>
    </rPh>
    <rPh sb="8" eb="10">
      <t>ハスウ</t>
    </rPh>
    <rPh sb="11" eb="15">
      <t>シシャゴニュウ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</si>
  <si>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</si>
  <si>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</si>
  <si>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</si>
  <si>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</si>
  <si>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</si>
  <si>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</si>
  <si>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円　×　人数A</t>
    <rPh sb="0" eb="1">
      <t>エン</t>
    </rPh>
    <rPh sb="4" eb="6">
      <t>ニンズウ</t>
    </rPh>
    <phoneticPr fontId="4"/>
  </si>
  <si>
    <t>円　×　人数B</t>
    <rPh sb="0" eb="1">
      <t>エン</t>
    </rPh>
    <rPh sb="4" eb="6">
      <t>ニンズウ</t>
    </rPh>
    <phoneticPr fontId="4"/>
  </si>
  <si>
    <t>合　計</t>
    <rPh sb="0" eb="1">
      <t>ア</t>
    </rPh>
    <rPh sb="2" eb="3">
      <t>ケイ</t>
    </rPh>
    <phoneticPr fontId="4"/>
  </si>
  <si>
    <t>4歳以上児</t>
    <rPh sb="1" eb="2">
      <t>サイ</t>
    </rPh>
    <rPh sb="2" eb="4">
      <t>イジョウ</t>
    </rPh>
    <rPh sb="4" eb="5">
      <t>ジ</t>
    </rPh>
    <phoneticPr fontId="4"/>
  </si>
  <si>
    <t>1、2歳児</t>
    <rPh sb="3" eb="5">
      <t>サイジ</t>
    </rPh>
    <phoneticPr fontId="4"/>
  </si>
  <si>
    <t>うち満3歳児</t>
    <rPh sb="2" eb="3">
      <t>ミツル</t>
    </rPh>
    <rPh sb="4" eb="6">
      <t>サイジ</t>
    </rPh>
    <phoneticPr fontId="4"/>
  </si>
  <si>
    <t>3歳児</t>
    <rPh sb="1" eb="3">
      <t>サイジ</t>
    </rPh>
    <phoneticPr fontId="4"/>
  </si>
  <si>
    <t>うち1歳児</t>
    <rPh sb="3" eb="5">
      <t>サイジ</t>
    </rPh>
    <phoneticPr fontId="4"/>
  </si>
  <si>
    <t>0歳児</t>
    <rPh sb="1" eb="3">
      <t>サイジ</t>
    </rPh>
    <phoneticPr fontId="4"/>
  </si>
  <si>
    <t>入力ありがとうございました。試算の結果は以下のとおりです。</t>
    <rPh sb="0" eb="2">
      <t>ニュウリョク</t>
    </rPh>
    <rPh sb="14" eb="16">
      <t>シサン</t>
    </rPh>
    <rPh sb="17" eb="19">
      <t>ケッカ</t>
    </rPh>
    <rPh sb="20" eb="22">
      <t>イカ</t>
    </rPh>
    <phoneticPr fontId="4"/>
  </si>
  <si>
    <t>加算率（a）</t>
    <rPh sb="0" eb="2">
      <t>カサン</t>
    </rPh>
    <rPh sb="2" eb="3">
      <t>リツ</t>
    </rPh>
    <phoneticPr fontId="4"/>
  </si>
  <si>
    <t>◎加算率</t>
    <rPh sb="1" eb="3">
      <t>カサン</t>
    </rPh>
    <rPh sb="3" eb="4">
      <t>リツ</t>
    </rPh>
    <phoneticPr fontId="4"/>
  </si>
  <si>
    <t>加算率（b）</t>
    <rPh sb="0" eb="2">
      <t>カサン</t>
    </rPh>
    <rPh sb="2" eb="3">
      <t>リツ</t>
    </rPh>
    <phoneticPr fontId="4"/>
  </si>
  <si>
    <t>月額</t>
    <rPh sb="0" eb="2">
      <t>ゲツガク</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</si>
  <si>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</si>
  <si>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</si>
  <si>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</si>
  <si>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人数Ａ</t>
    <rPh sb="0" eb="2">
      <t>ニンズウ</t>
    </rPh>
    <phoneticPr fontId="4"/>
  </si>
  <si>
    <t>人数Ｂ</t>
    <rPh sb="0" eb="2">
      <t>ニンズウ</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</si>
  <si>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</si>
  <si>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11人から15人まで</t>
    <rPh sb="2" eb="3">
      <t>ヒト</t>
    </rPh>
    <rPh sb="7" eb="8">
      <t>ヒト</t>
    </rPh>
    <phoneticPr fontId="6"/>
  </si>
  <si>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</si>
  <si>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</si>
  <si>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4桁コード</t>
    <phoneticPr fontId="4"/>
  </si>
  <si>
    <t>施設・事業所名</t>
    <phoneticPr fontId="4"/>
  </si>
  <si>
    <t>施設類型</t>
    <phoneticPr fontId="4"/>
  </si>
  <si>
    <t>認定こども園－幼保連携型</t>
  </si>
  <si>
    <t>2.処遇改善等加算の適用状況を入力してください。</t>
    <rPh sb="2" eb="7">
      <t>ショグウカイゼントウ</t>
    </rPh>
    <rPh sb="7" eb="9">
      <t>カサン</t>
    </rPh>
    <rPh sb="10" eb="14">
      <t>テキヨウジョウキョウ</t>
    </rPh>
    <rPh sb="15" eb="17">
      <t>ニュウリョク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</si>
  <si>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</si>
  <si>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</si>
  <si>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申請する</t>
    <rPh sb="0" eb="2">
      <t>シンセイ</t>
    </rPh>
    <phoneticPr fontId="4"/>
  </si>
  <si>
    <t>区分3</t>
    <rPh sb="0" eb="2">
      <t>クブン</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</si>
  <si>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</si>
  <si>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該当しない</t>
    <rPh sb="0" eb="2">
      <t>ガイトウ</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</si>
  <si>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</si>
  <si>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</si>
  <si>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充てない</t>
    <rPh sb="0" eb="1">
      <t>ア</t>
    </rPh>
    <phoneticPr fontId="4"/>
  </si>
  <si>
    <t>1-1_児童数計算表　※ 分園を設置している場合は1-2も作成</t>
    <rPh sb="4" eb="6">
      <t>ジドウ</t>
    </rPh>
    <rPh sb="6" eb="7">
      <t>スウ</t>
    </rPh>
    <rPh sb="7" eb="9">
      <t>ケイサン</t>
    </rPh>
    <rPh sb="9" eb="10">
      <t>オモテ</t>
    </rPh>
    <rPh sb="13" eb="15">
      <t>ブンエン</t>
    </rPh>
    <rPh sb="16" eb="18">
      <t>セッチ</t>
    </rPh>
    <rPh sb="22" eb="24">
      <t>バアイ</t>
    </rPh>
    <rPh sb="29" eb="31">
      <t>サクセイ</t>
    </rPh>
    <phoneticPr fontId="4"/>
  </si>
  <si>
    <t>2_区分12加算額計算表</t>
    <rPh sb="2" eb="4">
      <t>クブン</t>
    </rPh>
    <rPh sb="6" eb="9">
      <t>カサンガク</t>
    </rPh>
    <rPh sb="9" eb="11">
      <t>ケイサン</t>
    </rPh>
    <rPh sb="11" eb="12">
      <t>オモテ</t>
    </rPh>
    <phoneticPr fontId="4"/>
  </si>
  <si>
    <t>3_区分3計算表</t>
    <rPh sb="2" eb="4">
      <t>クブン</t>
    </rPh>
    <rPh sb="5" eb="7">
      <t>ケイサン</t>
    </rPh>
    <rPh sb="7" eb="8">
      <t>オモテ</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</si>
  <si>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</si>
  <si>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様式2_キャリアパス要件届出書</t>
    <rPh sb="0" eb="2">
      <t>ヨウシキ</t>
    </rPh>
    <rPh sb="10" eb="15">
      <t>ヨウケントドケデショ</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</si>
  <si>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</si>
  <si>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</si>
  <si>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</si>
  <si>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</si>
  <si>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様式5_賃金改善の誓約書</t>
    <rPh sb="0" eb="2">
      <t>ヨウシキ</t>
    </rPh>
    <rPh sb="4" eb="8">
      <t>チンギンカイゼン</t>
    </rPh>
    <rPh sb="9" eb="12">
      <t>セイヤクショ</t>
    </rPh>
    <phoneticPr fontId="4"/>
  </si>
  <si>
    <t>様式7_特別な事情に係る届出書</t>
    <rPh sb="0" eb="2">
      <t>ヨウシキ</t>
    </rPh>
    <rPh sb="4" eb="6">
      <t>トクベツ</t>
    </rPh>
    <rPh sb="7" eb="9">
      <t>ジジョウ</t>
    </rPh>
    <rPh sb="10" eb="11">
      <t>カカ</t>
    </rPh>
    <rPh sb="12" eb="15">
      <t>トドケデショ</t>
    </rPh>
    <phoneticPr fontId="4"/>
  </si>
  <si>
    <t>施設類型</t>
    <rPh sb="0" eb="4">
      <t>シセツルイケイ</t>
    </rPh>
    <phoneticPr fontId="4"/>
  </si>
  <si>
    <t>YesNo</t>
    <phoneticPr fontId="4"/>
  </si>
  <si>
    <t>申請</t>
    <rPh sb="0" eb="2">
      <t>シンセイ</t>
    </rPh>
    <phoneticPr fontId="4"/>
  </si>
  <si>
    <t>特別事情</t>
    <rPh sb="0" eb="4">
      <t>トクベツジジョウ</t>
    </rPh>
    <phoneticPr fontId="4"/>
  </si>
  <si>
    <t>他施設</t>
    <rPh sb="0" eb="3">
      <t>ホカシセツ</t>
    </rPh>
    <phoneticPr fontId="4"/>
  </si>
  <si>
    <t>エラーチェック</t>
    <phoneticPr fontId="4"/>
  </si>
  <si>
    <t>保育所</t>
  </si>
  <si>
    <t>はい</t>
    <phoneticPr fontId="4"/>
  </si>
  <si>
    <t>入力ありがとうございました。以下で「●」が付いているシートの作成をお願いします。</t>
    <rPh sb="0" eb="2">
      <t>ニュウリョク</t>
    </rPh>
    <rPh sb="30" eb="32">
      <t>サクセイ</t>
    </rPh>
    <rPh sb="34" eb="35">
      <t>ネガ</t>
    </rPh>
    <phoneticPr fontId="4"/>
  </si>
  <si>
    <t>認定こども園－保育所型</t>
  </si>
  <si>
    <t>いいえ</t>
    <phoneticPr fontId="4"/>
  </si>
  <si>
    <t>申請しない</t>
    <rPh sb="0" eb="2">
      <t>シンセイ</t>
    </rPh>
    <phoneticPr fontId="4"/>
  </si>
  <si>
    <t>該当する</t>
    <rPh sb="0" eb="2">
      <t>ガイトウ</t>
    </rPh>
    <phoneticPr fontId="4"/>
  </si>
  <si>
    <t>充てる</t>
    <rPh sb="0" eb="1">
      <t>ア</t>
    </rPh>
    <phoneticPr fontId="4"/>
  </si>
  <si>
    <t>未入力事項があります。</t>
    <phoneticPr fontId="4"/>
  </si>
  <si>
    <t>認定こども園－幼稚園型</t>
  </si>
  <si>
    <t>小規模保育－Ａ型</t>
  </si>
  <si>
    <t>小規模保育－Ｂ型</t>
  </si>
  <si>
    <t>事業所内保育－２０人以上</t>
  </si>
  <si>
    <t>事業所内保育－Ａ型</t>
  </si>
  <si>
    <t>家庭的保育</t>
  </si>
  <si>
    <t>幼稚園</t>
  </si>
  <si>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</si>
  <si>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</si>
  <si>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</si>
  <si>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</si>
  <si>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</si>
  <si>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</si>
  <si>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</si>
  <si>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</si>
  <si>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</si>
  <si>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</si>
  <si>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</si>
  <si>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市町村名</t>
    <rPh sb="0" eb="3">
      <t>シチョウソン</t>
    </rPh>
    <rPh sb="3" eb="4">
      <t>メイ</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</si>
  <si>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</si>
  <si>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</si>
  <si>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</si>
  <si>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</si>
  <si>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</si>
  <si>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</si>
  <si>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</si>
  <si>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</si>
  <si>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</si>
  <si>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</si>
  <si>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</si>
  <si>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</si>
  <si>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</si>
  <si>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</si>
  <si>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</si>
  <si>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</si>
  <si>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</si>
  <si>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</si>
  <si>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</si>
  <si>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</si>
  <si>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</si>
  <si>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</si>
  <si>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</si>
  <si>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次の内容について、「該当」「非該当」を選択すること。</t>
    <phoneticPr fontId="6"/>
  </si>
  <si>
    <t>〇キャリアパスに関する要件について</t>
    <rPh sb="8" eb="9">
      <t>カン</t>
    </rPh>
    <rPh sb="11" eb="13">
      <t>ヨウケン</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</si>
  <si>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</si>
  <si>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</si>
  <si>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</si>
  <si>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</si>
  <si>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</si>
  <si>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</si>
  <si>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</si>
  <si>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</si>
  <si>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</si>
  <si>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</si>
  <si>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</si>
  <si>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</si>
  <si>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</si>
  <si>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</si>
  <si>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</si>
  <si>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</si>
  <si>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</si>
  <si>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家庭的保育</t>
    <rPh sb="0" eb="3">
      <t>カテイテキ</t>
    </rPh>
    <rPh sb="3" eb="5">
      <t>ホイク</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</si>
  <si>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</si>
  <si>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</si>
  <si>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栄養管理加算（Ａ：配置の場合）</t>
    <rPh sb="0" eb="2">
      <t>エイヨウ</t>
    </rPh>
    <rPh sb="2" eb="4">
      <t>カンリ</t>
    </rPh>
    <rPh sb="4" eb="6">
      <t>カサン</t>
    </rPh>
    <rPh sb="9" eb="11">
      <t>ハイチ</t>
    </rPh>
    <rPh sb="12" eb="14">
      <t>バアイ</t>
    </rPh>
    <phoneticPr fontId="6"/>
  </si>
  <si>
    <t>休日保育加算</t>
    <rPh sb="0" eb="2">
      <t>キュウジツ</t>
    </rPh>
    <rPh sb="2" eb="4">
      <t>ホイク</t>
    </rPh>
    <rPh sb="4" eb="6">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</si>
  <si>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</si>
  <si>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１歳児配置改善加算</t>
    <rPh sb="1" eb="3">
      <t>サイジ</t>
    </rPh>
    <rPh sb="3" eb="5">
      <t>ハイチ</t>
    </rPh>
    <rPh sb="5" eb="7">
      <t>カイゼン</t>
    </rPh>
    <rPh sb="7" eb="9">
      <t>カサン</t>
    </rPh>
    <phoneticPr fontId="6"/>
  </si>
  <si>
    <t>障害児保育加算</t>
    <rPh sb="0" eb="3">
      <t>ショウガイジ</t>
    </rPh>
    <rPh sb="3" eb="5">
      <t>ホイク</t>
    </rPh>
    <rPh sb="5" eb="7">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</si>
  <si>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</si>
  <si>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</si>
  <si>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③各種加算の適用状況</t>
    <phoneticPr fontId="6"/>
  </si>
  <si>
    <t>小規模保育（A型B型）</t>
    <rPh sb="0" eb="3">
      <t>ショウキボ</t>
    </rPh>
    <rPh sb="3" eb="5">
      <t>ホイク</t>
    </rPh>
    <rPh sb="7" eb="8">
      <t>ガタ</t>
    </rPh>
    <rPh sb="9" eb="10">
      <t>ガタ</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</si>
  <si>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</si>
  <si>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</si>
  <si>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副園長・教頭配置加算を受けている場合の減算</t>
    <rPh sb="6" eb="8">
      <t>ハイチ</t>
    </rPh>
    <rPh sb="11" eb="12">
      <t>ウ</t>
    </rPh>
    <rPh sb="16" eb="18">
      <t>バアイ</t>
    </rPh>
    <rPh sb="19" eb="21">
      <t>ゲンザン</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</si>
  <si>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</si>
  <si>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</si>
  <si>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</si>
  <si>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</si>
  <si>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</si>
  <si>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</si>
  <si>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</si>
  <si>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学級編制調整加配加算</t>
    <rPh sb="0" eb="2">
      <t>ガッキュウ</t>
    </rPh>
    <rPh sb="2" eb="4">
      <t>ヘンセイ</t>
    </rPh>
    <rPh sb="4" eb="6">
      <t>チョウセイ</t>
    </rPh>
    <rPh sb="6" eb="8">
      <t>カハイ</t>
    </rPh>
    <rPh sb="8" eb="10">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</si>
  <si>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</si>
  <si>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</si>
  <si>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</si>
  <si>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</si>
  <si>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チーム保育推進加算</t>
    <rPh sb="3" eb="5">
      <t>ホイク</t>
    </rPh>
    <rPh sb="5" eb="7">
      <t>スイシン</t>
    </rPh>
    <rPh sb="7" eb="9">
      <t>カサン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</si>
  <si>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</si>
  <si>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</si>
  <si>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</si>
  <si>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</si>
  <si>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</si>
  <si>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</si>
  <si>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</si>
  <si>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</si>
  <si>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</si>
  <si>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</si>
  <si>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</si>
  <si>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</si>
  <si>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</si>
  <si>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</si>
  <si>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</si>
  <si>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</si>
  <si>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</si>
  <si>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</si>
  <si>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</si>
  <si>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</si>
  <si>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</si>
  <si>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</si>
  <si>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</si>
  <si>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</si>
  <si>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</si>
  <si>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</si>
  <si>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</si>
  <si>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</si>
  <si>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</si>
  <si>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</si>
  <si>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</si>
  <si>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</si>
  <si>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</si>
  <si>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</si>
  <si>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</si>
  <si>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</si>
  <si>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</si>
  <si>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</si>
  <si>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</si>
  <si>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</si>
  <si>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</si>
  <si>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</si>
  <si>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</si>
  <si>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</si>
  <si>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↑区分３</t>
    <rPh sb="1" eb="3">
      <t>クブン</t>
    </rPh>
    <phoneticPr fontId="6"/>
  </si>
  <si>
    <t>↑区分２</t>
    <rPh sb="1" eb="3">
      <t>クブン</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</si>
  <si>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</si>
  <si>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</si>
  <si>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</si>
  <si>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</si>
  <si>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</si>
  <si>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</si>
  <si>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</si>
  <si>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</si>
  <si>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</si>
  <si>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</si>
  <si>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</si>
  <si>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</si>
  <si>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</si>
  <si>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</si>
  <si>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</si>
  <si>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</si>
  <si>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</si>
  <si>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その他</t>
    <rPh sb="2" eb="3">
      <t>タ</t>
    </rPh>
    <phoneticPr fontId="6"/>
  </si>
  <si>
    <t>事務員</t>
    <rPh sb="0" eb="2">
      <t>ジム</t>
    </rPh>
    <rPh sb="2" eb="3">
      <t>イン</t>
    </rPh>
    <phoneticPr fontId="6"/>
  </si>
  <si>
    <t>用務員</t>
    <rPh sb="0" eb="3">
      <t>ヨウムイン</t>
    </rPh>
    <phoneticPr fontId="6"/>
  </si>
  <si>
    <t>調理補助</t>
    <rPh sb="0" eb="2">
      <t>チョウリ</t>
    </rPh>
    <rPh sb="2" eb="4">
      <t>ホジョ</t>
    </rPh>
    <phoneticPr fontId="6"/>
  </si>
  <si>
    <t>調理師</t>
    <rPh sb="0" eb="3">
      <t>チョウリシ</t>
    </rPh>
    <phoneticPr fontId="6"/>
  </si>
  <si>
    <t>栄養士</t>
    <rPh sb="0" eb="3">
      <t>エイヨウシ</t>
    </rPh>
    <phoneticPr fontId="6"/>
  </si>
  <si>
    <t>保育補助</t>
    <rPh sb="0" eb="2">
      <t>ホイク</t>
    </rPh>
    <rPh sb="2" eb="4">
      <t>ホジョ</t>
    </rPh>
    <phoneticPr fontId="6"/>
  </si>
  <si>
    <t>准看護師</t>
    <rPh sb="0" eb="4">
      <t>ジュンカンゴシ</t>
    </rPh>
    <phoneticPr fontId="6"/>
  </si>
  <si>
    <t>看護師</t>
    <rPh sb="0" eb="3">
      <t>カンゴシ</t>
    </rPh>
    <phoneticPr fontId="6"/>
  </si>
  <si>
    <t>保健師</t>
    <rPh sb="0" eb="3">
      <t>ホケンシ</t>
    </rPh>
    <phoneticPr fontId="6"/>
  </si>
  <si>
    <t>配分対象者②（分野別リーダー等）</t>
    <rPh sb="0" eb="2">
      <t>ハイブン</t>
    </rPh>
    <rPh sb="2" eb="4">
      <t>タイショウ</t>
    </rPh>
    <rPh sb="4" eb="5">
      <t>シャ</t>
    </rPh>
    <rPh sb="7" eb="9">
      <t>ブンヤ</t>
    </rPh>
    <rPh sb="9" eb="10">
      <t>ベツ</t>
    </rPh>
    <rPh sb="14" eb="15">
      <t>トウ</t>
    </rPh>
    <phoneticPr fontId="6"/>
  </si>
  <si>
    <t>幼稚園教諭</t>
    <rPh sb="0" eb="3">
      <t>ヨウチエン</t>
    </rPh>
    <rPh sb="3" eb="5">
      <t>キョウユ</t>
    </rPh>
    <phoneticPr fontId="6"/>
  </si>
  <si>
    <t>配分対象者①（副主任保育士等）</t>
    <rPh sb="0" eb="2">
      <t>ハイブン</t>
    </rPh>
    <rPh sb="2" eb="4">
      <t>タイショウ</t>
    </rPh>
    <rPh sb="4" eb="5">
      <t>シャ</t>
    </rPh>
    <rPh sb="7" eb="10">
      <t>フクシュニン</t>
    </rPh>
    <rPh sb="10" eb="13">
      <t>ホイクシ</t>
    </rPh>
    <rPh sb="13" eb="14">
      <t>トウ</t>
    </rPh>
    <phoneticPr fontId="6"/>
  </si>
  <si>
    <t>保育教諭</t>
    <rPh sb="0" eb="2">
      <t>ホイク</t>
    </rPh>
    <rPh sb="2" eb="4">
      <t>キョウユ</t>
    </rPh>
    <phoneticPr fontId="6"/>
  </si>
  <si>
    <t>若手リーダー（人数B）</t>
    <rPh sb="0" eb="2">
      <t>ワカテ</t>
    </rPh>
    <rPh sb="7" eb="9">
      <t>ニンズウ</t>
    </rPh>
    <phoneticPr fontId="6"/>
  </si>
  <si>
    <t>保育士</t>
    <rPh sb="0" eb="3">
      <t>ホイクシ</t>
    </rPh>
    <phoneticPr fontId="6"/>
  </si>
  <si>
    <t>園長、主任保育士、副園長等（人数A）</t>
    <rPh sb="0" eb="2">
      <t>エンチョウ</t>
    </rPh>
    <rPh sb="3" eb="5">
      <t>シュニン</t>
    </rPh>
    <rPh sb="5" eb="8">
      <t>ホイクシ</t>
    </rPh>
    <rPh sb="9" eb="12">
      <t>フクエンチョウ</t>
    </rPh>
    <rPh sb="12" eb="13">
      <t>トウ</t>
    </rPh>
    <rPh sb="14" eb="16">
      <t>ニンズウ</t>
    </rPh>
    <phoneticPr fontId="6"/>
  </si>
  <si>
    <t>教頭</t>
    <rPh sb="0" eb="2">
      <t>キョウトウ</t>
    </rPh>
    <phoneticPr fontId="6"/>
  </si>
  <si>
    <t>専門リーダー（人数A）</t>
    <rPh sb="0" eb="2">
      <t>センモン</t>
    </rPh>
    <rPh sb="7" eb="9">
      <t>ニンズウ</t>
    </rPh>
    <phoneticPr fontId="6"/>
  </si>
  <si>
    <t>副園長</t>
    <rPh sb="0" eb="3">
      <t>フクエンチョウ</t>
    </rPh>
    <phoneticPr fontId="6"/>
  </si>
  <si>
    <t>副主幹保育教諭・中核リーダー（人数A）</t>
    <rPh sb="0" eb="3">
      <t>フクシュカン</t>
    </rPh>
    <rPh sb="3" eb="5">
      <t>ホイク</t>
    </rPh>
    <rPh sb="5" eb="7">
      <t>キョウユ</t>
    </rPh>
    <rPh sb="8" eb="10">
      <t>チュウカク</t>
    </rPh>
    <rPh sb="15" eb="17">
      <t>ニンズウ</t>
    </rPh>
    <phoneticPr fontId="4"/>
  </si>
  <si>
    <t>園長</t>
    <rPh sb="0" eb="2">
      <t>エンチョウ</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</si>
  <si>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</si>
  <si>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4.②基準年度の処遇改善等加算の加算額については、基準年度に支払うことができず、その残額として加算当年度に支払った賃金額がある場合はその金額（加算当年度の前年度に支払うべき残額に対応した支払い賃金額と同額）を除く。</t>
    <rPh sb="4" eb="8">
      <t>キジュンネンド</t>
    </rPh>
    <rPh sb="9" eb="13">
      <t>ショグウカイゼン</t>
    </rPh>
    <rPh sb="13" eb="14">
      <t>トウ</t>
    </rPh>
    <rPh sb="14" eb="16">
      <t>カサン</t>
    </rPh>
    <rPh sb="17" eb="20">
      <t>カサンガク</t>
    </rPh>
    <rPh sb="26" eb="30">
      <t>キジュンネンド</t>
    </rPh>
    <rPh sb="31" eb="33">
      <t>シハラ</t>
    </rPh>
    <rPh sb="43" eb="45">
      <t>ザンガク</t>
    </rPh>
    <rPh sb="48" eb="50">
      <t>カサン</t>
    </rPh>
    <rPh sb="50" eb="53">
      <t>トウネンド</t>
    </rPh>
    <rPh sb="64" eb="66">
      <t>バアイ</t>
    </rPh>
    <rPh sb="69" eb="71">
      <t>キンガク</t>
    </rPh>
    <rPh sb="72" eb="77">
      <t>カサントウネンド</t>
    </rPh>
    <rPh sb="78" eb="81">
      <t>ゼンネンド</t>
    </rPh>
    <rPh sb="82" eb="84">
      <t>シハラ</t>
    </rPh>
    <rPh sb="87" eb="89">
      <t>ザンガク</t>
    </rPh>
    <rPh sb="90" eb="92">
      <t>タイオウ</t>
    </rPh>
    <rPh sb="94" eb="96">
      <t>シハラ</t>
    </rPh>
    <rPh sb="97" eb="100">
      <t>チンギンガク</t>
    </rPh>
    <rPh sb="101" eb="103">
      <t>ドウガク</t>
    </rPh>
    <rPh sb="105" eb="106">
      <t>ノゾ</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</si>
  <si>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</si>
  <si>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</si>
  <si>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</si>
  <si>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</si>
  <si>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</si>
  <si>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</si>
  <si>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</si>
  <si>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</si>
  <si>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</si>
  <si>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</si>
  <si>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</si>
  <si>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</si>
  <si>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</si>
  <si>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</si>
  <si>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</si>
  <si>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</si>
  <si>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</si>
  <si>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</si>
  <si>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</si>
  <si>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分類</t>
    <rPh sb="0" eb="2">
      <t>ブンルイ</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</si>
  <si>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</si>
  <si>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</si>
  <si>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</si>
  <si>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加算当年度の前年度に支払うべき残額に対応した支払い賃金額</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</si>
  <si>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</si>
  <si>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</si>
  <si>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</si>
  <si>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</si>
  <si>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</si>
  <si>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</si>
  <si>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</si>
  <si>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</si>
  <si>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基準年度の処遇改善等加算の加算額※4</t>
    <rPh sb="0" eb="2">
      <t>キジュン</t>
    </rPh>
    <rPh sb="2" eb="4">
      <t>ネンド</t>
    </rPh>
    <rPh sb="5" eb="9">
      <t>ショグウカイゼン</t>
    </rPh>
    <rPh sb="9" eb="10">
      <t>トウ</t>
    </rPh>
    <rPh sb="10" eb="12">
      <t>カサン</t>
    </rPh>
    <rPh sb="13" eb="16">
      <t>カサンガク</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</si>
  <si>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</si>
  <si>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</si>
  <si>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</si>
  <si>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</si>
  <si>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</si>
  <si>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</si>
  <si>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</si>
  <si>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</si>
  <si>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</si>
  <si>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</si>
  <si>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</si>
  <si>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</si>
  <si>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</si>
  <si>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</si>
  <si>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</si>
  <si>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</si>
  <si>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</si>
  <si>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</si>
  <si>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</si>
  <si>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</si>
  <si>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</si>
  <si>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</si>
  <si>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</si>
  <si>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</si>
  <si>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</si>
  <si>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</si>
  <si>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</si>
  <si>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</si>
  <si>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</si>
  <si>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</si>
  <si>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</si>
  <si>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</si>
  <si>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</si>
  <si>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</si>
  <si>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</si>
  <si>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</si>
  <si>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</si>
  <si>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</si>
  <si>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</si>
  <si>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</si>
  <si>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</si>
  <si>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</si>
  <si>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</si>
  <si>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</si>
  <si>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</si>
  <si>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</si>
  <si>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</si>
  <si>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</si>
  <si>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　</t>
  </si>
  <si>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</si>
  <si>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</si>
  <si>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</si>
  <si>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</si>
  <si>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</si>
  <si>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</si>
  <si>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</si>
  <si>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</si>
  <si>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</si>
  <si>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</si>
  <si>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</si>
  <si>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</si>
  <si>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</si>
  <si>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</si>
  <si>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</si>
  <si>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</si>
  <si>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t>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</si>
  <si>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</si>
  <si>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</si>
  <si>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</si>
  <si>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</si>
  <si>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</si>
  <si>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</si>
  <si>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</si>
  <si>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</si>
  <si>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</si>
  <si>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</si>
  <si>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</si>
  <si>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</si>
  <si>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土曜日に閉所する場合</t>
    <rPh sb="0" eb="3">
      <t>ドヨウビ</t>
    </rPh>
    <rPh sb="4" eb="6">
      <t>ヘイショ</t>
    </rPh>
    <rPh sb="8" eb="10">
      <t>バアイ</t>
    </rPh>
    <phoneticPr fontId="2"/>
  </si>
  <si>
    <t>20250717修正</t>
    <phoneticPr fontId="4"/>
  </si>
  <si>
    <t>分園1の定員</t>
    <rPh sb="0" eb="2">
      <t>ブンエン</t>
    </rPh>
    <rPh sb="4" eb="6">
      <t>テイイン</t>
    </rPh>
    <phoneticPr fontId="4"/>
  </si>
  <si>
    <t>分園2の定員</t>
    <rPh sb="0" eb="2">
      <t>ブンエン</t>
    </rPh>
    <rPh sb="4" eb="6">
      <t>テイイン</t>
    </rPh>
    <phoneticPr fontId="4"/>
  </si>
  <si>
    <t>2・3号定員（分園1）</t>
    <rPh sb="3" eb="6">
      <t>ゴウテイイン</t>
    </rPh>
    <rPh sb="7" eb="9">
      <t>ブンエン</t>
    </rPh>
    <phoneticPr fontId="4"/>
  </si>
  <si>
    <t>2・3号定員（分園2）</t>
    <rPh sb="3" eb="6">
      <t>ゴウテイイン</t>
    </rPh>
    <rPh sb="7" eb="9">
      <t>ブンエン</t>
    </rPh>
    <phoneticPr fontId="4"/>
  </si>
  <si>
    <t>分園2</t>
    <phoneticPr fontId="4"/>
  </si>
  <si>
    <t>分園1</t>
    <phoneticPr fontId="4"/>
  </si>
  <si>
    <t>分園1</t>
    <rPh sb="0" eb="2">
      <t>ブンエン</t>
    </rPh>
    <phoneticPr fontId="4"/>
  </si>
  <si>
    <t>分園2</t>
    <rPh sb="0" eb="2">
      <t>ブンエン</t>
    </rPh>
    <phoneticPr fontId="4"/>
  </si>
  <si>
    <t>分園１</t>
    <phoneticPr fontId="4"/>
  </si>
  <si>
    <t>分園２</t>
    <phoneticPr fontId="4"/>
  </si>
  <si>
    <t>事業所内保育事業所</t>
    <rPh sb="0" eb="3">
      <t>ジギョウショ</t>
    </rPh>
    <rPh sb="3" eb="4">
      <t>ナイ</t>
    </rPh>
    <rPh sb="4" eb="6">
      <t>ホイク</t>
    </rPh>
    <rPh sb="6" eb="9">
      <t>ジギョウショ</t>
    </rPh>
    <phoneticPr fontId="6"/>
  </si>
  <si>
    <t>家庭的保育事業所</t>
    <rPh sb="0" eb="3">
      <t>カテイテキ</t>
    </rPh>
    <rPh sb="3" eb="5">
      <t>ホイク</t>
    </rPh>
    <rPh sb="5" eb="8">
      <t>ジギョウショ</t>
    </rPh>
    <phoneticPr fontId="6"/>
  </si>
  <si>
    <t>小規模保育事業所</t>
    <rPh sb="0" eb="8">
      <t>ショウキボホイクジギョウショ</t>
    </rPh>
    <phoneticPr fontId="6"/>
  </si>
  <si>
    <t>幼稚園型認定こども園</t>
    <rPh sb="0" eb="6">
      <t>ヨウチエンガタニンテイ</t>
    </rPh>
    <rPh sb="9" eb="10">
      <t>エン</t>
    </rPh>
    <phoneticPr fontId="6"/>
  </si>
  <si>
    <t>幼保連携型認定こども園</t>
    <rPh sb="0" eb="7">
      <t>ヨウホレンケイガタニンテイ</t>
    </rPh>
    <rPh sb="10" eb="11">
      <t>エン</t>
    </rPh>
    <phoneticPr fontId="6"/>
  </si>
  <si>
    <t>保育所</t>
    <rPh sb="0" eb="2">
      <t>ホイク</t>
    </rPh>
    <rPh sb="2" eb="3">
      <t>ジョ</t>
    </rPh>
    <phoneticPr fontId="6"/>
  </si>
  <si>
    <t>平成</t>
    <rPh sb="0" eb="2">
      <t>ヘイセイ</t>
    </rPh>
    <phoneticPr fontId="108"/>
  </si>
  <si>
    <t>昭和</t>
    <rPh sb="0" eb="2">
      <t>ショウワ</t>
    </rPh>
    <phoneticPr fontId="108"/>
  </si>
  <si>
    <t>令和</t>
    <rPh sb="0" eb="2">
      <t>レイワ</t>
    </rPh>
    <phoneticPr fontId="108"/>
  </si>
  <si>
    <t>その他の職種</t>
    <rPh sb="2" eb="3">
      <t>タ</t>
    </rPh>
    <rPh sb="4" eb="6">
      <t>ショクシュ</t>
    </rPh>
    <phoneticPr fontId="110"/>
  </si>
  <si>
    <t>家庭的保育補助者</t>
    <rPh sb="0" eb="3">
      <t>カテイテキ</t>
    </rPh>
    <rPh sb="3" eb="5">
      <t>ホイク</t>
    </rPh>
    <rPh sb="5" eb="8">
      <t>ホジョシャ</t>
    </rPh>
    <phoneticPr fontId="110"/>
  </si>
  <si>
    <t>家庭的保育者</t>
    <rPh sb="0" eb="3">
      <t>カテイテキ</t>
    </rPh>
    <rPh sb="3" eb="6">
      <t>ホイクシャ</t>
    </rPh>
    <phoneticPr fontId="110"/>
  </si>
  <si>
    <t>事務員</t>
    <rPh sb="0" eb="2">
      <t>ジム</t>
    </rPh>
    <phoneticPr fontId="110"/>
  </si>
  <si>
    <t>調理員</t>
    <rPh sb="0" eb="3">
      <t>チョウリイン</t>
    </rPh>
    <phoneticPr fontId="110"/>
  </si>
  <si>
    <t>栄養士</t>
    <rPh sb="0" eb="3">
      <t>エイヨウシ</t>
    </rPh>
    <phoneticPr fontId="110"/>
  </si>
  <si>
    <t>保育従事者(無資格)</t>
    <rPh sb="0" eb="2">
      <t>ホイク</t>
    </rPh>
    <rPh sb="2" eb="5">
      <t>ジュウジシャ</t>
    </rPh>
    <rPh sb="6" eb="9">
      <t>ムシカク</t>
    </rPh>
    <phoneticPr fontId="110"/>
  </si>
  <si>
    <t>教諭</t>
    <rPh sb="0" eb="2">
      <t>キョウユ</t>
    </rPh>
    <phoneticPr fontId="110"/>
  </si>
  <si>
    <t>保育教諭</t>
    <rPh sb="0" eb="2">
      <t>ホイク</t>
    </rPh>
    <rPh sb="2" eb="4">
      <t>キョウユ</t>
    </rPh>
    <phoneticPr fontId="110"/>
  </si>
  <si>
    <t>保育士</t>
    <rPh sb="0" eb="3">
      <t>ホイクシ</t>
    </rPh>
    <phoneticPr fontId="110"/>
  </si>
  <si>
    <t>教頭(無資格者)</t>
    <rPh sb="0" eb="2">
      <t>キョウトウ</t>
    </rPh>
    <rPh sb="3" eb="4">
      <t>ム</t>
    </rPh>
    <rPh sb="4" eb="6">
      <t>シカク</t>
    </rPh>
    <rPh sb="6" eb="7">
      <t>シャ</t>
    </rPh>
    <phoneticPr fontId="108"/>
  </si>
  <si>
    <t>教頭(有資格者)</t>
    <rPh sb="0" eb="2">
      <t>キョウトウ</t>
    </rPh>
    <rPh sb="3" eb="4">
      <t>ユウ</t>
    </rPh>
    <rPh sb="4" eb="6">
      <t>シカク</t>
    </rPh>
    <rPh sb="6" eb="7">
      <t>シャ</t>
    </rPh>
    <phoneticPr fontId="108"/>
  </si>
  <si>
    <t>副園長(無資格者)</t>
    <rPh sb="0" eb="3">
      <t>フクエンチョウ</t>
    </rPh>
    <rPh sb="4" eb="5">
      <t>ム</t>
    </rPh>
    <rPh sb="5" eb="7">
      <t>シカク</t>
    </rPh>
    <rPh sb="7" eb="8">
      <t>シャ</t>
    </rPh>
    <phoneticPr fontId="108"/>
  </si>
  <si>
    <t>副園長(有資格者)</t>
    <rPh sb="0" eb="3">
      <t>フクエンチョウ</t>
    </rPh>
    <rPh sb="4" eb="5">
      <t>ユウ</t>
    </rPh>
    <rPh sb="5" eb="7">
      <t>シカク</t>
    </rPh>
    <rPh sb="7" eb="8">
      <t>シャ</t>
    </rPh>
    <phoneticPr fontId="108"/>
  </si>
  <si>
    <t>園長・施設長</t>
    <rPh sb="0" eb="2">
      <t>エンチョウ</t>
    </rPh>
    <rPh sb="3" eb="5">
      <t>シセツ</t>
    </rPh>
    <rPh sb="5" eb="6">
      <t>チョウ</t>
    </rPh>
    <phoneticPr fontId="110"/>
  </si>
  <si>
    <t>人</t>
    <rPh sb="0" eb="1">
      <t>ニン</t>
    </rPh>
    <phoneticPr fontId="108"/>
  </si>
  <si>
    <t>②栄養士・調理員</t>
    <rPh sb="1" eb="4">
      <t>エイヨウシ</t>
    </rPh>
    <rPh sb="5" eb="8">
      <t>チョウリイン</t>
    </rPh>
    <phoneticPr fontId="108"/>
  </si>
  <si>
    <t>※対象職種は保育士、保育教諭、教諭副園長(有資格者)、教頭(有資格者)、教諭</t>
    <rPh sb="3" eb="5">
      <t>ショクシュ</t>
    </rPh>
    <rPh sb="36" eb="38">
      <t>キョウユ</t>
    </rPh>
    <phoneticPr fontId="108"/>
  </si>
  <si>
    <t>①保育士等</t>
    <rPh sb="1" eb="5">
      <t>ホイクシトウ</t>
    </rPh>
    <phoneticPr fontId="108"/>
  </si>
  <si>
    <t>横須賀市保育士等処遇改善対象人数（経験年数７年以上の職員）</t>
    <rPh sb="0" eb="4">
      <t>ヨコスカシ</t>
    </rPh>
    <rPh sb="4" eb="7">
      <t>ホイクシ</t>
    </rPh>
    <rPh sb="7" eb="8">
      <t>トウ</t>
    </rPh>
    <rPh sb="8" eb="10">
      <t>ショグウ</t>
    </rPh>
    <rPh sb="10" eb="12">
      <t>カイゼン</t>
    </rPh>
    <rPh sb="12" eb="14">
      <t>タイショウ</t>
    </rPh>
    <rPh sb="14" eb="16">
      <t>ニンズウ</t>
    </rPh>
    <phoneticPr fontId="108"/>
  </si>
  <si>
    <r>
      <t>注）１ 職員１人当たり平均勤続年数の</t>
    </r>
    <r>
      <rPr>
        <sz val="10"/>
        <color rgb="FFFF00FF"/>
        <rFont val="HGｺﾞｼｯｸM"/>
        <family val="3"/>
        <charset val="128"/>
      </rPr>
      <t>Ｃ</t>
    </r>
    <r>
      <rPr>
        <sz val="10"/>
        <color theme="1"/>
        <rFont val="HGｺﾞｼｯｸM"/>
        <family val="3"/>
        <charset val="128"/>
      </rPr>
      <t>欄の算定に当たっては、６か月以上の端数は１年とし、
　　　 ６か月未満の端数は切り捨てるものとすること。
　　２ 個々の職員の勤続年数の算定に当たっては、</t>
    </r>
    <r>
      <rPr>
        <u/>
        <sz val="10"/>
        <color theme="1"/>
        <rFont val="HGｺﾞｼｯｸM"/>
        <family val="3"/>
        <charset val="128"/>
      </rPr>
      <t>各年度４月１日現在</t>
    </r>
    <r>
      <rPr>
        <sz val="10"/>
        <color theme="1"/>
        <rFont val="HGｺﾞｼｯｸM"/>
        <family val="3"/>
        <charset val="128"/>
      </rPr>
      <t xml:space="preserve">により算定する。
　　　 新たな職員の職歴証明書、年金加入記録等の写しを添付すること。
　　３ </t>
    </r>
    <r>
      <rPr>
        <u/>
        <sz val="10"/>
        <color theme="1"/>
        <rFont val="HGｺﾞｼｯｸM"/>
        <family val="3"/>
        <charset val="128"/>
      </rPr>
      <t>１日６時間未満又は月20日未満勤務の職員は含めない</t>
    </r>
    <r>
      <rPr>
        <sz val="10"/>
        <color theme="1"/>
        <rFont val="HGｺﾞｼｯｸM"/>
        <family val="3"/>
        <charset val="128"/>
      </rPr>
      <t>ものとする。</t>
    </r>
    <rPh sb="0" eb="1">
      <t>チュウ</t>
    </rPh>
    <rPh sb="4" eb="6">
      <t>ショクイン</t>
    </rPh>
    <rPh sb="6" eb="8">
      <t>ヒトリ</t>
    </rPh>
    <rPh sb="8" eb="9">
      <t>ア</t>
    </rPh>
    <rPh sb="11" eb="13">
      <t>ヘイキン</t>
    </rPh>
    <rPh sb="13" eb="15">
      <t>キンゾク</t>
    </rPh>
    <rPh sb="15" eb="17">
      <t>ネンスウ</t>
    </rPh>
    <rPh sb="19" eb="20">
      <t>ラン</t>
    </rPh>
    <rPh sb="21" eb="23">
      <t>サンテイ</t>
    </rPh>
    <rPh sb="24" eb="25">
      <t>ア</t>
    </rPh>
    <rPh sb="32" eb="35">
      <t>ゲツイジョウ</t>
    </rPh>
    <rPh sb="36" eb="38">
      <t>ハスウ</t>
    </rPh>
    <rPh sb="40" eb="41">
      <t>ネン</t>
    </rPh>
    <rPh sb="51" eb="52">
      <t>ゲツ</t>
    </rPh>
    <rPh sb="52" eb="54">
      <t>ミマン</t>
    </rPh>
    <rPh sb="55" eb="57">
      <t>ハスウ</t>
    </rPh>
    <rPh sb="58" eb="59">
      <t>キ</t>
    </rPh>
    <rPh sb="60" eb="61">
      <t>ス</t>
    </rPh>
    <rPh sb="76" eb="78">
      <t>ココ</t>
    </rPh>
    <rPh sb="79" eb="81">
      <t>ショクイン</t>
    </rPh>
    <rPh sb="82" eb="84">
      <t>キンゾク</t>
    </rPh>
    <rPh sb="84" eb="86">
      <t>ネンスウ</t>
    </rPh>
    <rPh sb="87" eb="89">
      <t>サンテイ</t>
    </rPh>
    <rPh sb="90" eb="91">
      <t>ア</t>
    </rPh>
    <rPh sb="96" eb="99">
      <t>カクネンド</t>
    </rPh>
    <rPh sb="100" eb="101">
      <t>ガツ</t>
    </rPh>
    <rPh sb="102" eb="103">
      <t>ニチ</t>
    </rPh>
    <rPh sb="103" eb="105">
      <t>ゲンザイ</t>
    </rPh>
    <rPh sb="108" eb="110">
      <t>サンテイ</t>
    </rPh>
    <rPh sb="118" eb="119">
      <t>アラ</t>
    </rPh>
    <rPh sb="121" eb="123">
      <t>ショクイン</t>
    </rPh>
    <rPh sb="124" eb="126">
      <t>ショクレキ</t>
    </rPh>
    <rPh sb="126" eb="129">
      <t>ショウメイショ</t>
    </rPh>
    <rPh sb="130" eb="132">
      <t>ネンキン</t>
    </rPh>
    <rPh sb="132" eb="134">
      <t>カニュウ</t>
    </rPh>
    <rPh sb="134" eb="136">
      <t>キロク</t>
    </rPh>
    <rPh sb="136" eb="137">
      <t>トウ</t>
    </rPh>
    <rPh sb="138" eb="139">
      <t>ウツ</t>
    </rPh>
    <rPh sb="141" eb="143">
      <t>テンプ</t>
    </rPh>
    <rPh sb="154" eb="155">
      <t>ニチ</t>
    </rPh>
    <rPh sb="156" eb="158">
      <t>ジカン</t>
    </rPh>
    <rPh sb="158" eb="160">
      <t>ミマン</t>
    </rPh>
    <rPh sb="160" eb="161">
      <t>マタ</t>
    </rPh>
    <rPh sb="162" eb="163">
      <t>ツキ</t>
    </rPh>
    <rPh sb="165" eb="166">
      <t>ニチ</t>
    </rPh>
    <rPh sb="166" eb="168">
      <t>ミマン</t>
    </rPh>
    <rPh sb="168" eb="170">
      <t>キンム</t>
    </rPh>
    <rPh sb="171" eb="173">
      <t>ショクイン</t>
    </rPh>
    <rPh sb="174" eb="175">
      <t>フク</t>
    </rPh>
    <phoneticPr fontId="108"/>
  </si>
  <si>
    <t>※副園長(有資格者)・教頭(有資格者)とは、保育士または幼稚園教諭の資格保有者のことをいう</t>
    <rPh sb="1" eb="4">
      <t>フクエンチョウ</t>
    </rPh>
    <rPh sb="5" eb="9">
      <t>ユウシカクシャ</t>
    </rPh>
    <rPh sb="11" eb="13">
      <t>キョウトウ</t>
    </rPh>
    <rPh sb="14" eb="18">
      <t>ユウシカクシャ</t>
    </rPh>
    <rPh sb="22" eb="25">
      <t>ホイクシ</t>
    </rPh>
    <rPh sb="28" eb="31">
      <t>ヨウチエン</t>
    </rPh>
    <rPh sb="31" eb="33">
      <t>キョウユ</t>
    </rPh>
    <rPh sb="34" eb="36">
      <t>シカク</t>
    </rPh>
    <rPh sb="36" eb="39">
      <t>ホユウシャ</t>
    </rPh>
    <phoneticPr fontId="108"/>
  </si>
  <si>
    <t>年</t>
    <phoneticPr fontId="108"/>
  </si>
  <si>
    <t>月</t>
    <rPh sb="0" eb="1">
      <t>ツキ</t>
    </rPh>
    <phoneticPr fontId="108"/>
  </si>
  <si>
    <t>年</t>
    <rPh sb="0" eb="1">
      <t>ネン</t>
    </rPh>
    <phoneticPr fontId="108"/>
  </si>
  <si>
    <r>
      <t>平均経験年数(</t>
    </r>
    <r>
      <rPr>
        <sz val="10"/>
        <color rgb="FF0000FF"/>
        <rFont val="HGｺﾞｼｯｸM"/>
        <family val="3"/>
        <charset val="128"/>
      </rPr>
      <t>Ｂ</t>
    </r>
    <r>
      <rPr>
        <sz val="10"/>
        <color theme="1"/>
        <rFont val="HGｺﾞｼｯｸM"/>
        <family val="3"/>
        <charset val="128"/>
      </rPr>
      <t>÷</t>
    </r>
    <r>
      <rPr>
        <sz val="10"/>
        <color rgb="FFFF0000"/>
        <rFont val="HGｺﾞｼｯｸM"/>
        <family val="3"/>
        <charset val="128"/>
      </rPr>
      <t>Ａ</t>
    </r>
    <r>
      <rPr>
        <sz val="10"/>
        <color theme="1"/>
        <rFont val="HGｺﾞｼｯｸM"/>
        <family val="3"/>
        <charset val="128"/>
      </rPr>
      <t>)</t>
    </r>
    <phoneticPr fontId="108"/>
  </si>
  <si>
    <t>職員１人当たり</t>
    <phoneticPr fontId="108"/>
  </si>
  <si>
    <t>Ｃ</t>
    <phoneticPr fontId="108"/>
  </si>
  <si>
    <t>Ｂ</t>
    <phoneticPr fontId="108"/>
  </si>
  <si>
    <t>Ａ</t>
    <phoneticPr fontId="108"/>
  </si>
  <si>
    <t>合　計</t>
    <rPh sb="0" eb="1">
      <t>ゴウ</t>
    </rPh>
    <rPh sb="2" eb="3">
      <t>ケイ</t>
    </rPh>
    <phoneticPr fontId="108"/>
  </si>
  <si>
    <t>日</t>
    <rPh sb="0" eb="1">
      <t>ニチ</t>
    </rPh>
    <phoneticPr fontId="108"/>
  </si>
  <si>
    <t>月</t>
    <rPh sb="0" eb="1">
      <t>ガツ</t>
    </rPh>
    <phoneticPr fontId="108"/>
  </si>
  <si>
    <t>月</t>
  </si>
  <si>
    <t>栄養士・調理員</t>
    <rPh sb="0" eb="2">
      <t>エイヨウ</t>
    </rPh>
    <rPh sb="2" eb="3">
      <t>シ</t>
    </rPh>
    <rPh sb="4" eb="7">
      <t>チョウリイン</t>
    </rPh>
    <phoneticPr fontId="108"/>
  </si>
  <si>
    <t>保育士等</t>
    <rPh sb="0" eb="4">
      <t>ホイクシトウ</t>
    </rPh>
    <phoneticPr fontId="108"/>
  </si>
  <si>
    <t>その職種の資格取得年月日</t>
    <rPh sb="2" eb="4">
      <t>ショクシュ</t>
    </rPh>
    <rPh sb="5" eb="7">
      <t>シカク</t>
    </rPh>
    <rPh sb="7" eb="9">
      <t>シュトク</t>
    </rPh>
    <rPh sb="9" eb="10">
      <t>ネン</t>
    </rPh>
    <rPh sb="10" eb="11">
      <t>ガツ</t>
    </rPh>
    <rPh sb="11" eb="12">
      <t>ニチ</t>
    </rPh>
    <phoneticPr fontId="108"/>
  </si>
  <si>
    <t>ウ 合　計
　（ア＋イ）</t>
    <rPh sb="2" eb="3">
      <t>ア</t>
    </rPh>
    <rPh sb="4" eb="5">
      <t>ケイ</t>
    </rPh>
    <phoneticPr fontId="108"/>
  </si>
  <si>
    <t>イ その他の施設・事業所の通算勤続年数</t>
    <rPh sb="4" eb="5">
      <t>タ</t>
    </rPh>
    <rPh sb="6" eb="8">
      <t>シセツ</t>
    </rPh>
    <rPh sb="9" eb="12">
      <t>ジギョウショ</t>
    </rPh>
    <rPh sb="13" eb="15">
      <t>ツウサン</t>
    </rPh>
    <rPh sb="15" eb="17">
      <t>キンゾク</t>
    </rPh>
    <rPh sb="17" eb="19">
      <t>ネンスウ</t>
    </rPh>
    <phoneticPr fontId="108"/>
  </si>
  <si>
    <t>ア 現に勤務する施設・事業所の勤続年数</t>
    <rPh sb="2" eb="3">
      <t>ゲン</t>
    </rPh>
    <rPh sb="4" eb="6">
      <t>キンム</t>
    </rPh>
    <rPh sb="8" eb="10">
      <t>シセツ</t>
    </rPh>
    <rPh sb="11" eb="14">
      <t>ジギョウショ</t>
    </rPh>
    <rPh sb="15" eb="17">
      <t>キンゾク</t>
    </rPh>
    <rPh sb="17" eb="19">
      <t>ネンスウ</t>
    </rPh>
    <phoneticPr fontId="108"/>
  </si>
  <si>
    <t>職　種※</t>
    <rPh sb="0" eb="1">
      <t>ショク</t>
    </rPh>
    <rPh sb="2" eb="3">
      <t>シュ</t>
    </rPh>
    <phoneticPr fontId="108"/>
  </si>
  <si>
    <t>氏　名</t>
    <rPh sb="0" eb="1">
      <t>シ</t>
    </rPh>
    <rPh sb="2" eb="3">
      <t>メイ</t>
    </rPh>
    <phoneticPr fontId="108"/>
  </si>
  <si>
    <t>職員別の経験年月数</t>
    <rPh sb="0" eb="2">
      <t>ショクイン</t>
    </rPh>
    <rPh sb="2" eb="3">
      <t>ベツ</t>
    </rPh>
    <rPh sb="4" eb="6">
      <t>ケイケン</t>
    </rPh>
    <rPh sb="6" eb="7">
      <t>ネン</t>
    </rPh>
    <rPh sb="7" eb="8">
      <t>ガツ</t>
    </rPh>
    <rPh sb="8" eb="9">
      <t>スウ</t>
    </rPh>
    <phoneticPr fontId="108"/>
  </si>
  <si>
    <t>開設年月日</t>
    <rPh sb="0" eb="1">
      <t>ヒラキ</t>
    </rPh>
    <rPh sb="1" eb="2">
      <t>セツ</t>
    </rPh>
    <rPh sb="2" eb="3">
      <t>トシ</t>
    </rPh>
    <rPh sb="3" eb="4">
      <t>ツキ</t>
    </rPh>
    <rPh sb="4" eb="5">
      <t>ヒ</t>
    </rPh>
    <phoneticPr fontId="108"/>
  </si>
  <si>
    <t>10/100</t>
    <phoneticPr fontId="108"/>
  </si>
  <si>
    <t>地域区分</t>
    <rPh sb="0" eb="4">
      <t>チイキクブン</t>
    </rPh>
    <phoneticPr fontId="108"/>
  </si>
  <si>
    <t>定　　員</t>
    <rPh sb="0" eb="1">
      <t>サダム</t>
    </rPh>
    <rPh sb="3" eb="4">
      <t>イン</t>
    </rPh>
    <phoneticPr fontId="108"/>
  </si>
  <si>
    <t>職員１人当たりの平均経験年数の算定</t>
    <phoneticPr fontId="108"/>
  </si>
  <si>
    <t>◎横須賀市保育士等処遇改善見込額</t>
    <rPh sb="1" eb="5">
      <t>ヨコスカシ</t>
    </rPh>
    <rPh sb="5" eb="8">
      <t>ホイクシ</t>
    </rPh>
    <rPh sb="8" eb="9">
      <t>トウ</t>
    </rPh>
    <rPh sb="9" eb="11">
      <t>ショグウ</t>
    </rPh>
    <rPh sb="11" eb="13">
      <t>カイゼン</t>
    </rPh>
    <rPh sb="13" eb="15">
      <t>ミコミ</t>
    </rPh>
    <rPh sb="15" eb="16">
      <t>ガク</t>
    </rPh>
    <phoneticPr fontId="4"/>
  </si>
  <si>
    <t>対象人数</t>
    <rPh sb="0" eb="2">
      <t>タイショウ</t>
    </rPh>
    <rPh sb="2" eb="4">
      <t>ニンズウ</t>
    </rPh>
    <phoneticPr fontId="4"/>
  </si>
  <si>
    <t>うち、調理員等</t>
    <rPh sb="3" eb="6">
      <t>チョウリイン</t>
    </rPh>
    <rPh sb="6" eb="7">
      <t>トウ</t>
    </rPh>
    <phoneticPr fontId="4"/>
  </si>
  <si>
    <t>横須賀市長　殿</t>
    <rPh sb="0" eb="3">
      <t>ヨコスカ</t>
    </rPh>
    <rPh sb="3" eb="5">
      <t>シチョウ</t>
    </rPh>
    <rPh sb="6" eb="7">
      <t>ドノ</t>
    </rPh>
    <phoneticPr fontId="6"/>
  </si>
  <si>
    <t>横須賀市</t>
    <rPh sb="0" eb="4">
      <t>ヨコスカシ</t>
    </rPh>
    <phoneticPr fontId="6"/>
  </si>
  <si>
    <t>処遇改善等加算に係る経験年数算定表</t>
  </si>
  <si>
    <t>家庭的保育補助者（無資格）</t>
    <rPh sb="0" eb="3">
      <t>カテイテキ</t>
    </rPh>
    <rPh sb="3" eb="5">
      <t>ホイク</t>
    </rPh>
    <rPh sb="5" eb="8">
      <t>ホジョシャ</t>
    </rPh>
    <rPh sb="9" eb="12">
      <t>ムシカク</t>
    </rPh>
    <phoneticPr fontId="4"/>
  </si>
  <si>
    <t>研修要件</t>
    <rPh sb="0" eb="2">
      <t>ケンシュウ</t>
    </rPh>
    <rPh sb="2" eb="4">
      <t>ヨウケン</t>
    </rPh>
    <phoneticPr fontId="4"/>
  </si>
  <si>
    <t>〇</t>
    <phoneticPr fontId="4"/>
  </si>
  <si>
    <t>横須賀市保育士等処遇改善加算申請書</t>
  </si>
  <si>
    <t>次の内容について、「該当」又は「非該当」のいずれかを記入すること。</t>
    <rPh sb="13" eb="14">
      <t>マタ</t>
    </rPh>
    <phoneticPr fontId="6"/>
  </si>
  <si>
    <t>横須賀市保育士等処遇改善加算【保育士等】＋【栄養士・調理員】の対象となる職員数　①</t>
    <rPh sb="0" eb="4">
      <t>ヨコスカシ</t>
    </rPh>
    <rPh sb="4" eb="7">
      <t>ホイクシ</t>
    </rPh>
    <rPh sb="7" eb="8">
      <t>トウ</t>
    </rPh>
    <rPh sb="8" eb="10">
      <t>ショグウ</t>
    </rPh>
    <rPh sb="10" eb="12">
      <t>カイゼン</t>
    </rPh>
    <rPh sb="12" eb="14">
      <t>カサン</t>
    </rPh>
    <rPh sb="22" eb="25">
      <t>エイヨウシ</t>
    </rPh>
    <rPh sb="26" eb="29">
      <t>チョウリイン</t>
    </rPh>
    <rPh sb="31" eb="33">
      <t>タイショウ</t>
    </rPh>
    <rPh sb="36" eb="39">
      <t>ショクインスウ</t>
    </rPh>
    <phoneticPr fontId="108"/>
  </si>
  <si>
    <t>処遇改善等加算区分３の人数Ａ　②</t>
    <rPh sb="0" eb="2">
      <t>ショグウ</t>
    </rPh>
    <rPh sb="2" eb="4">
      <t>カイゼン</t>
    </rPh>
    <rPh sb="4" eb="5">
      <t>トウ</t>
    </rPh>
    <rPh sb="5" eb="7">
      <t>カサン</t>
    </rPh>
    <rPh sb="7" eb="9">
      <t>クブン</t>
    </rPh>
    <rPh sb="11" eb="13">
      <t>ニンズウ</t>
    </rPh>
    <phoneticPr fontId="108"/>
  </si>
  <si>
    <r>
      <t>横須賀市保育士等処遇改善加算の</t>
    </r>
    <r>
      <rPr>
        <u/>
        <sz val="12"/>
        <rFont val="HGｺﾞｼｯｸM"/>
        <family val="3"/>
        <charset val="128"/>
      </rPr>
      <t>加算対象職員数</t>
    </r>
    <r>
      <rPr>
        <sz val="12"/>
        <rFont val="HGｺﾞｼｯｸM"/>
        <family val="3"/>
        <charset val="128"/>
      </rPr>
      <t>　③（①－②）</t>
    </r>
    <rPh sb="0" eb="4">
      <t>ヨコスカシ</t>
    </rPh>
    <rPh sb="4" eb="7">
      <t>ホイクシ</t>
    </rPh>
    <rPh sb="7" eb="8">
      <t>トウ</t>
    </rPh>
    <rPh sb="8" eb="10">
      <t>ショグウ</t>
    </rPh>
    <rPh sb="10" eb="12">
      <t>カイゼン</t>
    </rPh>
    <rPh sb="12" eb="14">
      <t>カサン</t>
    </rPh>
    <rPh sb="15" eb="17">
      <t>カサン</t>
    </rPh>
    <rPh sb="17" eb="19">
      <t>タイショウ</t>
    </rPh>
    <rPh sb="19" eb="22">
      <t>ショクインスウ</t>
    </rPh>
    <phoneticPr fontId="108"/>
  </si>
  <si>
    <t>③のうち、栄養士・調理員の人数　④</t>
    <rPh sb="5" eb="8">
      <t>エイヨウシ</t>
    </rPh>
    <rPh sb="9" eb="12">
      <t>チョウリイン</t>
    </rPh>
    <rPh sb="13" eb="15">
      <t>ニンズウ</t>
    </rPh>
    <phoneticPr fontId="108"/>
  </si>
  <si>
    <t>3.横須賀市保育士等処遇改善加算について</t>
    <rPh sb="14" eb="16">
      <t>カサン</t>
    </rPh>
    <phoneticPr fontId="4"/>
  </si>
  <si>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</si>
  <si>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</si>
  <si>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</si>
  <si>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⑥(⑤が「はい」の場合)⑥の内容を職員に対して周知している。</t>
    <rPh sb="9" eb="11">
      <t>バアイ</t>
    </rPh>
    <rPh sb="14" eb="16">
      <t>ナイヨウ</t>
    </rPh>
    <rPh sb="17" eb="19">
      <t>ショクイン</t>
    </rPh>
    <rPh sb="20" eb="21">
      <t>タイ</t>
    </rPh>
    <rPh sb="23" eb="25">
      <t>シュウチ</t>
    </rPh>
    <phoneticPr fontId="4"/>
  </si>
  <si>
    <t>④(③が「はい」の場合)④の内容を職員に対して周知している。</t>
    <rPh sb="9" eb="11">
      <t>バアイ</t>
    </rPh>
    <rPh sb="14" eb="16">
      <t>ナイヨウ</t>
    </rPh>
    <rPh sb="17" eb="19">
      <t>ショクイン</t>
    </rPh>
    <rPh sb="20" eb="21">
      <t>タイ</t>
    </rPh>
    <rPh sb="23" eb="25">
      <t>シュウチ</t>
    </rPh>
    <phoneticPr fontId="4"/>
  </si>
  <si>
    <t>（１）令和７年度実績</t>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</si>
  <si>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</si>
  <si>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８年度</t>
    <rPh sb="1" eb="3">
      <t>ネンド</t>
    </rPh>
    <phoneticPr fontId="4"/>
  </si>
  <si>
    <t>※審査欄※
該当し得る加算</t>
    <rPh sb="1" eb="3">
      <t>シンサ</t>
    </rPh>
    <rPh sb="3" eb="4">
      <t>ラン</t>
    </rPh>
    <rPh sb="6" eb="8">
      <t>ガイトウ</t>
    </rPh>
    <rPh sb="9" eb="10">
      <t>ウ</t>
    </rPh>
    <rPh sb="11" eb="13">
      <t>カサン</t>
    </rPh>
    <phoneticPr fontId="4"/>
  </si>
  <si>
    <t>国A</t>
    <rPh sb="0" eb="1">
      <t>クニ</t>
    </rPh>
    <phoneticPr fontId="4"/>
  </si>
  <si>
    <t>国B</t>
    <rPh sb="0" eb="1">
      <t>クニ</t>
    </rPh>
    <phoneticPr fontId="4"/>
  </si>
  <si>
    <t>市加算</t>
    <rPh sb="0" eb="1">
      <t>シ</t>
    </rPh>
    <rPh sb="1" eb="3">
      <t>カサン</t>
    </rPh>
    <phoneticPr fontId="4"/>
  </si>
  <si>
    <t>看護師等</t>
    <rPh sb="0" eb="3">
      <t>カンゴシ</t>
    </rPh>
    <rPh sb="3" eb="4">
      <t>トウ</t>
    </rPh>
    <phoneticPr fontId="110"/>
  </si>
  <si>
    <t>単価</t>
    <rPh sb="0" eb="2">
      <t>タンカ</t>
    </rPh>
    <phoneticPr fontId="4"/>
  </si>
  <si>
    <t>８</t>
    <phoneticPr fontId="6"/>
  </si>
  <si>
    <t>遇改善等加算区分３を適用しており、横須賀市保育士等処遇改善加算を適用する。</t>
    <phoneticPr fontId="6"/>
  </si>
  <si>
    <t>市処遇改善による支払額</t>
    <rPh sb="0" eb="1">
      <t>シ</t>
    </rPh>
    <rPh sb="1" eb="3">
      <t>ショグウ</t>
    </rPh>
    <rPh sb="3" eb="5">
      <t>カイゼン</t>
    </rPh>
    <rPh sb="8" eb="10">
      <t>シハライ</t>
    </rPh>
    <rPh sb="10" eb="11">
      <t>ガク</t>
    </rPh>
    <phoneticPr fontId="4"/>
  </si>
  <si>
    <t>基準年度における加算額等の影響を除いた支払賃金総額
（①－（②－③）－④－⑤－a＋⑥）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</si>
  <si>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a'</t>
    <phoneticPr fontId="4"/>
  </si>
  <si>
    <t>加算当年度における改善額等の影響を除いた賃金見込総額
（⑧－⑨－⑩－a'－⑪－⑫－⑬）</t>
    <rPh sb="0" eb="2">
      <t>カサン</t>
    </rPh>
    <rPh sb="2" eb="5">
      <t>トウネンド</t>
    </rPh>
    <rPh sb="20" eb="22">
      <t>チンギン</t>
    </rPh>
    <rPh sb="22" eb="24">
      <t>ミコ</t>
    </rPh>
    <rPh sb="24" eb="26">
      <t>ソウガク</t>
    </rPh>
    <phoneticPr fontId="6"/>
  </si>
  <si>
    <t>（d）定期昇給相当額（加算当年度における昇給分）</t>
    <rPh sb="3" eb="5">
      <t>テイキ</t>
    </rPh>
    <rPh sb="5" eb="7">
      <t>ショウキュウ</t>
    </rPh>
    <rPh sb="7" eb="10">
      <t>ソウトウガク</t>
    </rPh>
    <phoneticPr fontId="6"/>
  </si>
  <si>
    <t>（e）基準翌年度から加算当年度までの公定価格における人件費の改定部分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</si>
  <si>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（f）加算当年度の前年度に支払うべき残額に対応した支払い賃金額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</si>
  <si>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加算当年度の加算による改善額等の影響を除いた賃金見込総額（②を下回らないこと） (a)-(b)-(c)-(d)-(e)-(f)</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</si>
  <si>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基準年度における加算額等の影響を除いた支払賃金総額 (f)-｛(g)-(h)｝-(i)-(j)-(k)+(l)</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</si>
  <si>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（c）市処遇改善による加算額</t>
    <rPh sb="3" eb="8">
      <t>シショグウカイゼン</t>
    </rPh>
    <rPh sb="11" eb="13">
      <t>カサン</t>
    </rPh>
    <rPh sb="13" eb="14">
      <t>ガク</t>
    </rPh>
    <phoneticPr fontId="6"/>
  </si>
  <si>
    <t>（j）市処遇改善による支払額</t>
    <rPh sb="3" eb="4">
      <t>シ</t>
    </rPh>
    <rPh sb="4" eb="6">
      <t>ショグウ</t>
    </rPh>
    <rPh sb="6" eb="8">
      <t>カイゼン</t>
    </rPh>
    <rPh sb="11" eb="13">
      <t>シハライ</t>
    </rPh>
    <rPh sb="13" eb="14">
      <t>ガク</t>
    </rPh>
    <phoneticPr fontId="6"/>
  </si>
  <si>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</si>
  <si>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</si>
  <si>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</si>
  <si>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</si>
  <si>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</si>
  <si>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</si>
  <si>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</si>
  <si>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</si>
  <si>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</si>
  <si>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</si>
  <si>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</si>
  <si>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</si>
  <si>
    <t>処遇改善等加算に係る経験年数算定表から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</si>
</sst>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General&quot;日&quot;"/>
    <numFmt numFmtId="185" formatCode="#,##0&quot;月&quot;\ "/>
    <numFmt numFmtId="186" formatCode="#,##0&quot;人&quot;\ "/>
    <numFmt numFmtId="187" formatCode="0.00_ "/>
    <numFmt numFmtId="188" formatCode="0_);[Red]\(0\)"/>
    <numFmt numFmtId="189" formatCode="0.0_);[Red]\(0.0\)"/>
    <numFmt numFmtId="190" formatCode="0.00_);[Red]\(0.00\)"/>
    <numFmt numFmtId="191" formatCode="0.000_);[Red]\(0.000\)"/>
    <numFmt numFmtId="192" formatCode="0.0_ ;[Red]\-0.0\ "/>
    <numFmt numFmtId="193" formatCode="#,##0_);[Red]\(#,##0\)"/>
    <numFmt numFmtId="194" formatCode="#,##0_ "/>
    <numFmt numFmtId="195" formatCode="#,##0_ ;[Red]\-#,##0\ "/>
    <numFmt numFmtId="196" formatCode="0.0%"/>
    <numFmt numFmtId="197" formatCode="0.0_ "/>
    <numFmt numFmtId="198" formatCode="#,###"/>
    <numFmt numFmtId="199" formatCode="0_ "/>
    <numFmt numFmtId="200" formatCode="[$-411]ggge&quot;年&quot;m&quot;月&quot;d&quot;日&quot;;@"/>
  </numFmts>
  <fonts count="130">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20"/>
      <color theme="1"/>
      <name val="游ゴシック"/>
      <family val="2"/>
      <charset val="128"/>
      <scheme val="minor"/>
    </font>
    <font>
      <sz val="11"/>
      <color rgb="FFFF0000"/>
      <name val="游ゴシック"/>
      <family val="2"/>
      <charset val="128"/>
      <scheme val="minor"/>
    </font>
    <font>
      <b/>
      <sz val="24"/>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sz val="9"/>
      <color indexed="81"/>
      <name val="MS P ゴシック"/>
      <family val="3"/>
      <charset val="128"/>
    </font>
    <font>
      <sz val="16"/>
      <name val="HG丸ｺﾞｼｯｸM-PRO"/>
      <family val="3"/>
      <charset val="128"/>
    </font>
    <font>
      <sz val="14"/>
      <color theme="1"/>
      <name val="HG丸ｺﾞｼｯｸM-PRO"/>
      <family val="3"/>
      <charset val="128"/>
    </font>
    <font>
      <sz val="14"/>
      <color theme="1"/>
      <name val="游ゴシック"/>
      <family val="2"/>
      <charset val="128"/>
      <scheme val="minor"/>
    </font>
    <font>
      <sz val="16"/>
      <color theme="1"/>
      <name val="HG丸ｺﾞｼｯｸM-PRO"/>
      <family val="3"/>
      <charset val="128"/>
    </font>
    <font>
      <sz val="11"/>
      <color theme="1"/>
      <name val="HG丸ｺﾞｼｯｸM-PRO"/>
      <family val="3"/>
      <charset val="128"/>
    </font>
    <font>
      <b/>
      <sz val="12"/>
      <color theme="1"/>
      <name val="HG丸ｺﾞｼｯｸM-PRO"/>
      <family val="3"/>
      <charset val="128"/>
    </font>
    <font>
      <sz val="11"/>
      <name val="HG丸ｺﾞｼｯｸM-PRO"/>
      <family val="3"/>
      <charset val="128"/>
    </font>
    <font>
      <sz val="11"/>
      <color theme="8"/>
      <name val="HG丸ｺﾞｼｯｸM-PRO"/>
      <family val="3"/>
      <charset val="128"/>
    </font>
    <font>
      <sz val="11"/>
      <color rgb="FFFF0000"/>
      <name val="HG丸ｺﾞｼｯｸM-PRO"/>
      <family val="3"/>
      <charset val="128"/>
    </font>
    <font>
      <sz val="11"/>
      <color theme="0"/>
      <name val="HG丸ｺﾞｼｯｸM-PRO"/>
      <family val="3"/>
      <charset val="128"/>
    </font>
    <font>
      <sz val="11"/>
      <color theme="2" tint="-0.499984740745262"/>
      <name val="HG丸ｺﾞｼｯｸM-PRO"/>
      <family val="3"/>
      <charset val="128"/>
    </font>
    <font>
      <sz val="11"/>
      <color theme="2" tint="-0.249977111117893"/>
      <name val="HG丸ｺﾞｼｯｸM-PRO"/>
      <family val="3"/>
      <charset val="128"/>
    </font>
    <font>
      <sz val="10"/>
      <name val="HG丸ｺﾞｼｯｸM-PRO"/>
      <family val="3"/>
      <charset val="128"/>
    </font>
    <font>
      <sz val="9"/>
      <color theme="1"/>
      <name val="HG丸ｺﾞｼｯｸM-PRO"/>
      <family val="3"/>
      <charset val="128"/>
    </font>
    <font>
      <b/>
      <sz val="12"/>
      <name val="HG丸ｺﾞｼｯｸM-PRO"/>
      <family val="3"/>
      <charset val="128"/>
    </font>
    <font>
      <sz val="12"/>
      <color theme="1"/>
      <name val="HG丸ｺﾞｼｯｸM-PRO"/>
      <family val="3"/>
      <charset val="128"/>
    </font>
    <font>
      <sz val="12"/>
      <color theme="2" tint="-0.249977111117893"/>
      <name val="HG丸ｺﾞｼｯｸM-PRO"/>
      <family val="3"/>
      <charset val="128"/>
    </font>
    <font>
      <b/>
      <sz val="11"/>
      <name val="HG丸ｺﾞｼｯｸM-PRO"/>
      <family val="3"/>
      <charset val="128"/>
    </font>
    <font>
      <b/>
      <sz val="11"/>
      <color theme="1"/>
      <name val="HG丸ｺﾞｼｯｸM-PRO"/>
      <family val="3"/>
      <charset val="128"/>
    </font>
    <font>
      <sz val="12"/>
      <color indexed="81"/>
      <name val="ＭＳ Ｐゴシック"/>
      <family val="3"/>
      <charset val="128"/>
    </font>
    <font>
      <sz val="10"/>
      <color indexed="81"/>
      <name val="ＭＳ Ｐゴシック"/>
      <family val="3"/>
      <charset val="128"/>
    </font>
    <font>
      <sz val="12"/>
      <color indexed="81"/>
      <name val="MS P ゴシック"/>
      <family val="3"/>
      <charset val="128"/>
    </font>
    <font>
      <sz val="11"/>
      <color theme="1"/>
      <name val="BIZ UDゴシック"/>
      <family val="3"/>
      <charset val="128"/>
    </font>
    <font>
      <sz val="16"/>
      <color theme="1"/>
      <name val="BIZ UDゴシック"/>
      <family val="3"/>
      <charset val="128"/>
    </font>
    <font>
      <sz val="11"/>
      <color rgb="FFC00000"/>
      <name val="BIZ UDゴシック"/>
      <family val="3"/>
      <charset val="128"/>
    </font>
    <font>
      <sz val="10"/>
      <color theme="1"/>
      <name val="BIZ UDゴシック"/>
      <family val="3"/>
      <charset val="128"/>
    </font>
    <font>
      <sz val="10"/>
      <color theme="1"/>
      <name val="游ゴシック"/>
      <family val="2"/>
      <charset val="128"/>
      <scheme val="minor"/>
    </font>
    <font>
      <b/>
      <sz val="10"/>
      <color rgb="FFFF0000"/>
      <name val="游ゴシック"/>
      <family val="3"/>
      <charset val="128"/>
      <scheme val="minor"/>
    </font>
    <font>
      <sz val="10"/>
      <name val="游ゴシック"/>
      <family val="3"/>
      <charset val="128"/>
      <scheme val="minor"/>
    </font>
    <font>
      <b/>
      <sz val="12"/>
      <color rgb="FFFF0000"/>
      <name val="游ゴシック"/>
      <family val="3"/>
      <charset val="128"/>
      <scheme val="minor"/>
    </font>
    <font>
      <sz val="12"/>
      <name val="HGｺﾞｼｯｸM"/>
      <family val="3"/>
      <charset val="128"/>
    </font>
    <font>
      <sz val="11"/>
      <name val="HGｺﾞｼｯｸM"/>
      <family val="3"/>
      <charset val="128"/>
    </font>
    <font>
      <sz val="9"/>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z val="10.5"/>
      <name val="HGｺﾞｼｯｸM"/>
      <family val="3"/>
      <charset val="128"/>
    </font>
    <font>
      <strike/>
      <sz val="12"/>
      <name val="ＭＳ Ｐゴシック"/>
      <family val="3"/>
      <charset val="128"/>
    </font>
    <font>
      <strike/>
      <sz val="12"/>
      <name val="HGｺﾞｼｯｸM"/>
      <family val="3"/>
      <charset val="128"/>
    </font>
    <font>
      <b/>
      <sz val="12"/>
      <color rgb="FFFF0000"/>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0"/>
      <color rgb="FFFF0000"/>
      <name val="ＭＳ Ｐ明朝"/>
      <family val="1"/>
      <charset val="128"/>
    </font>
    <font>
      <sz val="10"/>
      <color rgb="FFFF0000"/>
      <name val="游ゴシック"/>
      <family val="3"/>
      <charset val="128"/>
      <scheme val="minor"/>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sz val="12"/>
      <name val="ＭＳ Ｐ明朝"/>
      <family val="1"/>
      <charset val="128"/>
    </font>
    <font>
      <sz val="12"/>
      <color theme="1"/>
      <name val="ＭＳ 明朝"/>
      <family val="2"/>
      <charset val="128"/>
    </font>
    <font>
      <sz val="12"/>
      <color theme="1"/>
      <name val="HGｺﾞｼｯｸM"/>
      <family val="3"/>
      <charset val="128"/>
    </font>
    <font>
      <sz val="6"/>
      <name val="ＭＳ 明朝"/>
      <family val="2"/>
      <charset val="128"/>
    </font>
    <font>
      <sz val="9"/>
      <color theme="1"/>
      <name val="HGｺﾞｼｯｸM"/>
      <family val="3"/>
      <charset val="128"/>
    </font>
    <font>
      <sz val="6"/>
      <name val="Verdana"/>
      <family val="2"/>
    </font>
    <font>
      <sz val="10"/>
      <color theme="1"/>
      <name val="HGｺﾞｼｯｸM"/>
      <family val="3"/>
      <charset val="128"/>
    </font>
    <font>
      <sz val="10"/>
      <color rgb="FFFF0000"/>
      <name val="HGｺﾞｼｯｸM"/>
      <family val="3"/>
      <charset val="128"/>
    </font>
    <font>
      <sz val="12"/>
      <color rgb="FFFF0000"/>
      <name val="HGPｺﾞｼｯｸE"/>
      <family val="3"/>
      <charset val="128"/>
    </font>
    <font>
      <sz val="10"/>
      <color rgb="FFFF00FF"/>
      <name val="HGｺﾞｼｯｸM"/>
      <family val="3"/>
      <charset val="128"/>
    </font>
    <font>
      <u/>
      <sz val="10"/>
      <color theme="1"/>
      <name val="HGｺﾞｼｯｸM"/>
      <family val="3"/>
      <charset val="128"/>
    </font>
    <font>
      <b/>
      <sz val="10"/>
      <color theme="1"/>
      <name val="HGｺﾞｼｯｸM"/>
      <family val="3"/>
      <charset val="128"/>
    </font>
    <font>
      <sz val="10"/>
      <color rgb="FF0000FF"/>
      <name val="HGｺﾞｼｯｸM"/>
      <family val="3"/>
      <charset val="128"/>
    </font>
    <font>
      <b/>
      <sz val="11"/>
      <color theme="1"/>
      <name val="HGｺﾞｼｯｸM"/>
      <family val="3"/>
      <charset val="128"/>
    </font>
    <font>
      <sz val="8"/>
      <color theme="1"/>
      <name val="HGｺﾞｼｯｸM"/>
      <family val="3"/>
      <charset val="128"/>
    </font>
    <font>
      <sz val="16"/>
      <color rgb="FFFF0000"/>
      <name val="BIZ UDゴシック"/>
      <family val="3"/>
      <charset val="128"/>
    </font>
    <font>
      <sz val="12"/>
      <color rgb="FFFF0000"/>
      <name val="BIZ UDゴシック"/>
      <family val="3"/>
      <charset val="128"/>
    </font>
    <font>
      <b/>
      <sz val="14"/>
      <color rgb="FF000000"/>
      <name val="HGｺﾞｼｯｸM"/>
      <family val="3"/>
      <charset val="128"/>
    </font>
    <font>
      <b/>
      <sz val="12"/>
      <name val="HGｺﾞｼｯｸM"/>
      <family val="3"/>
      <charset val="128"/>
    </font>
    <font>
      <sz val="12"/>
      <color rgb="FF080A0C"/>
      <name val="ＭＳ Ｐゴシック"/>
      <family val="3"/>
      <charset val="128"/>
    </font>
    <font>
      <sz val="12"/>
      <color theme="1"/>
      <name val="ＭＳ Ｐゴシック"/>
      <family val="3"/>
      <charset val="128"/>
    </font>
    <font>
      <b/>
      <sz val="22"/>
      <name val="ＭＳ Ｐゴシック"/>
      <family val="3"/>
      <charset val="128"/>
    </font>
    <font>
      <b/>
      <sz val="18"/>
      <name val="ＭＳ ゴシック"/>
      <family val="3"/>
      <charset val="128"/>
    </font>
    <font>
      <b/>
      <sz val="20"/>
      <name val="ＭＳ Ｐゴシック"/>
      <family val="3"/>
      <charset val="128"/>
    </font>
    <font>
      <b/>
      <sz val="9"/>
      <color indexed="81"/>
      <name val="MS P ゴシック"/>
      <family val="3"/>
      <charset val="128"/>
    </font>
  </fonts>
  <fills count="2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1" tint="0.499984740745262"/>
        <bgColor indexed="64"/>
      </patternFill>
    </fill>
    <fill>
      <patternFill patternType="solid">
        <fgColor rgb="FFFFFF00"/>
        <bgColor indexed="64"/>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
      <patternFill patternType="solid">
        <fgColor theme="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3" tint="0.89999084444715716"/>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s>
  <borders count="263">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diagonalUp="1">
      <left style="thin">
        <color indexed="64"/>
      </left>
      <right style="thin">
        <color indexed="64"/>
      </right>
      <top/>
      <bottom style="dotted">
        <color indexed="64"/>
      </bottom>
      <diagonal style="dotted">
        <color indexed="64"/>
      </diagonal>
    </border>
    <border diagonalUp="1">
      <left/>
      <right style="thin">
        <color indexed="64"/>
      </right>
      <top style="thin">
        <color indexed="64"/>
      </top>
      <bottom style="dotted">
        <color indexed="64"/>
      </bottom>
      <diagonal style="dotted">
        <color indexed="64"/>
      </diagonal>
    </border>
    <border>
      <left/>
      <right style="thin">
        <color indexed="64"/>
      </right>
      <top style="thin">
        <color indexed="64"/>
      </top>
      <bottom style="dotted">
        <color indexed="64"/>
      </bottom>
      <diagonal/>
    </border>
    <border diagonalUp="1">
      <left style="thin">
        <color indexed="64"/>
      </left>
      <right style="thin">
        <color indexed="64"/>
      </right>
      <top style="thin">
        <color indexed="64"/>
      </top>
      <bottom style="dotted">
        <color indexed="64"/>
      </bottom>
      <diagonal style="dotted">
        <color indexed="64"/>
      </diagonal>
    </border>
    <border>
      <left style="thin">
        <color indexed="64"/>
      </left>
      <right/>
      <top/>
      <bottom style="hair">
        <color indexed="64"/>
      </bottom>
      <diagonal/>
    </border>
    <border>
      <left/>
      <right style="thin">
        <color indexed="64"/>
      </right>
      <top/>
      <bottom/>
      <diagonal/>
    </border>
    <border>
      <left/>
      <right style="thin">
        <color indexed="64"/>
      </right>
      <top/>
      <bottom style="hair">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diagonalUp="1">
      <left style="medium">
        <color indexed="64"/>
      </left>
      <right style="thin">
        <color indexed="64"/>
      </right>
      <top style="hair">
        <color indexed="64"/>
      </top>
      <bottom style="thin">
        <color indexed="64"/>
      </bottom>
      <diagonal style="thin">
        <color indexed="64"/>
      </diagonal>
    </border>
    <border diagonalUp="1">
      <left style="medium">
        <color indexed="64"/>
      </left>
      <right style="thin">
        <color indexed="64"/>
      </right>
      <top style="hair">
        <color indexed="64"/>
      </top>
      <bottom style="double">
        <color indexed="64"/>
      </bottom>
      <diagonal style="thin">
        <color indexed="64"/>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style="medium">
        <color indexed="64"/>
      </right>
      <top/>
      <bottom/>
      <diagonal/>
    </border>
    <border>
      <left/>
      <right/>
      <top style="hair">
        <color indexed="64"/>
      </top>
      <bottom style="double">
        <color indexed="64"/>
      </bottom>
      <diagonal/>
    </border>
    <border>
      <left style="medium">
        <color indexed="64"/>
      </left>
      <right/>
      <top style="hair">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bottom style="double">
        <color indexed="64"/>
      </bottom>
      <diagonal/>
    </border>
    <border>
      <left/>
      <right style="medium">
        <color indexed="64"/>
      </right>
      <top style="thin">
        <color indexed="64"/>
      </top>
      <bottom style="double">
        <color indexed="64"/>
      </bottom>
      <diagonal/>
    </border>
    <border>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medium">
        <color indexed="64"/>
      </left>
      <right style="medium">
        <color indexed="64"/>
      </right>
      <top style="thin">
        <color indexed="64"/>
      </top>
      <bottom style="medium">
        <color indexed="64"/>
      </bottom>
      <diagonal/>
    </border>
    <border>
      <left/>
      <right style="thick">
        <color indexed="64"/>
      </right>
      <top/>
      <bottom/>
      <diagonal/>
    </border>
    <border>
      <left/>
      <right style="thick">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dotted">
        <color indexed="64"/>
      </bottom>
      <diagonal/>
    </border>
    <border>
      <left/>
      <right/>
      <top style="medium">
        <color indexed="64"/>
      </top>
      <bottom style="hair">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style="medium">
        <color indexed="64"/>
      </left>
      <right/>
      <top style="medium">
        <color indexed="64"/>
      </top>
      <bottom style="dotted">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dotted">
        <color indexed="64"/>
      </top>
      <bottom style="dotted">
        <color indexed="64"/>
      </bottom>
      <diagonal style="thin">
        <color indexed="64"/>
      </diagonal>
    </border>
    <border diagonalUp="1">
      <left style="medium">
        <color indexed="64"/>
      </left>
      <right/>
      <top style="dotted">
        <color indexed="64"/>
      </top>
      <bottom style="medium">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style="medium">
        <color indexed="64"/>
      </left>
      <right/>
      <top style="dotted">
        <color indexed="64"/>
      </top>
      <bottom/>
      <diagonal style="thin">
        <color indexed="64"/>
      </diagonal>
    </border>
    <border diagonalUp="1">
      <left style="thin">
        <color indexed="64"/>
      </left>
      <right/>
      <top style="medium">
        <color indexed="64"/>
      </top>
      <bottom style="dotted">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right/>
      <top style="medium">
        <color indexed="64"/>
      </top>
      <bottom/>
      <diagonal style="thin">
        <color indexed="64"/>
      </diagonal>
    </border>
    <border diagonalUp="1">
      <left/>
      <right/>
      <top style="thin">
        <color indexed="64"/>
      </top>
      <bottom style="medium">
        <color indexed="64"/>
      </bottom>
      <diagonal style="thin">
        <color indexed="64"/>
      </diagonal>
    </border>
    <border>
      <left style="thick">
        <color indexed="64"/>
      </left>
      <right/>
      <top/>
      <bottom style="thick">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medium">
        <color indexed="64"/>
      </right>
      <top/>
      <bottom style="thick">
        <color indexed="64"/>
      </bottom>
      <diagonal/>
    </border>
    <border>
      <left style="medium">
        <color indexed="64"/>
      </left>
      <right/>
      <top/>
      <bottom style="thick">
        <color indexed="64"/>
      </bottom>
      <diagonal/>
    </border>
    <border>
      <left/>
      <right style="hair">
        <color indexed="64"/>
      </right>
      <top/>
      <bottom/>
      <diagonal/>
    </border>
    <border>
      <left style="medium">
        <color indexed="64"/>
      </left>
      <right/>
      <top style="dotted">
        <color indexed="64"/>
      </top>
      <bottom style="dotted">
        <color indexed="64"/>
      </bottom>
      <diagonal/>
    </border>
    <border>
      <left/>
      <right/>
      <top style="thin">
        <color indexed="64"/>
      </top>
      <bottom style="dotted">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5" fillId="0" borderId="0"/>
    <xf numFmtId="0" fontId="75" fillId="0" borderId="0"/>
    <xf numFmtId="0" fontId="82" fillId="0" borderId="0">
      <alignment vertical="center"/>
    </xf>
    <xf numFmtId="0" fontId="7" fillId="0" borderId="0"/>
    <xf numFmtId="0" fontId="106" fillId="0" borderId="0">
      <alignment vertical="center"/>
    </xf>
  </cellStyleXfs>
  <cellXfs count="1607">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Continuous" vertical="center" wrapText="1"/>
    </xf>
    <xf numFmtId="0" fontId="5" fillId="0" borderId="6" xfId="0" applyFont="1" applyBorder="1" applyAlignment="1">
      <alignment horizontal="centerContinuous" vertical="center" wrapText="1"/>
    </xf>
    <xf numFmtId="0" fontId="5" fillId="0" borderId="7" xfId="0" applyFont="1" applyBorder="1" applyAlignment="1">
      <alignment horizontal="centerContinuous" vertical="center" wrapText="1"/>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176" fontId="9" fillId="0" borderId="15" xfId="2" applyNumberFormat="1" applyFont="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5" xfId="2" applyNumberFormat="1" applyFont="1" applyFill="1" applyBorder="1" applyAlignment="1">
      <alignment vertical="center" shrinkToFit="1"/>
    </xf>
    <xf numFmtId="0" fontId="9" fillId="0" borderId="21" xfId="2" applyFont="1" applyBorder="1" applyAlignment="1">
      <alignment vertical="center" shrinkToFit="1"/>
    </xf>
    <xf numFmtId="0" fontId="5" fillId="5" borderId="22" xfId="0" applyFont="1" applyFill="1" applyBorder="1" applyAlignment="1">
      <alignment vertical="center" shrinkToFit="1"/>
    </xf>
    <xf numFmtId="176" fontId="9" fillId="0" borderId="20" xfId="2" applyNumberFormat="1" applyFont="1" applyBorder="1" applyAlignment="1">
      <alignment vertical="center" shrinkToFit="1"/>
    </xf>
    <xf numFmtId="0" fontId="9" fillId="0" borderId="22" xfId="0" applyFont="1" applyBorder="1" applyAlignment="1">
      <alignment vertical="center" shrinkToFit="1"/>
    </xf>
    <xf numFmtId="176" fontId="8" fillId="5" borderId="20" xfId="2" applyNumberFormat="1" applyFont="1" applyFill="1" applyBorder="1" applyAlignment="1">
      <alignment vertical="center" shrinkToFit="1"/>
    </xf>
    <xf numFmtId="177" fontId="8" fillId="5" borderId="20" xfId="2" applyNumberFormat="1" applyFont="1" applyFill="1" applyBorder="1" applyAlignment="1">
      <alignment vertical="center" shrinkToFit="1"/>
    </xf>
    <xf numFmtId="176" fontId="8" fillId="0" borderId="9" xfId="2" applyNumberFormat="1" applyFont="1" applyBorder="1" applyAlignment="1">
      <alignment vertical="center" shrinkToFit="1"/>
    </xf>
    <xf numFmtId="176" fontId="8" fillId="5" borderId="24" xfId="2" applyNumberFormat="1" applyFont="1" applyFill="1" applyBorder="1" applyAlignment="1">
      <alignment vertical="center" shrinkToFit="1"/>
    </xf>
    <xf numFmtId="177" fontId="8" fillId="5" borderId="24" xfId="2" applyNumberFormat="1" applyFont="1" applyFill="1" applyBorder="1" applyAlignment="1">
      <alignment vertical="center" shrinkToFit="1"/>
    </xf>
    <xf numFmtId="0" fontId="8" fillId="0" borderId="9" xfId="2" applyFont="1" applyBorder="1" applyAlignment="1">
      <alignment vertical="center" shrinkToFit="1"/>
    </xf>
    <xf numFmtId="0" fontId="9" fillId="0" borderId="25" xfId="2" applyFont="1" applyBorder="1" applyAlignment="1">
      <alignment vertical="center" shrinkToFit="1"/>
    </xf>
    <xf numFmtId="0" fontId="5" fillId="5" borderId="26" xfId="0" applyFont="1" applyFill="1" applyBorder="1" applyAlignment="1">
      <alignment vertical="center" shrinkToFit="1"/>
    </xf>
    <xf numFmtId="176" fontId="9" fillId="0" borderId="24" xfId="2" applyNumberFormat="1" applyFont="1" applyBorder="1" applyAlignment="1">
      <alignment vertical="center" shrinkToFit="1"/>
    </xf>
    <xf numFmtId="0" fontId="9" fillId="0" borderId="26" xfId="0" applyFont="1" applyBorder="1" applyAlignment="1">
      <alignment vertical="center" shrinkToFit="1"/>
    </xf>
    <xf numFmtId="0" fontId="9" fillId="0" borderId="15" xfId="2" applyFont="1" applyBorder="1" applyAlignment="1">
      <alignment vertical="center" shrinkToFit="1"/>
    </xf>
    <xf numFmtId="177" fontId="8" fillId="5" borderId="15" xfId="2" applyNumberFormat="1" applyFont="1" applyFill="1" applyBorder="1" applyAlignment="1">
      <alignment vertical="center" shrinkToFit="1"/>
    </xf>
    <xf numFmtId="0" fontId="9" fillId="0" borderId="20" xfId="2" applyFont="1" applyBorder="1" applyAlignment="1">
      <alignment vertical="center" shrinkToFit="1"/>
    </xf>
    <xf numFmtId="177" fontId="9" fillId="0" borderId="20" xfId="2" applyNumberFormat="1" applyFont="1" applyBorder="1" applyAlignment="1">
      <alignment vertical="center" shrinkToFit="1"/>
    </xf>
    <xf numFmtId="0" fontId="5" fillId="0" borderId="5" xfId="0" applyFont="1" applyBorder="1" applyAlignment="1">
      <alignment vertical="center" shrinkToFit="1"/>
    </xf>
    <xf numFmtId="0" fontId="9" fillId="0" borderId="24" xfId="2" applyFont="1" applyBorder="1" applyAlignment="1">
      <alignment vertical="center" shrinkToFit="1"/>
    </xf>
    <xf numFmtId="177" fontId="9" fillId="0" borderId="24" xfId="2" applyNumberFormat="1" applyFont="1" applyBorder="1" applyAlignment="1">
      <alignment vertical="center" shrinkToFit="1"/>
    </xf>
    <xf numFmtId="0" fontId="5" fillId="0" borderId="6" xfId="0" applyFont="1" applyBorder="1" applyAlignment="1">
      <alignment vertical="center" shrinkToFit="1"/>
    </xf>
    <xf numFmtId="176" fontId="8" fillId="5" borderId="9" xfId="2" applyNumberFormat="1" applyFont="1" applyFill="1" applyBorder="1" applyAlignment="1">
      <alignment vertical="center" shrinkToFit="1"/>
    </xf>
    <xf numFmtId="177" fontId="8" fillId="5" borderId="9" xfId="2" applyNumberFormat="1" applyFont="1" applyFill="1" applyBorder="1" applyAlignment="1">
      <alignment vertical="center" shrinkToFit="1"/>
    </xf>
    <xf numFmtId="3" fontId="8" fillId="0" borderId="13" xfId="2" applyNumberFormat="1" applyFont="1" applyBorder="1" applyAlignment="1">
      <alignment vertical="center" shrinkToFit="1"/>
    </xf>
    <xf numFmtId="176" fontId="8" fillId="5" borderId="19" xfId="2" applyNumberFormat="1" applyFont="1" applyFill="1" applyBorder="1" applyAlignment="1">
      <alignment vertical="center" shrinkToFit="1"/>
    </xf>
    <xf numFmtId="177" fontId="8" fillId="5" borderId="19" xfId="2" applyNumberFormat="1" applyFont="1" applyFill="1" applyBorder="1" applyAlignment="1">
      <alignment vertical="center" shrinkToFit="1"/>
    </xf>
    <xf numFmtId="177" fontId="9" fillId="0" borderId="15" xfId="2" applyNumberFormat="1" applyFont="1" applyBorder="1" applyAlignment="1">
      <alignment vertical="center" shrinkToFit="1"/>
    </xf>
    <xf numFmtId="0" fontId="8" fillId="0" borderId="11" xfId="2" applyFont="1" applyBorder="1" applyAlignment="1">
      <alignment vertical="center" shrinkToFit="1"/>
    </xf>
    <xf numFmtId="176" fontId="8" fillId="5" borderId="30" xfId="2" applyNumberFormat="1" applyFont="1" applyFill="1" applyBorder="1" applyAlignment="1">
      <alignment vertical="center" shrinkToFit="1"/>
    </xf>
    <xf numFmtId="177" fontId="8" fillId="5" borderId="30" xfId="2" applyNumberFormat="1" applyFont="1" applyFill="1" applyBorder="1" applyAlignment="1">
      <alignment vertical="center" shrinkToFit="1"/>
    </xf>
    <xf numFmtId="176" fontId="9" fillId="0" borderId="30" xfId="2" applyNumberFormat="1" applyFont="1" applyBorder="1" applyAlignment="1">
      <alignment vertical="center" shrinkToFit="1"/>
    </xf>
    <xf numFmtId="177" fontId="9" fillId="0" borderId="30" xfId="2" applyNumberFormat="1" applyFont="1" applyBorder="1" applyAlignment="1">
      <alignment vertical="center" shrinkToFit="1"/>
    </xf>
    <xf numFmtId="0" fontId="0" fillId="0" borderId="0" xfId="0" applyAlignment="1">
      <alignment horizontal="right" vertical="center"/>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8" borderId="31" xfId="0" applyNumberFormat="1" applyFont="1" applyFill="1" applyBorder="1">
      <alignment vertical="center"/>
    </xf>
    <xf numFmtId="0" fontId="13" fillId="8" borderId="31" xfId="0" applyFont="1" applyFill="1" applyBorder="1" applyAlignment="1">
      <alignment horizontal="center" vertical="center"/>
    </xf>
    <xf numFmtId="182" fontId="13" fillId="8" borderId="31"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35" xfId="0" applyBorder="1" applyAlignment="1">
      <alignment vertical="center" shrinkToFit="1"/>
    </xf>
    <xf numFmtId="0" fontId="0" fillId="0" borderId="36" xfId="0" applyBorder="1" applyAlignment="1">
      <alignment vertical="center" shrinkToFit="1"/>
    </xf>
    <xf numFmtId="0" fontId="0" fillId="0" borderId="37" xfId="0" applyBorder="1" applyAlignment="1">
      <alignment vertical="center" shrinkToFit="1"/>
    </xf>
    <xf numFmtId="0" fontId="0" fillId="0" borderId="9" xfId="0" applyBorder="1" applyAlignment="1">
      <alignment vertical="center" shrinkToFit="1"/>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36" xfId="0" applyBorder="1">
      <alignment vertical="center"/>
    </xf>
    <xf numFmtId="0" fontId="0" fillId="0" borderId="37"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35" xfId="1" applyFont="1" applyBorder="1" applyAlignment="1">
      <alignment vertical="center" shrinkToFit="1"/>
    </xf>
    <xf numFmtId="38" fontId="0" fillId="0" borderId="42" xfId="1" applyFont="1" applyBorder="1" applyAlignment="1">
      <alignment vertical="center" shrinkToFit="1"/>
    </xf>
    <xf numFmtId="38" fontId="0" fillId="0" borderId="43" xfId="1" applyFont="1" applyBorder="1" applyAlignment="1">
      <alignment vertical="center" shrinkToFit="1"/>
    </xf>
    <xf numFmtId="38" fontId="0" fillId="0" borderId="33" xfId="1" applyFont="1" applyBorder="1" applyAlignment="1">
      <alignment vertical="center" shrinkToFit="1"/>
    </xf>
    <xf numFmtId="38" fontId="0" fillId="0" borderId="44" xfId="1" applyFont="1" applyBorder="1" applyAlignment="1">
      <alignment vertical="center" shrinkToFit="1"/>
    </xf>
    <xf numFmtId="38" fontId="0" fillId="0" borderId="34" xfId="1" applyFont="1" applyBorder="1" applyAlignment="1">
      <alignment vertical="center" shrinkToFit="1"/>
    </xf>
    <xf numFmtId="38" fontId="0" fillId="0" borderId="45" xfId="1" applyFont="1" applyBorder="1" applyAlignment="1">
      <alignment vertical="center" shrinkToFit="1"/>
    </xf>
    <xf numFmtId="38" fontId="0" fillId="0" borderId="36" xfId="1" applyFont="1" applyBorder="1" applyAlignment="1">
      <alignment vertical="center" shrinkToFit="1"/>
    </xf>
    <xf numFmtId="38" fontId="0" fillId="0" borderId="41" xfId="1" applyFont="1" applyBorder="1" applyAlignment="1">
      <alignment vertical="center" shrinkToFit="1"/>
    </xf>
    <xf numFmtId="38" fontId="0" fillId="0" borderId="46" xfId="1" applyFont="1" applyBorder="1" applyAlignment="1">
      <alignment vertical="center" shrinkToFit="1"/>
    </xf>
    <xf numFmtId="38" fontId="0" fillId="0" borderId="47" xfId="1" applyFont="1" applyBorder="1" applyAlignment="1">
      <alignment vertical="center" shrinkToFit="1"/>
    </xf>
    <xf numFmtId="38" fontId="0" fillId="0" borderId="48"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183" fontId="9" fillId="0" borderId="20" xfId="2" applyNumberFormat="1" applyFont="1" applyBorder="1" applyAlignment="1">
      <alignment vertical="center" shrinkToFit="1"/>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18" fillId="0" borderId="0" xfId="0" applyFont="1" applyAlignment="1">
      <alignment horizontal="centerContinuous" vertical="center"/>
    </xf>
    <xf numFmtId="0" fontId="0" fillId="0" borderId="0" xfId="0" applyAlignment="1">
      <alignment horizontal="centerContinuous" vertical="center"/>
    </xf>
    <xf numFmtId="0" fontId="5" fillId="0" borderId="8" xfId="0" applyFont="1" applyBorder="1" applyAlignment="1">
      <alignment horizontal="centerContinuous" vertical="center" wrapText="1"/>
    </xf>
    <xf numFmtId="0" fontId="5" fillId="0" borderId="11" xfId="0" applyFont="1" applyBorder="1">
      <alignment vertical="center"/>
    </xf>
    <xf numFmtId="0" fontId="5" fillId="0" borderId="10" xfId="0" applyFont="1" applyBorder="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4" borderId="5" xfId="0" applyFont="1" applyFill="1" applyBorder="1">
      <alignment vertical="center"/>
    </xf>
    <xf numFmtId="0" fontId="5" fillId="4" borderId="7" xfId="0" applyFont="1" applyFill="1" applyBorder="1">
      <alignment vertical="center"/>
    </xf>
    <xf numFmtId="0" fontId="5" fillId="4" borderId="6" xfId="0" applyFont="1" applyFill="1" applyBorder="1">
      <alignment vertical="center"/>
    </xf>
    <xf numFmtId="0" fontId="5" fillId="4" borderId="8" xfId="0" applyFont="1" applyFill="1" applyBorder="1">
      <alignment vertical="center"/>
    </xf>
    <xf numFmtId="0" fontId="8" fillId="0" borderId="14" xfId="2" applyFont="1" applyBorder="1" applyAlignment="1">
      <alignment vertical="center" wrapText="1"/>
    </xf>
    <xf numFmtId="0" fontId="8" fillId="0" borderId="15" xfId="2" applyFont="1" applyBorder="1">
      <alignment vertical="center"/>
    </xf>
    <xf numFmtId="0" fontId="9" fillId="0" borderId="18" xfId="0" applyFont="1" applyBorder="1">
      <alignment vertical="center"/>
    </xf>
    <xf numFmtId="177" fontId="8" fillId="0" borderId="15" xfId="2" applyNumberFormat="1" applyFont="1" applyBorder="1" applyAlignment="1">
      <alignment vertical="center" shrinkToFit="1"/>
    </xf>
    <xf numFmtId="0" fontId="8" fillId="0" borderId="20" xfId="2" applyFont="1" applyBorder="1">
      <alignment vertical="center"/>
    </xf>
    <xf numFmtId="0" fontId="9" fillId="0" borderId="23" xfId="0" applyFont="1" applyBorder="1">
      <alignment vertical="center"/>
    </xf>
    <xf numFmtId="176" fontId="9" fillId="0" borderId="20" xfId="2" applyNumberFormat="1" applyFont="1" applyBorder="1">
      <alignment vertical="center"/>
    </xf>
    <xf numFmtId="0" fontId="8" fillId="0" borderId="24" xfId="2" applyFont="1" applyBorder="1">
      <alignment vertical="center"/>
    </xf>
    <xf numFmtId="0" fontId="9" fillId="0" borderId="27" xfId="0" applyFont="1" applyBorder="1">
      <alignment vertical="center"/>
    </xf>
    <xf numFmtId="176" fontId="9" fillId="0" borderId="24" xfId="2" applyNumberFormat="1" applyFont="1" applyBorder="1">
      <alignment vertical="center"/>
    </xf>
    <xf numFmtId="0" fontId="9" fillId="0" borderId="28" xfId="0" applyFont="1" applyBorder="1">
      <alignment vertical="center"/>
    </xf>
    <xf numFmtId="176" fontId="9" fillId="0" borderId="15" xfId="2" applyNumberFormat="1" applyFont="1" applyBorder="1">
      <alignment vertical="center"/>
    </xf>
    <xf numFmtId="0" fontId="5" fillId="0" borderId="4" xfId="0" applyFont="1" applyBorder="1" applyAlignment="1">
      <alignment horizontal="centerContinuous" vertical="center" wrapText="1"/>
    </xf>
    <xf numFmtId="0" fontId="5" fillId="0" borderId="50" xfId="0" applyFont="1" applyBorder="1" applyAlignment="1">
      <alignment vertical="center" wrapText="1" shrinkToFit="1"/>
    </xf>
    <xf numFmtId="0" fontId="8" fillId="0" borderId="1" xfId="2" applyFont="1" applyBorder="1" applyAlignment="1">
      <alignment vertical="center" wrapText="1"/>
    </xf>
    <xf numFmtId="0" fontId="8" fillId="0" borderId="19" xfId="2" applyFont="1" applyBorder="1">
      <alignment vertical="center"/>
    </xf>
    <xf numFmtId="0" fontId="9" fillId="0" borderId="51" xfId="0" applyFont="1" applyBorder="1" applyAlignment="1">
      <alignment vertical="center" shrinkToFit="1"/>
    </xf>
    <xf numFmtId="176" fontId="9" fillId="9" borderId="15" xfId="2" applyNumberFormat="1" applyFont="1" applyFill="1" applyBorder="1" applyAlignment="1">
      <alignment vertical="center" shrinkToFit="1"/>
    </xf>
    <xf numFmtId="177" fontId="9" fillId="9" borderId="15" xfId="2" applyNumberFormat="1" applyFont="1" applyFill="1" applyBorder="1" applyAlignment="1">
      <alignment vertical="center" shrinkToFit="1"/>
    </xf>
    <xf numFmtId="0" fontId="8" fillId="5" borderId="49" xfId="2" applyFont="1" applyFill="1" applyBorder="1" applyAlignment="1">
      <alignment vertical="center" shrinkToFit="1"/>
    </xf>
    <xf numFmtId="183" fontId="8" fillId="5" borderId="15" xfId="2" applyNumberFormat="1" applyFont="1" applyFill="1" applyBorder="1" applyAlignment="1">
      <alignment vertical="center" shrinkToFit="1"/>
    </xf>
    <xf numFmtId="183" fontId="9" fillId="0" borderId="24" xfId="2" applyNumberFormat="1" applyFont="1" applyBorder="1" applyAlignment="1">
      <alignment vertical="center" shrinkToFit="1"/>
    </xf>
    <xf numFmtId="183" fontId="9" fillId="0" borderId="20" xfId="2" applyNumberFormat="1" applyFont="1" applyBorder="1">
      <alignment vertical="center"/>
    </xf>
    <xf numFmtId="183" fontId="9" fillId="0" borderId="24" xfId="2" applyNumberFormat="1" applyFont="1" applyBorder="1">
      <alignment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9" fillId="0" borderId="29" xfId="0" applyFont="1" applyBorder="1">
      <alignment vertical="center"/>
    </xf>
    <xf numFmtId="177" fontId="9" fillId="0" borderId="14" xfId="2" applyNumberFormat="1" applyFont="1" applyBorder="1" applyAlignment="1">
      <alignment vertical="center" shrinkToFit="1"/>
    </xf>
    <xf numFmtId="0" fontId="0" fillId="0" borderId="6" xfId="0" applyBorder="1" applyAlignment="1">
      <alignment horizontal="centerContinuous" vertical="center"/>
    </xf>
    <xf numFmtId="179" fontId="0" fillId="0" borderId="52" xfId="0" applyNumberFormat="1" applyBorder="1" applyAlignment="1">
      <alignment horizontal="center" vertical="center"/>
    </xf>
    <xf numFmtId="179" fontId="0" fillId="0" borderId="8" xfId="0" applyNumberFormat="1" applyBorder="1" applyAlignment="1">
      <alignment horizontal="center" vertical="center"/>
    </xf>
    <xf numFmtId="179" fontId="0" fillId="0" borderId="53" xfId="0" applyNumberFormat="1" applyBorder="1" applyAlignment="1">
      <alignment horizontal="center" vertical="center"/>
    </xf>
    <xf numFmtId="0" fontId="0" fillId="0" borderId="10" xfId="0" applyBorder="1">
      <alignment vertical="center"/>
    </xf>
    <xf numFmtId="0" fontId="0" fillId="0" borderId="8" xfId="0" applyBorder="1" applyAlignment="1">
      <alignment horizontal="right" vertical="center"/>
    </xf>
    <xf numFmtId="179" fontId="0" fillId="0" borderId="0" xfId="0" applyNumberFormat="1">
      <alignment vertical="center"/>
    </xf>
    <xf numFmtId="0" fontId="19" fillId="0" borderId="0" xfId="0" applyFont="1">
      <alignment vertical="center"/>
    </xf>
    <xf numFmtId="186" fontId="21" fillId="2" borderId="67" xfId="0" applyNumberFormat="1" applyFont="1" applyFill="1" applyBorder="1" applyAlignment="1" applyProtection="1">
      <alignment vertical="center" shrinkToFit="1"/>
      <protection locked="0"/>
    </xf>
    <xf numFmtId="186" fontId="21" fillId="2" borderId="19" xfId="0" applyNumberFormat="1" applyFont="1" applyFill="1" applyBorder="1" applyAlignment="1" applyProtection="1">
      <alignment vertical="center" shrinkToFit="1"/>
      <protection locked="0"/>
    </xf>
    <xf numFmtId="186" fontId="21" fillId="2" borderId="68" xfId="0" applyNumberFormat="1" applyFont="1" applyFill="1" applyBorder="1" applyAlignment="1" applyProtection="1">
      <alignment vertical="center" shrinkToFit="1"/>
      <protection locked="0"/>
    </xf>
    <xf numFmtId="186" fontId="21" fillId="2" borderId="8" xfId="0" applyNumberFormat="1" applyFont="1" applyFill="1" applyBorder="1" applyAlignment="1" applyProtection="1">
      <alignment vertical="center" shrinkToFit="1"/>
      <protection locked="0"/>
    </xf>
    <xf numFmtId="186" fontId="21" fillId="2" borderId="94" xfId="0" applyNumberFormat="1" applyFont="1" applyFill="1" applyBorder="1" applyAlignment="1" applyProtection="1">
      <alignment vertical="center" shrinkToFit="1"/>
      <protection locked="0"/>
    </xf>
    <xf numFmtId="186" fontId="21" fillId="2" borderId="99" xfId="0" applyNumberFormat="1" applyFont="1" applyFill="1" applyBorder="1" applyAlignment="1" applyProtection="1">
      <alignment vertical="center" shrinkToFit="1"/>
      <protection locked="0"/>
    </xf>
    <xf numFmtId="186" fontId="21" fillId="2" borderId="97" xfId="0" applyNumberFormat="1" applyFont="1" applyFill="1" applyBorder="1" applyAlignment="1" applyProtection="1">
      <alignment vertical="center" shrinkToFit="1"/>
      <protection locked="0"/>
    </xf>
    <xf numFmtId="186" fontId="21" fillId="2" borderId="6" xfId="0" applyNumberFormat="1" applyFont="1" applyFill="1" applyBorder="1" applyAlignment="1" applyProtection="1">
      <alignment vertical="center" shrinkToFit="1"/>
      <protection locked="0"/>
    </xf>
    <xf numFmtId="186" fontId="21" fillId="2" borderId="96" xfId="0" applyNumberFormat="1" applyFont="1" applyFill="1" applyBorder="1" applyAlignment="1" applyProtection="1">
      <alignment vertical="center" shrinkToFit="1"/>
      <protection locked="0"/>
    </xf>
    <xf numFmtId="0" fontId="21" fillId="0" borderId="0" xfId="0" applyFont="1" applyProtection="1">
      <alignment vertical="center"/>
    </xf>
    <xf numFmtId="0" fontId="20" fillId="0" borderId="0" xfId="0" applyFont="1" applyProtection="1">
      <alignment vertical="center"/>
    </xf>
    <xf numFmtId="0" fontId="21" fillId="0" borderId="0" xfId="0" applyFont="1" applyAlignment="1" applyProtection="1">
      <alignment horizontal="center" vertical="center"/>
    </xf>
    <xf numFmtId="0" fontId="22" fillId="0" borderId="0" xfId="0" applyFont="1" applyProtection="1">
      <alignment vertical="center"/>
    </xf>
    <xf numFmtId="0" fontId="23" fillId="0" borderId="0" xfId="0" applyFont="1" applyProtection="1">
      <alignment vertical="center"/>
    </xf>
    <xf numFmtId="185" fontId="21" fillId="0" borderId="59" xfId="0" applyNumberFormat="1" applyFont="1" applyBorder="1" applyAlignment="1" applyProtection="1">
      <alignment horizontal="center" vertical="center"/>
    </xf>
    <xf numFmtId="185" fontId="21" fillId="0" borderId="53" xfId="0" applyNumberFormat="1" applyFont="1" applyBorder="1" applyAlignment="1" applyProtection="1">
      <alignment horizontal="center" vertical="center"/>
    </xf>
    <xf numFmtId="185" fontId="21" fillId="0" borderId="60" xfId="0" applyNumberFormat="1" applyFont="1" applyBorder="1" applyAlignment="1" applyProtection="1">
      <alignment horizontal="center" vertical="center"/>
    </xf>
    <xf numFmtId="0" fontId="21" fillId="0" borderId="16" xfId="0" applyFont="1" applyBorder="1" applyAlignment="1" applyProtection="1">
      <alignment horizontal="center" vertical="center"/>
    </xf>
    <xf numFmtId="186" fontId="17" fillId="0" borderId="69" xfId="0" applyNumberFormat="1" applyFont="1" applyFill="1" applyBorder="1" applyAlignment="1" applyProtection="1">
      <alignment vertical="center" shrinkToFit="1"/>
    </xf>
    <xf numFmtId="0" fontId="21" fillId="0" borderId="25" xfId="0" applyFont="1" applyBorder="1" applyAlignment="1" applyProtection="1">
      <alignment horizontal="center" vertical="center"/>
    </xf>
    <xf numFmtId="0" fontId="21" fillId="0" borderId="108" xfId="0" applyFont="1" applyBorder="1" applyAlignment="1" applyProtection="1">
      <alignment vertical="center" shrinkToFit="1"/>
    </xf>
    <xf numFmtId="187" fontId="21" fillId="0" borderId="24" xfId="0" applyNumberFormat="1" applyFont="1" applyFill="1" applyBorder="1" applyAlignment="1" applyProtection="1">
      <alignment vertical="center" shrinkToFit="1"/>
    </xf>
    <xf numFmtId="187" fontId="21" fillId="0" borderId="70" xfId="0" applyNumberFormat="1" applyFont="1" applyFill="1" applyBorder="1" applyAlignment="1" applyProtection="1">
      <alignment vertical="center" shrinkToFit="1"/>
    </xf>
    <xf numFmtId="186" fontId="17" fillId="0" borderId="71" xfId="0" applyNumberFormat="1" applyFont="1" applyFill="1" applyBorder="1" applyAlignment="1" applyProtection="1">
      <alignment vertical="center" shrinkToFit="1"/>
    </xf>
    <xf numFmtId="0" fontId="21" fillId="0" borderId="77" xfId="0" applyFont="1" applyBorder="1" applyAlignment="1" applyProtection="1">
      <alignment horizontal="center" vertical="center"/>
    </xf>
    <xf numFmtId="0" fontId="21" fillId="0" borderId="109" xfId="0" applyFont="1" applyBorder="1" applyAlignment="1" applyProtection="1">
      <alignment vertical="center" shrinkToFit="1"/>
    </xf>
    <xf numFmtId="187" fontId="21" fillId="0" borderId="78" xfId="0" applyNumberFormat="1" applyFont="1" applyFill="1" applyBorder="1" applyAlignment="1" applyProtection="1">
      <alignment vertical="center" shrinkToFit="1"/>
    </xf>
    <xf numFmtId="187" fontId="21" fillId="0" borderId="79" xfId="0" applyNumberFormat="1" applyFont="1" applyFill="1" applyBorder="1" applyAlignment="1" applyProtection="1">
      <alignment vertical="center" shrinkToFit="1"/>
    </xf>
    <xf numFmtId="186" fontId="17" fillId="0" borderId="80" xfId="0" applyNumberFormat="1" applyFont="1" applyFill="1" applyBorder="1" applyAlignment="1" applyProtection="1">
      <alignment vertical="center" shrinkToFit="1"/>
    </xf>
    <xf numFmtId="0" fontId="21" fillId="0" borderId="83" xfId="0" applyFont="1" applyBorder="1" applyAlignment="1" applyProtection="1">
      <alignment horizontal="center" vertical="center"/>
    </xf>
    <xf numFmtId="186" fontId="21" fillId="0" borderId="84" xfId="0" applyNumberFormat="1" applyFont="1" applyFill="1" applyBorder="1" applyAlignment="1" applyProtection="1">
      <alignment vertical="center" shrinkToFit="1"/>
    </xf>
    <xf numFmtId="186" fontId="21" fillId="0" borderId="85" xfId="0" applyNumberFormat="1" applyFont="1" applyBorder="1" applyAlignment="1" applyProtection="1">
      <alignment vertical="center" shrinkToFit="1"/>
    </xf>
    <xf numFmtId="186" fontId="17" fillId="0" borderId="87" xfId="0" applyNumberFormat="1" applyFont="1" applyFill="1" applyBorder="1" applyAlignment="1" applyProtection="1">
      <alignment vertical="center" shrinkToFit="1"/>
    </xf>
    <xf numFmtId="187" fontId="21" fillId="0" borderId="0" xfId="0" applyNumberFormat="1" applyFont="1" applyProtection="1">
      <alignment vertical="center"/>
    </xf>
    <xf numFmtId="0" fontId="21" fillId="0" borderId="0" xfId="0" applyFont="1" applyFill="1" applyProtection="1">
      <alignment vertical="center"/>
    </xf>
    <xf numFmtId="0" fontId="21" fillId="0" borderId="88" xfId="0" applyFont="1" applyBorder="1" applyAlignment="1" applyProtection="1">
      <alignment horizontal="center" vertical="center"/>
    </xf>
    <xf numFmtId="185" fontId="21" fillId="0" borderId="89" xfId="0" applyNumberFormat="1" applyFont="1" applyBorder="1" applyAlignment="1" applyProtection="1">
      <alignment horizontal="center" vertical="center"/>
    </xf>
    <xf numFmtId="185" fontId="21" fillId="0" borderId="90" xfId="0" applyNumberFormat="1" applyFont="1" applyBorder="1" applyAlignment="1" applyProtection="1">
      <alignment horizontal="center" vertical="center"/>
    </xf>
    <xf numFmtId="0" fontId="21" fillId="0" borderId="68" xfId="0" applyFont="1" applyBorder="1" applyAlignment="1" applyProtection="1">
      <alignment horizontal="center" vertical="center"/>
    </xf>
    <xf numFmtId="186" fontId="17" fillId="8" borderId="92" xfId="0" applyNumberFormat="1" applyFont="1" applyFill="1" applyBorder="1" applyAlignment="1" applyProtection="1">
      <alignment vertical="center" shrinkToFit="1"/>
    </xf>
    <xf numFmtId="0" fontId="21" fillId="0" borderId="94" xfId="0" applyFont="1" applyBorder="1" applyAlignment="1" applyProtection="1">
      <alignment horizontal="center" vertical="center"/>
    </xf>
    <xf numFmtId="0" fontId="21" fillId="0" borderId="74" xfId="0" applyFont="1" applyBorder="1" applyProtection="1">
      <alignment vertical="center"/>
    </xf>
    <xf numFmtId="0" fontId="21" fillId="0" borderId="8" xfId="0" applyFont="1" applyBorder="1" applyAlignment="1" applyProtection="1">
      <alignment vertical="top" wrapText="1"/>
    </xf>
    <xf numFmtId="0" fontId="21" fillId="0" borderId="97" xfId="0" applyFont="1" applyBorder="1" applyAlignment="1" applyProtection="1">
      <alignment horizontal="center" vertical="center"/>
    </xf>
    <xf numFmtId="186" fontId="17" fillId="8" borderId="98" xfId="0" applyNumberFormat="1" applyFont="1" applyFill="1" applyBorder="1" applyAlignment="1" applyProtection="1">
      <alignment vertical="center" shrinkToFit="1"/>
    </xf>
    <xf numFmtId="0" fontId="21" fillId="0" borderId="86" xfId="0" applyFont="1" applyBorder="1" applyProtection="1">
      <alignment vertical="center"/>
    </xf>
    <xf numFmtId="186" fontId="21" fillId="0" borderId="105" xfId="0" applyNumberFormat="1" applyFont="1" applyFill="1" applyBorder="1" applyAlignment="1" applyProtection="1">
      <alignment vertical="center" shrinkToFit="1"/>
    </xf>
    <xf numFmtId="186" fontId="21" fillId="0" borderId="101" xfId="0" applyNumberFormat="1" applyFont="1" applyBorder="1" applyAlignment="1" applyProtection="1">
      <alignment vertical="center" shrinkToFit="1"/>
    </xf>
    <xf numFmtId="186" fontId="21" fillId="0" borderId="83" xfId="0" applyNumberFormat="1" applyFont="1" applyBorder="1" applyAlignment="1" applyProtection="1">
      <alignment vertical="center" shrinkToFit="1"/>
    </xf>
    <xf numFmtId="186" fontId="21" fillId="0" borderId="107" xfId="0" applyNumberFormat="1" applyFont="1" applyBorder="1" applyAlignment="1" applyProtection="1">
      <alignment vertical="center" shrinkToFit="1"/>
    </xf>
    <xf numFmtId="186" fontId="17" fillId="8" borderId="102" xfId="0" applyNumberFormat="1" applyFont="1" applyFill="1" applyBorder="1" applyAlignment="1" applyProtection="1">
      <alignment vertical="center" shrinkToFit="1"/>
    </xf>
    <xf numFmtId="0" fontId="21" fillId="0" borderId="50" xfId="0" applyFont="1" applyBorder="1" applyProtection="1">
      <alignment vertical="center"/>
    </xf>
    <xf numFmtId="0" fontId="21" fillId="0" borderId="19" xfId="0" applyFont="1" applyBorder="1" applyAlignment="1" applyProtection="1">
      <alignment horizontal="center" vertical="center"/>
    </xf>
    <xf numFmtId="186" fontId="13" fillId="0" borderId="103" xfId="0" applyNumberFormat="1" applyFont="1" applyFill="1" applyBorder="1" applyAlignment="1" applyProtection="1">
      <alignment vertical="center" shrinkToFit="1"/>
    </xf>
    <xf numFmtId="186" fontId="13" fillId="0" borderId="8" xfId="0" applyNumberFormat="1" applyFont="1" applyFill="1" applyBorder="1" applyAlignment="1" applyProtection="1">
      <alignment vertical="center" shrinkToFit="1"/>
    </xf>
    <xf numFmtId="186" fontId="13" fillId="0" borderId="94" xfId="0" applyNumberFormat="1" applyFont="1" applyFill="1" applyBorder="1" applyAlignment="1" applyProtection="1">
      <alignment vertical="center" shrinkToFit="1"/>
    </xf>
    <xf numFmtId="186" fontId="13" fillId="0" borderId="6" xfId="0" applyNumberFormat="1" applyFont="1" applyFill="1" applyBorder="1" applyAlignment="1" applyProtection="1">
      <alignment vertical="center" shrinkToFit="1"/>
    </xf>
    <xf numFmtId="0" fontId="21" fillId="0" borderId="99" xfId="0" applyFont="1" applyBorder="1" applyAlignment="1" applyProtection="1">
      <alignment horizontal="center" vertical="center"/>
    </xf>
    <xf numFmtId="186" fontId="13" fillId="0" borderId="104" xfId="0" applyNumberFormat="1" applyFont="1" applyFill="1" applyBorder="1" applyAlignment="1" applyProtection="1">
      <alignment vertical="center" shrinkToFit="1"/>
    </xf>
    <xf numFmtId="186" fontId="13" fillId="0" borderId="96" xfId="0" applyNumberFormat="1" applyFont="1" applyFill="1" applyBorder="1" applyAlignment="1" applyProtection="1">
      <alignment vertical="center" shrinkToFit="1"/>
    </xf>
    <xf numFmtId="186" fontId="13" fillId="0" borderId="97" xfId="0" applyNumberFormat="1" applyFont="1" applyFill="1" applyBorder="1" applyAlignment="1" applyProtection="1">
      <alignment vertical="center" shrinkToFit="1"/>
    </xf>
    <xf numFmtId="0" fontId="21" fillId="0" borderId="83" xfId="0" applyFont="1" applyBorder="1" applyProtection="1">
      <alignment vertical="center"/>
    </xf>
    <xf numFmtId="186" fontId="21" fillId="0" borderId="106" xfId="0" applyNumberFormat="1" applyFont="1" applyBorder="1" applyAlignment="1" applyProtection="1">
      <alignment vertical="center" shrinkToFit="1"/>
    </xf>
    <xf numFmtId="186" fontId="21" fillId="0" borderId="0" xfId="0" applyNumberFormat="1" applyFont="1" applyProtection="1">
      <alignment vertical="center"/>
    </xf>
    <xf numFmtId="0" fontId="24" fillId="0" borderId="50" xfId="0" applyFont="1" applyBorder="1" applyProtection="1">
      <alignment vertical="center"/>
    </xf>
    <xf numFmtId="0" fontId="24" fillId="0" borderId="0" xfId="0" applyFont="1" applyProtection="1">
      <alignment vertical="center"/>
    </xf>
    <xf numFmtId="179" fontId="0" fillId="0" borderId="31" xfId="0" applyNumberFormat="1" applyFill="1" applyBorder="1" applyAlignment="1">
      <alignment horizontal="center" vertical="center"/>
    </xf>
    <xf numFmtId="0" fontId="0" fillId="0" borderId="0" xfId="0" applyFill="1">
      <alignment vertical="center"/>
    </xf>
    <xf numFmtId="0" fontId="0" fillId="0" borderId="8" xfId="0" applyFill="1" applyBorder="1" applyAlignment="1">
      <alignment horizontal="center" vertical="center"/>
    </xf>
    <xf numFmtId="0" fontId="0" fillId="0" borderId="1" xfId="0" applyFill="1" applyBorder="1" applyAlignment="1">
      <alignment horizontal="center" vertical="center"/>
    </xf>
    <xf numFmtId="178" fontId="0" fillId="0" borderId="5" xfId="0" applyNumberFormat="1" applyFill="1" applyBorder="1" applyAlignment="1">
      <alignment horizontal="center" vertical="center"/>
    </xf>
    <xf numFmtId="186" fontId="13" fillId="0" borderId="99" xfId="0" applyNumberFormat="1" applyFont="1" applyFill="1" applyBorder="1" applyAlignment="1" applyProtection="1">
      <alignment vertical="center" shrinkToFit="1"/>
    </xf>
    <xf numFmtId="186" fontId="17" fillId="0" borderId="8" xfId="0" applyNumberFormat="1" applyFont="1" applyFill="1" applyBorder="1" applyAlignment="1" applyProtection="1">
      <alignment vertical="center" shrinkToFit="1"/>
    </xf>
    <xf numFmtId="186" fontId="17" fillId="0" borderId="94" xfId="0" applyNumberFormat="1" applyFont="1" applyFill="1" applyBorder="1" applyAlignment="1" applyProtection="1">
      <alignment vertical="center" shrinkToFit="1"/>
    </xf>
    <xf numFmtId="186" fontId="17" fillId="0" borderId="99" xfId="0" applyNumberFormat="1" applyFont="1" applyFill="1" applyBorder="1" applyAlignment="1" applyProtection="1">
      <alignment vertical="center" shrinkToFit="1"/>
    </xf>
    <xf numFmtId="186" fontId="17" fillId="0" borderId="97" xfId="0" applyNumberFormat="1" applyFont="1" applyFill="1" applyBorder="1" applyAlignment="1" applyProtection="1">
      <alignment vertical="center" shrinkToFit="1"/>
    </xf>
    <xf numFmtId="38" fontId="44" fillId="8" borderId="31" xfId="1" applyFont="1" applyFill="1" applyBorder="1" applyAlignment="1" applyProtection="1">
      <alignment vertical="center"/>
    </xf>
    <xf numFmtId="38" fontId="44" fillId="8" borderId="91" xfId="1" applyFont="1" applyFill="1" applyBorder="1" applyAlignment="1" applyProtection="1">
      <alignment vertical="center"/>
    </xf>
    <xf numFmtId="38" fontId="45" fillId="8" borderId="142" xfId="1" applyFont="1" applyFill="1" applyBorder="1" applyProtection="1">
      <alignment vertical="center"/>
    </xf>
    <xf numFmtId="0" fontId="31" fillId="2" borderId="114" xfId="0" applyFont="1" applyFill="1" applyBorder="1" applyAlignment="1" applyProtection="1">
      <alignment horizontal="right" vertical="center"/>
      <protection locked="0"/>
    </xf>
    <xf numFmtId="0" fontId="31" fillId="2" borderId="115" xfId="0" applyFont="1" applyFill="1" applyBorder="1" applyAlignment="1" applyProtection="1">
      <alignment horizontal="right" vertical="center"/>
      <protection locked="0"/>
    </xf>
    <xf numFmtId="0" fontId="33" fillId="2" borderId="115" xfId="0" applyFont="1" applyFill="1" applyBorder="1" applyAlignment="1" applyProtection="1">
      <alignment horizontal="right" vertical="center"/>
      <protection locked="0"/>
    </xf>
    <xf numFmtId="0" fontId="33" fillId="2" borderId="116" xfId="0" applyFont="1" applyFill="1" applyBorder="1" applyAlignment="1" applyProtection="1">
      <alignment horizontal="right" vertical="center"/>
      <protection locked="0"/>
    </xf>
    <xf numFmtId="0" fontId="31" fillId="2" borderId="119" xfId="0" applyFont="1" applyFill="1" applyBorder="1" applyAlignment="1" applyProtection="1">
      <alignment horizontal="right" vertical="center"/>
      <protection locked="0"/>
    </xf>
    <xf numFmtId="193" fontId="31" fillId="2" borderId="31" xfId="0" applyNumberFormat="1" applyFont="1" applyFill="1" applyBorder="1" applyAlignment="1" applyProtection="1">
      <alignment horizontal="right" vertical="center"/>
      <protection locked="0"/>
    </xf>
    <xf numFmtId="0" fontId="31" fillId="2" borderId="63" xfId="0" applyFont="1" applyFill="1" applyBorder="1" applyAlignment="1" applyProtection="1">
      <alignment horizontal="center" vertical="center"/>
      <protection locked="0"/>
    </xf>
    <xf numFmtId="0" fontId="27" fillId="0" borderId="0" xfId="0" applyFont="1" applyProtection="1">
      <alignment vertical="center"/>
    </xf>
    <xf numFmtId="0" fontId="28" fillId="0" borderId="0" xfId="0" applyFont="1" applyProtection="1">
      <alignment vertical="center"/>
    </xf>
    <xf numFmtId="188" fontId="28" fillId="0" borderId="0" xfId="0" applyNumberFormat="1" applyFont="1" applyProtection="1">
      <alignment vertical="center"/>
    </xf>
    <xf numFmtId="0" fontId="10" fillId="0" borderId="0" xfId="0" applyFont="1" applyProtection="1">
      <alignment vertical="center"/>
    </xf>
    <xf numFmtId="0" fontId="29" fillId="0" borderId="0" xfId="0" applyFont="1" applyProtection="1">
      <alignment vertical="center"/>
    </xf>
    <xf numFmtId="0" fontId="0" fillId="0" borderId="0" xfId="0" applyProtection="1">
      <alignment vertical="center"/>
    </xf>
    <xf numFmtId="0" fontId="30" fillId="0" borderId="0" xfId="0" applyFont="1" applyProtection="1">
      <alignment vertical="center"/>
    </xf>
    <xf numFmtId="0" fontId="31" fillId="0" borderId="0" xfId="0" applyFont="1" applyProtection="1">
      <alignment vertical="center"/>
    </xf>
    <xf numFmtId="0" fontId="31" fillId="0" borderId="0" xfId="0" applyFont="1" applyAlignment="1" applyProtection="1">
      <alignment horizontal="center" vertical="center"/>
    </xf>
    <xf numFmtId="188" fontId="31" fillId="0" borderId="0" xfId="0" applyNumberFormat="1" applyFont="1" applyProtection="1">
      <alignment vertical="center"/>
    </xf>
    <xf numFmtId="0" fontId="32" fillId="0" borderId="0" xfId="0" applyFont="1" applyProtection="1">
      <alignment vertical="center"/>
    </xf>
    <xf numFmtId="0" fontId="31" fillId="0" borderId="5" xfId="0" applyFont="1" applyBorder="1" applyAlignment="1" applyProtection="1">
      <alignment horizontal="center" vertical="center" wrapText="1"/>
    </xf>
    <xf numFmtId="0" fontId="31" fillId="0" borderId="31" xfId="0" applyFont="1" applyBorder="1" applyAlignment="1" applyProtection="1">
      <alignment horizontal="center" vertical="center" wrapText="1"/>
    </xf>
    <xf numFmtId="0" fontId="0" fillId="0" borderId="0" xfId="0" applyFill="1" applyProtection="1">
      <alignment vertical="center"/>
    </xf>
    <xf numFmtId="0" fontId="31" fillId="0" borderId="91" xfId="0" applyFont="1" applyBorder="1" applyAlignment="1" applyProtection="1">
      <alignment horizontal="center" vertical="center" wrapText="1"/>
    </xf>
    <xf numFmtId="0" fontId="0" fillId="0" borderId="5" xfId="0" applyFill="1" applyBorder="1" applyAlignment="1" applyProtection="1">
      <alignment horizontal="left" vertical="center"/>
    </xf>
    <xf numFmtId="0" fontId="0" fillId="0" borderId="6" xfId="0" applyFill="1" applyBorder="1" applyAlignment="1" applyProtection="1">
      <alignment horizontal="left" vertical="center"/>
    </xf>
    <xf numFmtId="0" fontId="0" fillId="0" borderId="1" xfId="0" applyFill="1" applyBorder="1" applyAlignment="1" applyProtection="1">
      <alignment horizontal="center" vertical="center"/>
    </xf>
    <xf numFmtId="0" fontId="0" fillId="0" borderId="8" xfId="0" applyFill="1" applyBorder="1" applyAlignment="1" applyProtection="1">
      <alignment horizontal="left" vertical="center"/>
    </xf>
    <xf numFmtId="188" fontId="31" fillId="6" borderId="111" xfId="0" applyNumberFormat="1" applyFont="1" applyFill="1" applyBorder="1" applyAlignment="1" applyProtection="1">
      <alignment horizontal="right" vertical="center"/>
    </xf>
    <xf numFmtId="178" fontId="0" fillId="0" borderId="11" xfId="0" applyNumberFormat="1" applyFill="1" applyBorder="1" applyAlignment="1" applyProtection="1">
      <alignment horizontal="left" vertical="center"/>
    </xf>
    <xf numFmtId="178" fontId="0" fillId="0" borderId="64" xfId="0" applyNumberFormat="1" applyFill="1" applyBorder="1" applyAlignment="1" applyProtection="1">
      <alignment horizontal="left" vertical="center"/>
    </xf>
    <xf numFmtId="179" fontId="0" fillId="0" borderId="31" xfId="0" applyNumberFormat="1" applyFill="1" applyBorder="1" applyAlignment="1" applyProtection="1">
      <alignment horizontal="center" vertical="center"/>
    </xf>
    <xf numFmtId="178" fontId="0" fillId="0" borderId="5" xfId="0" applyNumberFormat="1" applyFill="1" applyBorder="1" applyAlignment="1" applyProtection="1">
      <alignment horizontal="left" vertical="center"/>
    </xf>
    <xf numFmtId="178" fontId="0" fillId="0" borderId="65" xfId="0" applyNumberFormat="1" applyFill="1" applyBorder="1" applyAlignment="1" applyProtection="1">
      <alignment horizontal="left" vertical="center"/>
    </xf>
    <xf numFmtId="0" fontId="31" fillId="0" borderId="3" xfId="0" applyFont="1" applyBorder="1" applyAlignment="1" applyProtection="1">
      <alignment horizontal="left" vertical="center"/>
    </xf>
    <xf numFmtId="188" fontId="31" fillId="0" borderId="31" xfId="0" applyNumberFormat="1" applyFont="1" applyFill="1" applyBorder="1" applyAlignment="1" applyProtection="1">
      <alignment horizontal="right" vertical="center"/>
    </xf>
    <xf numFmtId="0" fontId="31" fillId="6" borderId="111" xfId="0" applyFont="1" applyFill="1" applyBorder="1" applyAlignment="1" applyProtection="1">
      <alignment horizontal="right" vertical="center"/>
    </xf>
    <xf numFmtId="0" fontId="31" fillId="0" borderId="13" xfId="0" applyFont="1" applyBorder="1" applyAlignment="1" applyProtection="1">
      <alignment horizontal="left" vertical="center"/>
    </xf>
    <xf numFmtId="0" fontId="31" fillId="0" borderId="23" xfId="0" applyFont="1" applyBorder="1" applyProtection="1">
      <alignment vertical="center"/>
    </xf>
    <xf numFmtId="178" fontId="0" fillId="0" borderId="0" xfId="0" applyNumberFormat="1" applyFill="1" applyBorder="1" applyAlignment="1" applyProtection="1">
      <alignment horizontal="left" vertical="center"/>
    </xf>
    <xf numFmtId="0" fontId="31" fillId="0" borderId="113" xfId="0" applyFont="1" applyBorder="1" applyAlignment="1" applyProtection="1">
      <alignment horizontal="left" vertical="center"/>
    </xf>
    <xf numFmtId="0" fontId="31" fillId="0" borderId="23" xfId="0" applyFont="1" applyBorder="1" applyAlignment="1" applyProtection="1">
      <alignment horizontal="left" vertical="center"/>
    </xf>
    <xf numFmtId="0" fontId="34" fillId="0" borderId="0" xfId="0" applyFont="1" applyAlignment="1" applyProtection="1">
      <alignment horizontal="center" vertical="center"/>
    </xf>
    <xf numFmtId="0" fontId="31" fillId="0" borderId="29" xfId="0" applyFont="1" applyBorder="1" applyProtection="1">
      <alignment vertical="center"/>
    </xf>
    <xf numFmtId="0" fontId="31" fillId="0" borderId="11" xfId="0" applyFont="1" applyBorder="1" applyProtection="1">
      <alignment vertical="center"/>
    </xf>
    <xf numFmtId="0" fontId="31" fillId="0" borderId="27" xfId="0" applyFont="1" applyBorder="1" applyProtection="1">
      <alignment vertical="center"/>
    </xf>
    <xf numFmtId="0" fontId="31" fillId="0" borderId="0" xfId="0" applyFont="1" applyAlignment="1" applyProtection="1">
      <alignment vertical="top" wrapText="1"/>
    </xf>
    <xf numFmtId="0" fontId="31" fillId="0" borderId="0" xfId="0" applyFont="1" applyAlignment="1" applyProtection="1">
      <alignment vertical="center" wrapText="1"/>
    </xf>
    <xf numFmtId="0" fontId="31" fillId="0" borderId="0" xfId="0" applyFont="1" applyAlignment="1" applyProtection="1">
      <alignment vertical="top"/>
    </xf>
    <xf numFmtId="0" fontId="31" fillId="0" borderId="5" xfId="0" applyFont="1" applyBorder="1" applyProtection="1">
      <alignment vertical="center"/>
    </xf>
    <xf numFmtId="0" fontId="31" fillId="0" borderId="7" xfId="0" applyFont="1" applyBorder="1" applyProtection="1">
      <alignment vertical="center"/>
    </xf>
    <xf numFmtId="0" fontId="31" fillId="0" borderId="74" xfId="0" applyFont="1" applyBorder="1" applyAlignment="1" applyProtection="1">
      <alignment horizontal="center" vertical="center" wrapText="1"/>
    </xf>
    <xf numFmtId="188" fontId="31" fillId="0" borderId="65" xfId="0" applyNumberFormat="1" applyFont="1" applyBorder="1" applyAlignment="1" applyProtection="1">
      <alignment horizontal="center" vertical="center" wrapText="1"/>
    </xf>
    <xf numFmtId="0" fontId="31" fillId="0" borderId="9" xfId="0" applyFont="1" applyBorder="1" applyAlignment="1" applyProtection="1">
      <alignment horizontal="center" vertical="center" wrapText="1"/>
    </xf>
    <xf numFmtId="0" fontId="31" fillId="0" borderId="3" xfId="0" applyFont="1" applyBorder="1" applyAlignment="1" applyProtection="1">
      <alignment horizontal="right" vertical="center"/>
    </xf>
    <xf numFmtId="0" fontId="31" fillId="0" borderId="2" xfId="0" applyFont="1" applyBorder="1" applyProtection="1">
      <alignment vertical="center"/>
    </xf>
    <xf numFmtId="0" fontId="31" fillId="0" borderId="120" xfId="0" applyFont="1" applyBorder="1" applyProtection="1">
      <alignment vertical="center"/>
    </xf>
    <xf numFmtId="188" fontId="31" fillId="0" borderId="121" xfId="0" applyNumberFormat="1" applyFont="1" applyBorder="1" applyProtection="1">
      <alignment vertical="center"/>
    </xf>
    <xf numFmtId="188" fontId="31" fillId="0" borderId="66" xfId="0" applyNumberFormat="1" applyFont="1" applyBorder="1" applyProtection="1">
      <alignment vertical="center"/>
    </xf>
    <xf numFmtId="189" fontId="36" fillId="0" borderId="121" xfId="0" applyNumberFormat="1" applyFont="1" applyBorder="1" applyProtection="1">
      <alignment vertical="center"/>
    </xf>
    <xf numFmtId="0" fontId="31" fillId="0" borderId="1" xfId="0" applyFont="1" applyBorder="1" applyProtection="1">
      <alignment vertical="center"/>
    </xf>
    <xf numFmtId="0" fontId="31" fillId="0" borderId="14" xfId="0" applyFont="1" applyBorder="1" applyAlignment="1" applyProtection="1">
      <alignment horizontal="right" vertical="center"/>
    </xf>
    <xf numFmtId="0" fontId="31" fillId="0" borderId="16" xfId="0" applyFont="1" applyBorder="1" applyProtection="1">
      <alignment vertical="center"/>
    </xf>
    <xf numFmtId="0" fontId="31" fillId="0" borderId="28" xfId="0" applyFont="1" applyBorder="1" applyProtection="1">
      <alignment vertical="center"/>
    </xf>
    <xf numFmtId="0" fontId="31" fillId="0" borderId="122" xfId="0" applyFont="1" applyBorder="1" applyProtection="1">
      <alignment vertical="center"/>
    </xf>
    <xf numFmtId="188" fontId="37" fillId="6" borderId="68" xfId="0" applyNumberFormat="1" applyFont="1" applyFill="1" applyBorder="1" applyAlignment="1" applyProtection="1">
      <alignment horizontal="right" vertical="center"/>
    </xf>
    <xf numFmtId="190" fontId="38" fillId="6" borderId="122" xfId="0" applyNumberFormat="1" applyFont="1" applyFill="1" applyBorder="1" applyProtection="1">
      <alignment vertical="center"/>
    </xf>
    <xf numFmtId="189" fontId="39" fillId="0" borderId="69" xfId="0" applyNumberFormat="1" applyFont="1" applyFill="1" applyBorder="1" applyProtection="1">
      <alignment vertical="center"/>
    </xf>
    <xf numFmtId="0" fontId="31" fillId="0" borderId="20" xfId="0" applyFont="1" applyBorder="1" applyProtection="1">
      <alignment vertical="center"/>
    </xf>
    <xf numFmtId="0" fontId="31" fillId="0" borderId="123" xfId="0" applyFont="1" applyFill="1" applyBorder="1" applyAlignment="1" applyProtection="1">
      <alignment horizontal="center" vertical="center"/>
    </xf>
    <xf numFmtId="188" fontId="37" fillId="0" borderId="124" xfId="0" applyNumberFormat="1" applyFont="1" applyBorder="1" applyAlignment="1" applyProtection="1">
      <alignment horizontal="right" vertical="center"/>
    </xf>
    <xf numFmtId="190" fontId="38" fillId="0" borderId="123" xfId="0" applyNumberFormat="1" applyFont="1" applyBorder="1" applyProtection="1">
      <alignment vertical="center"/>
    </xf>
    <xf numFmtId="189" fontId="39" fillId="0" borderId="125" xfId="0" applyNumberFormat="1" applyFont="1" applyFill="1" applyBorder="1" applyProtection="1">
      <alignment vertical="center"/>
    </xf>
    <xf numFmtId="0" fontId="31" fillId="6" borderId="21" xfId="0" applyFont="1" applyFill="1" applyBorder="1" applyAlignment="1" applyProtection="1">
      <alignment horizontal="center" vertical="center"/>
    </xf>
    <xf numFmtId="0" fontId="31" fillId="0" borderId="21" xfId="0" applyFont="1" applyBorder="1" applyProtection="1">
      <alignment vertical="center"/>
    </xf>
    <xf numFmtId="188" fontId="31" fillId="0" borderId="123" xfId="0" applyNumberFormat="1" applyFont="1" applyBorder="1" applyProtection="1">
      <alignment vertical="center"/>
    </xf>
    <xf numFmtId="188" fontId="37" fillId="6" borderId="124" xfId="0" applyNumberFormat="1" applyFont="1" applyFill="1" applyBorder="1" applyAlignment="1" applyProtection="1">
      <alignment horizontal="right" vertical="center"/>
    </xf>
    <xf numFmtId="190" fontId="38" fillId="6" borderId="123" xfId="0" applyNumberFormat="1" applyFont="1" applyFill="1" applyBorder="1" applyProtection="1">
      <alignment vertical="center"/>
    </xf>
    <xf numFmtId="188" fontId="31" fillId="0" borderId="23" xfId="0" applyNumberFormat="1" applyFont="1" applyBorder="1" applyProtection="1">
      <alignment vertical="center"/>
    </xf>
    <xf numFmtId="188" fontId="37" fillId="6" borderId="126" xfId="0" applyNumberFormat="1" applyFont="1" applyFill="1" applyBorder="1" applyAlignment="1" applyProtection="1">
      <alignment horizontal="right" vertical="center"/>
    </xf>
    <xf numFmtId="0" fontId="31" fillId="0" borderId="49" xfId="0" applyFont="1" applyBorder="1" applyProtection="1">
      <alignment vertical="center"/>
    </xf>
    <xf numFmtId="0" fontId="31" fillId="0" borderId="18" xfId="0" applyFont="1" applyBorder="1" applyProtection="1">
      <alignment vertical="center"/>
    </xf>
    <xf numFmtId="0" fontId="31" fillId="0" borderId="127" xfId="0" applyFont="1" applyBorder="1" applyProtection="1">
      <alignment vertical="center"/>
    </xf>
    <xf numFmtId="190" fontId="38" fillId="6" borderId="127" xfId="0" applyNumberFormat="1" applyFont="1" applyFill="1" applyBorder="1" applyProtection="1">
      <alignment vertical="center"/>
    </xf>
    <xf numFmtId="189" fontId="39" fillId="0" borderId="128" xfId="0" applyNumberFormat="1" applyFont="1" applyFill="1" applyBorder="1" applyProtection="1">
      <alignment vertical="center"/>
    </xf>
    <xf numFmtId="190" fontId="38" fillId="6" borderId="127" xfId="0" applyNumberFormat="1" applyFont="1" applyFill="1" applyBorder="1" applyAlignment="1" applyProtection="1">
      <alignment horizontal="right" vertical="center"/>
    </xf>
    <xf numFmtId="0" fontId="33" fillId="0" borderId="20" xfId="0" applyFont="1" applyBorder="1" applyProtection="1">
      <alignment vertical="center"/>
    </xf>
    <xf numFmtId="0" fontId="33" fillId="0" borderId="123" xfId="0" applyFont="1" applyFill="1" applyBorder="1" applyAlignment="1" applyProtection="1">
      <alignment horizontal="center" vertical="center"/>
    </xf>
    <xf numFmtId="188" fontId="37" fillId="0" borderId="129" xfId="0" applyNumberFormat="1" applyFont="1" applyBorder="1" applyAlignment="1" applyProtection="1">
      <alignment horizontal="right" vertical="center"/>
    </xf>
    <xf numFmtId="190" fontId="38" fillId="0" borderId="72" xfId="0" applyNumberFormat="1" applyFont="1" applyBorder="1" applyProtection="1">
      <alignment vertical="center"/>
    </xf>
    <xf numFmtId="189" fontId="39" fillId="0" borderId="110" xfId="0" applyNumberFormat="1" applyFont="1" applyFill="1" applyBorder="1" applyProtection="1">
      <alignment vertical="center"/>
    </xf>
    <xf numFmtId="0" fontId="33" fillId="6" borderId="21" xfId="0" applyFont="1" applyFill="1" applyBorder="1" applyAlignment="1" applyProtection="1">
      <alignment horizontal="center" vertical="center"/>
    </xf>
    <xf numFmtId="0" fontId="31" fillId="0" borderId="77" xfId="0" applyFont="1" applyBorder="1" applyProtection="1">
      <alignment vertical="center"/>
    </xf>
    <xf numFmtId="0" fontId="31" fillId="0" borderId="130" xfId="0" applyFont="1" applyBorder="1" applyProtection="1">
      <alignment vertical="center"/>
    </xf>
    <xf numFmtId="0" fontId="31" fillId="0" borderId="131" xfId="0" applyFont="1" applyBorder="1" applyProtection="1">
      <alignment vertical="center"/>
    </xf>
    <xf numFmtId="188" fontId="37" fillId="6" borderId="79" xfId="0" applyNumberFormat="1" applyFont="1" applyFill="1" applyBorder="1" applyAlignment="1" applyProtection="1">
      <alignment horizontal="right" vertical="center"/>
    </xf>
    <xf numFmtId="190" fontId="38" fillId="6" borderId="131" xfId="0" applyNumberFormat="1" applyFont="1" applyFill="1" applyBorder="1" applyProtection="1">
      <alignment vertical="center"/>
    </xf>
    <xf numFmtId="189" fontId="39" fillId="0" borderId="80" xfId="0" applyNumberFormat="1" applyFont="1" applyFill="1" applyBorder="1" applyProtection="1">
      <alignment vertical="center"/>
    </xf>
    <xf numFmtId="188" fontId="37" fillId="6" borderId="132" xfId="0" applyNumberFormat="1" applyFont="1" applyFill="1" applyBorder="1" applyAlignment="1" applyProtection="1">
      <alignment horizontal="right" vertical="center"/>
    </xf>
    <xf numFmtId="0" fontId="31" fillId="0" borderId="13" xfId="0" applyFont="1" applyBorder="1" applyAlignment="1" applyProtection="1">
      <alignment horizontal="right" vertical="center"/>
    </xf>
    <xf numFmtId="0" fontId="31" fillId="0" borderId="10" xfId="0" applyFont="1" applyBorder="1" applyProtection="1">
      <alignment vertical="center"/>
    </xf>
    <xf numFmtId="188" fontId="31" fillId="0" borderId="133" xfId="0" applyNumberFormat="1" applyFont="1" applyBorder="1" applyAlignment="1" applyProtection="1">
      <alignment horizontal="right" vertical="center"/>
    </xf>
    <xf numFmtId="188" fontId="31" fillId="0" borderId="65" xfId="0" applyNumberFormat="1" applyFont="1" applyBorder="1" applyAlignment="1" applyProtection="1">
      <alignment horizontal="right" vertical="center"/>
    </xf>
    <xf numFmtId="191" fontId="38" fillId="0" borderId="62" xfId="0" applyNumberFormat="1" applyFont="1" applyBorder="1" applyProtection="1">
      <alignment vertical="center"/>
    </xf>
    <xf numFmtId="189" fontId="33" fillId="0" borderId="65" xfId="0" applyNumberFormat="1" applyFont="1" applyFill="1" applyBorder="1" applyProtection="1">
      <alignment vertical="center"/>
    </xf>
    <xf numFmtId="188" fontId="31" fillId="0" borderId="9" xfId="0" applyNumberFormat="1" applyFont="1" applyBorder="1" applyAlignment="1" applyProtection="1">
      <alignment horizontal="right" vertical="center"/>
    </xf>
    <xf numFmtId="0" fontId="31" fillId="0" borderId="5" xfId="0" applyFont="1" applyBorder="1" applyAlignment="1" applyProtection="1">
      <alignment horizontal="center" vertical="center"/>
    </xf>
    <xf numFmtId="0" fontId="31" fillId="0" borderId="7" xfId="0" applyFont="1" applyBorder="1" applyAlignment="1" applyProtection="1">
      <alignment horizontal="left" vertical="center"/>
    </xf>
    <xf numFmtId="188" fontId="40" fillId="0" borderId="103" xfId="0" applyNumberFormat="1" applyFont="1" applyBorder="1" applyProtection="1">
      <alignment vertical="center"/>
    </xf>
    <xf numFmtId="188" fontId="40" fillId="0" borderId="64" xfId="0" applyNumberFormat="1" applyFont="1" applyBorder="1" applyProtection="1">
      <alignment vertical="center"/>
    </xf>
    <xf numFmtId="188" fontId="38" fillId="0" borderId="63" xfId="0" applyNumberFormat="1" applyFont="1" applyBorder="1" applyProtection="1">
      <alignment vertical="center"/>
    </xf>
    <xf numFmtId="189" fontId="31" fillId="0" borderId="64" xfId="0" applyNumberFormat="1" applyFont="1" applyFill="1" applyBorder="1" applyProtection="1">
      <alignment vertical="center"/>
    </xf>
    <xf numFmtId="188" fontId="40" fillId="0" borderId="8" xfId="0" applyNumberFormat="1" applyFont="1" applyBorder="1" applyProtection="1">
      <alignment vertical="center"/>
    </xf>
    <xf numFmtId="0" fontId="31" fillId="0" borderId="103" xfId="0" applyFont="1" applyFill="1" applyBorder="1" applyAlignment="1" applyProtection="1">
      <alignment horizontal="center" vertical="center"/>
    </xf>
    <xf numFmtId="0" fontId="31" fillId="0" borderId="63" xfId="0" applyFont="1" applyFill="1" applyBorder="1" applyAlignment="1" applyProtection="1">
      <alignment horizontal="center" vertical="center"/>
    </xf>
    <xf numFmtId="0" fontId="31" fillId="0" borderId="94" xfId="0" applyFont="1" applyBorder="1" applyProtection="1">
      <alignment vertical="center"/>
    </xf>
    <xf numFmtId="0" fontId="31" fillId="0" borderId="120" xfId="0" applyFont="1" applyFill="1" applyBorder="1" applyAlignment="1" applyProtection="1">
      <alignment horizontal="center" vertical="center"/>
    </xf>
    <xf numFmtId="188" fontId="40" fillId="0" borderId="121" xfId="0" applyNumberFormat="1" applyFont="1" applyBorder="1" applyProtection="1">
      <alignment vertical="center"/>
    </xf>
    <xf numFmtId="0" fontId="31" fillId="0" borderId="62" xfId="0" applyFont="1" applyFill="1" applyBorder="1" applyAlignment="1" applyProtection="1">
      <alignment horizontal="center" vertical="center"/>
    </xf>
    <xf numFmtId="188" fontId="40" fillId="0" borderId="65" xfId="0" applyNumberFormat="1" applyFont="1" applyBorder="1" applyProtection="1">
      <alignment vertical="center"/>
    </xf>
    <xf numFmtId="0" fontId="31" fillId="0" borderId="3" xfId="0" applyFont="1" applyBorder="1" applyAlignment="1" applyProtection="1">
      <alignment horizontal="center" vertical="center"/>
    </xf>
    <xf numFmtId="0" fontId="31" fillId="0" borderId="28" xfId="0" applyFont="1" applyBorder="1" applyAlignment="1" applyProtection="1">
      <alignment horizontal="left" vertical="center"/>
    </xf>
    <xf numFmtId="0" fontId="31" fillId="0" borderId="69" xfId="0" applyFont="1" applyBorder="1" applyAlignment="1" applyProtection="1">
      <alignment horizontal="left" vertical="center"/>
    </xf>
    <xf numFmtId="0" fontId="31" fillId="0" borderId="134" xfId="0" applyFont="1" applyFill="1" applyBorder="1" applyAlignment="1" applyProtection="1">
      <alignment horizontal="center" vertical="center"/>
    </xf>
    <xf numFmtId="188" fontId="40" fillId="0" borderId="69" xfId="0" applyNumberFormat="1" applyFont="1" applyBorder="1" applyProtection="1">
      <alignment vertical="center"/>
    </xf>
    <xf numFmtId="188" fontId="38" fillId="0" borderId="122" xfId="0" applyNumberFormat="1" applyFont="1" applyBorder="1" applyProtection="1">
      <alignment vertical="center"/>
    </xf>
    <xf numFmtId="189" fontId="31" fillId="0" borderId="125" xfId="0" applyNumberFormat="1" applyFont="1" applyFill="1" applyBorder="1" applyProtection="1">
      <alignment vertical="center"/>
    </xf>
    <xf numFmtId="189" fontId="31" fillId="0" borderId="69" xfId="0" applyNumberFormat="1" applyFont="1" applyFill="1" applyBorder="1" applyProtection="1">
      <alignment vertical="center"/>
    </xf>
    <xf numFmtId="0" fontId="31" fillId="0" borderId="62" xfId="0" applyFont="1" applyBorder="1" applyAlignment="1" applyProtection="1">
      <alignment horizontal="center" vertical="center" wrapText="1"/>
    </xf>
    <xf numFmtId="0" fontId="31" fillId="0" borderId="65" xfId="0" applyFont="1" applyBorder="1" applyAlignment="1" applyProtection="1">
      <alignment horizontal="center" vertical="center" wrapText="1"/>
    </xf>
    <xf numFmtId="0" fontId="33" fillId="0" borderId="7" xfId="0" applyFont="1" applyBorder="1" applyAlignment="1" applyProtection="1">
      <alignment horizontal="left" vertical="center"/>
    </xf>
    <xf numFmtId="192" fontId="31" fillId="0" borderId="64" xfId="0" applyNumberFormat="1" applyFont="1" applyFill="1" applyBorder="1" applyProtection="1">
      <alignment vertical="center"/>
    </xf>
    <xf numFmtId="188" fontId="31" fillId="0" borderId="63" xfId="0" applyNumberFormat="1" applyFont="1" applyBorder="1" applyProtection="1">
      <alignment vertical="center"/>
    </xf>
    <xf numFmtId="0" fontId="31" fillId="0" borderId="135" xfId="0" applyFont="1" applyBorder="1" applyAlignment="1" applyProtection="1">
      <alignment horizontal="left" vertical="center"/>
    </xf>
    <xf numFmtId="0" fontId="31" fillId="0" borderId="136" xfId="0" applyFont="1" applyBorder="1" applyAlignment="1" applyProtection="1">
      <alignment horizontal="left" vertical="center"/>
    </xf>
    <xf numFmtId="0" fontId="31" fillId="0" borderId="95" xfId="0" applyFont="1" applyBorder="1" applyAlignment="1" applyProtection="1">
      <alignment horizontal="center" vertical="center"/>
    </xf>
    <xf numFmtId="188" fontId="40" fillId="0" borderId="137" xfId="0" applyNumberFormat="1" applyFont="1" applyBorder="1" applyProtection="1">
      <alignment vertical="center"/>
    </xf>
    <xf numFmtId="188" fontId="37" fillId="6" borderId="95" xfId="0" applyNumberFormat="1" applyFont="1" applyFill="1" applyBorder="1" applyAlignment="1" applyProtection="1">
      <alignment horizontal="right" vertical="center"/>
    </xf>
    <xf numFmtId="189" fontId="31" fillId="0" borderId="138" xfId="0" applyNumberFormat="1" applyFont="1" applyFill="1" applyBorder="1" applyProtection="1">
      <alignment vertical="center"/>
    </xf>
    <xf numFmtId="0" fontId="31" fillId="0" borderId="136" xfId="0" applyFont="1" applyBorder="1" applyAlignment="1" applyProtection="1">
      <alignment horizontal="center" vertical="center"/>
    </xf>
    <xf numFmtId="0" fontId="33" fillId="0" borderId="13" xfId="0" applyFont="1" applyBorder="1" applyProtection="1">
      <alignment vertical="center"/>
    </xf>
    <xf numFmtId="0" fontId="31" fillId="0" borderId="72" xfId="0" applyFont="1" applyBorder="1" applyProtection="1">
      <alignment vertical="center"/>
    </xf>
    <xf numFmtId="188" fontId="31" fillId="0" borderId="110" xfId="0" applyNumberFormat="1" applyFont="1" applyBorder="1" applyProtection="1">
      <alignment vertical="center"/>
    </xf>
    <xf numFmtId="188" fontId="38" fillId="0" borderId="72" xfId="0" applyNumberFormat="1" applyFont="1" applyBorder="1" applyProtection="1">
      <alignment vertical="center"/>
    </xf>
    <xf numFmtId="189" fontId="33" fillId="0" borderId="110" xfId="0" applyNumberFormat="1" applyFont="1" applyFill="1" applyBorder="1" applyProtection="1">
      <alignment vertical="center"/>
    </xf>
    <xf numFmtId="0" fontId="41" fillId="0" borderId="54" xfId="0" applyFont="1" applyBorder="1" applyProtection="1">
      <alignment vertical="center"/>
    </xf>
    <xf numFmtId="0" fontId="42" fillId="0" borderId="55" xfId="0" applyFont="1" applyBorder="1" applyProtection="1">
      <alignment vertical="center"/>
    </xf>
    <xf numFmtId="0" fontId="42" fillId="0" borderId="54" xfId="0" applyFont="1" applyBorder="1" applyProtection="1">
      <alignment vertical="center"/>
    </xf>
    <xf numFmtId="188" fontId="42" fillId="0" borderId="56" xfId="0" applyNumberFormat="1" applyFont="1" applyBorder="1" applyProtection="1">
      <alignment vertical="center"/>
    </xf>
    <xf numFmtId="188" fontId="43" fillId="0" borderId="54" xfId="0" applyNumberFormat="1" applyFont="1" applyBorder="1" applyProtection="1">
      <alignment vertical="center"/>
    </xf>
    <xf numFmtId="188" fontId="32" fillId="8" borderId="56" xfId="0" applyNumberFormat="1" applyFont="1" applyFill="1" applyBorder="1" applyProtection="1">
      <alignment vertical="center"/>
    </xf>
    <xf numFmtId="189" fontId="31" fillId="0" borderId="0" xfId="0" applyNumberFormat="1" applyFont="1" applyProtection="1">
      <alignment vertical="center"/>
    </xf>
    <xf numFmtId="0" fontId="41" fillId="0" borderId="0" xfId="0" applyFont="1" applyProtection="1">
      <alignment vertical="center"/>
    </xf>
    <xf numFmtId="188" fontId="40" fillId="0" borderId="0" xfId="0" applyNumberFormat="1" applyFont="1" applyProtection="1">
      <alignment vertical="center"/>
    </xf>
    <xf numFmtId="188" fontId="44" fillId="0" borderId="0" xfId="0" applyNumberFormat="1" applyFont="1" applyAlignment="1" applyProtection="1">
      <alignment horizontal="center" vertical="center"/>
    </xf>
    <xf numFmtId="189" fontId="44" fillId="0" borderId="0" xfId="0" applyNumberFormat="1" applyFont="1" applyAlignment="1" applyProtection="1">
      <alignment horizontal="center" vertical="center"/>
    </xf>
    <xf numFmtId="0" fontId="32" fillId="0" borderId="54" xfId="0" applyFont="1" applyBorder="1" applyProtection="1">
      <alignment vertical="center"/>
    </xf>
    <xf numFmtId="0" fontId="32" fillId="0" borderId="55" xfId="0" applyFont="1" applyBorder="1" applyProtection="1">
      <alignment vertical="center"/>
    </xf>
    <xf numFmtId="188" fontId="31" fillId="0" borderId="55" xfId="0" applyNumberFormat="1" applyFont="1" applyBorder="1" applyProtection="1">
      <alignment vertical="center"/>
    </xf>
    <xf numFmtId="190" fontId="38" fillId="6" borderId="31" xfId="0" applyNumberFormat="1" applyFont="1" applyFill="1" applyBorder="1" applyProtection="1">
      <alignment vertical="center"/>
    </xf>
    <xf numFmtId="188" fontId="41" fillId="8" borderId="31" xfId="0" applyNumberFormat="1" applyFont="1" applyFill="1" applyBorder="1" applyProtection="1">
      <alignment vertical="center"/>
    </xf>
    <xf numFmtId="0" fontId="32" fillId="0" borderId="100" xfId="0" applyFont="1" applyBorder="1" applyProtection="1">
      <alignment vertical="center"/>
    </xf>
    <xf numFmtId="0" fontId="32" fillId="0" borderId="139" xfId="0" applyFont="1" applyBorder="1" applyProtection="1">
      <alignment vertical="center"/>
    </xf>
    <xf numFmtId="0" fontId="42" fillId="0" borderId="139" xfId="0" applyFont="1" applyBorder="1" applyProtection="1">
      <alignment vertical="center"/>
    </xf>
    <xf numFmtId="188" fontId="31" fillId="0" borderId="139" xfId="0" applyNumberFormat="1" applyFont="1" applyBorder="1" applyProtection="1">
      <alignment vertical="center"/>
    </xf>
    <xf numFmtId="190" fontId="38" fillId="6" borderId="102" xfId="0" applyNumberFormat="1" applyFont="1" applyFill="1" applyBorder="1" applyProtection="1">
      <alignment vertical="center"/>
    </xf>
    <xf numFmtId="188" fontId="41" fillId="8" borderId="102" xfId="0" applyNumberFormat="1" applyFont="1" applyFill="1" applyBorder="1" applyProtection="1">
      <alignment vertical="center"/>
    </xf>
    <xf numFmtId="38" fontId="32" fillId="0" borderId="54" xfId="1" applyFont="1" applyBorder="1" applyProtection="1">
      <alignment vertical="center"/>
    </xf>
    <xf numFmtId="38" fontId="41" fillId="0" borderId="55" xfId="1" applyFont="1" applyBorder="1" applyProtection="1">
      <alignment vertical="center"/>
    </xf>
    <xf numFmtId="38" fontId="32" fillId="0" borderId="55" xfId="1" applyFont="1" applyBorder="1" applyProtection="1">
      <alignment vertical="center"/>
    </xf>
    <xf numFmtId="38" fontId="32" fillId="0" borderId="55" xfId="1" applyFont="1" applyFill="1" applyBorder="1" applyProtection="1">
      <alignment vertical="center"/>
    </xf>
    <xf numFmtId="38" fontId="45" fillId="0" borderId="55" xfId="1" applyFont="1" applyBorder="1" applyProtection="1">
      <alignment vertical="center"/>
    </xf>
    <xf numFmtId="38" fontId="32" fillId="0" borderId="140" xfId="1" applyFont="1" applyBorder="1" applyProtection="1">
      <alignment vertical="center"/>
    </xf>
    <xf numFmtId="38" fontId="32" fillId="0" borderId="141" xfId="1" applyFont="1" applyBorder="1" applyProtection="1">
      <alignment vertical="center"/>
    </xf>
    <xf numFmtId="38" fontId="32" fillId="0" borderId="141" xfId="1" applyFont="1" applyFill="1" applyBorder="1" applyProtection="1">
      <alignment vertical="center"/>
    </xf>
    <xf numFmtId="38" fontId="45" fillId="0" borderId="141" xfId="1" applyFont="1" applyBorder="1" applyProtection="1">
      <alignment vertical="center"/>
    </xf>
    <xf numFmtId="38" fontId="45" fillId="0" borderId="100" xfId="1" applyFont="1" applyBorder="1" applyProtection="1">
      <alignment vertical="center"/>
    </xf>
    <xf numFmtId="38" fontId="32" fillId="0" borderId="139" xfId="1" applyFont="1" applyBorder="1" applyAlignment="1" applyProtection="1">
      <alignment horizontal="center" vertical="center"/>
    </xf>
    <xf numFmtId="38" fontId="45" fillId="0" borderId="139" xfId="1" applyFont="1" applyBorder="1" applyProtection="1">
      <alignment vertical="center"/>
    </xf>
    <xf numFmtId="0" fontId="0" fillId="2" borderId="31" xfId="0" applyFill="1" applyBorder="1" applyAlignment="1" applyProtection="1">
      <alignment horizontal="center" vertical="center"/>
      <protection locked="0"/>
    </xf>
    <xf numFmtId="179" fontId="0" fillId="7" borderId="31" xfId="0" applyNumberFormat="1" applyFill="1" applyBorder="1" applyAlignment="1" applyProtection="1">
      <alignment horizontal="center" vertical="center"/>
      <protection locked="0"/>
    </xf>
    <xf numFmtId="179" fontId="0" fillId="2" borderId="31" xfId="0" applyNumberFormat="1" applyFill="1" applyBorder="1" applyAlignment="1" applyProtection="1">
      <alignment horizontal="center" vertical="center"/>
      <protection locked="0"/>
    </xf>
    <xf numFmtId="0" fontId="0" fillId="2" borderId="31" xfId="0" applyFill="1" applyBorder="1" applyProtection="1">
      <alignment vertical="center"/>
      <protection locked="0"/>
    </xf>
    <xf numFmtId="0" fontId="0" fillId="7" borderId="31" xfId="0" applyFill="1" applyBorder="1" applyAlignment="1" applyProtection="1">
      <alignment horizontal="center" vertical="center"/>
      <protection locked="0"/>
    </xf>
    <xf numFmtId="184" fontId="0" fillId="7" borderId="31" xfId="0" applyNumberFormat="1" applyFill="1" applyBorder="1" applyAlignment="1" applyProtection="1">
      <alignment horizontal="center" vertical="center"/>
      <protection locked="0"/>
    </xf>
    <xf numFmtId="181" fontId="0" fillId="2" borderId="31" xfId="0" applyNumberFormat="1" applyFill="1" applyBorder="1" applyProtection="1">
      <alignment vertical="center"/>
      <protection locked="0"/>
    </xf>
    <xf numFmtId="0" fontId="49" fillId="0" borderId="0" xfId="0" applyFont="1">
      <alignment vertical="center"/>
    </xf>
    <xf numFmtId="0" fontId="50" fillId="0" borderId="0" xfId="0" applyFont="1">
      <alignment vertical="center"/>
    </xf>
    <xf numFmtId="0" fontId="50" fillId="0" borderId="8" xfId="0" applyFont="1" applyBorder="1">
      <alignment vertical="center"/>
    </xf>
    <xf numFmtId="180" fontId="50" fillId="0" borderId="8" xfId="0" applyNumberFormat="1" applyFont="1" applyBorder="1">
      <alignment vertical="center"/>
    </xf>
    <xf numFmtId="182" fontId="50" fillId="0" borderId="8" xfId="1" applyNumberFormat="1" applyFont="1" applyBorder="1">
      <alignment vertical="center"/>
    </xf>
    <xf numFmtId="179" fontId="50" fillId="0" borderId="8" xfId="0" applyNumberFormat="1" applyFont="1" applyBorder="1">
      <alignment vertical="center"/>
    </xf>
    <xf numFmtId="0" fontId="51" fillId="0" borderId="0" xfId="0" applyFont="1">
      <alignment vertical="center"/>
    </xf>
    <xf numFmtId="186" fontId="16" fillId="2" borderId="103" xfId="0" applyNumberFormat="1" applyFont="1" applyFill="1" applyBorder="1" applyAlignment="1" applyProtection="1">
      <alignment vertical="center" shrinkToFit="1"/>
      <protection locked="0"/>
    </xf>
    <xf numFmtId="186" fontId="16" fillId="2" borderId="104" xfId="0" applyNumberFormat="1" applyFont="1" applyFill="1" applyBorder="1" applyAlignment="1" applyProtection="1">
      <alignment vertical="center" shrinkToFit="1"/>
      <protection locked="0"/>
    </xf>
    <xf numFmtId="0" fontId="52" fillId="0" borderId="0" xfId="0" applyFont="1">
      <alignment vertical="center"/>
    </xf>
    <xf numFmtId="0" fontId="53" fillId="0" borderId="0" xfId="0" applyFont="1">
      <alignment vertical="center"/>
    </xf>
    <xf numFmtId="0" fontId="53" fillId="0" borderId="5" xfId="0" applyFont="1" applyBorder="1" applyAlignment="1">
      <alignment horizontal="centerContinuous" vertical="center"/>
    </xf>
    <xf numFmtId="0" fontId="53" fillId="0" borderId="7" xfId="0" applyFont="1" applyBorder="1" applyAlignment="1">
      <alignment horizontal="centerContinuous" vertical="center"/>
    </xf>
    <xf numFmtId="0" fontId="54" fillId="0" borderId="0" xfId="0" applyFont="1">
      <alignment vertical="center"/>
    </xf>
    <xf numFmtId="0" fontId="56" fillId="0" borderId="0" xfId="0" applyFont="1">
      <alignment vertical="center"/>
    </xf>
    <xf numFmtId="0" fontId="24" fillId="9" borderId="54" xfId="0" applyFont="1" applyFill="1" applyBorder="1">
      <alignment vertical="center"/>
    </xf>
    <xf numFmtId="0" fontId="21" fillId="9" borderId="55" xfId="0" applyFont="1" applyFill="1" applyBorder="1">
      <alignment vertical="center"/>
    </xf>
    <xf numFmtId="0" fontId="0" fillId="9" borderId="55" xfId="0" applyFill="1" applyBorder="1">
      <alignment vertical="center"/>
    </xf>
    <xf numFmtId="0" fontId="0" fillId="9" borderId="56" xfId="0" applyFill="1" applyBorder="1">
      <alignment vertical="center"/>
    </xf>
    <xf numFmtId="0" fontId="23" fillId="0" borderId="31" xfId="0" applyFont="1" applyBorder="1" applyAlignment="1">
      <alignment horizontal="center" vertical="center"/>
    </xf>
    <xf numFmtId="0" fontId="53" fillId="0" borderId="0" xfId="0" applyFont="1" applyAlignment="1">
      <alignment vertical="center" wrapText="1"/>
    </xf>
    <xf numFmtId="0" fontId="10" fillId="0" borderId="0" xfId="0" applyFont="1">
      <alignment vertical="center"/>
    </xf>
    <xf numFmtId="0" fontId="57" fillId="0" borderId="0" xfId="2" applyFont="1">
      <alignment vertical="center"/>
    </xf>
    <xf numFmtId="0" fontId="58" fillId="0" borderId="0" xfId="2" applyFont="1">
      <alignment vertical="center"/>
    </xf>
    <xf numFmtId="0" fontId="62" fillId="0" borderId="0" xfId="2" applyFont="1" applyAlignment="1">
      <alignment horizontal="left" vertical="center"/>
    </xf>
    <xf numFmtId="0" fontId="57" fillId="0" borderId="0" xfId="2" applyFont="1" applyAlignment="1">
      <alignment horizontal="distributed" vertical="center"/>
    </xf>
    <xf numFmtId="0" fontId="57" fillId="0" borderId="0" xfId="2" applyFont="1" applyAlignment="1">
      <alignment horizontal="right" vertical="center"/>
    </xf>
    <xf numFmtId="58" fontId="57" fillId="0" borderId="139" xfId="2" applyNumberFormat="1" applyFont="1" applyBorder="1">
      <alignment vertical="center"/>
    </xf>
    <xf numFmtId="0" fontId="63" fillId="0" borderId="0" xfId="2" applyFont="1" applyAlignment="1">
      <alignment horizontal="center" vertical="center"/>
    </xf>
    <xf numFmtId="0" fontId="66" fillId="0" borderId="0" xfId="2" applyFont="1">
      <alignment vertical="center"/>
    </xf>
    <xf numFmtId="0" fontId="59" fillId="0" borderId="8" xfId="2" applyFont="1" applyBorder="1" applyAlignment="1">
      <alignment horizontal="center" vertical="center" wrapText="1"/>
    </xf>
    <xf numFmtId="0" fontId="59" fillId="0" borderId="12" xfId="2" applyFont="1" applyBorder="1" applyAlignment="1">
      <alignment horizontal="center" vertical="center" wrapText="1"/>
    </xf>
    <xf numFmtId="0" fontId="58" fillId="0" borderId="161" xfId="2" applyFont="1" applyBorder="1">
      <alignment vertical="center"/>
    </xf>
    <xf numFmtId="0" fontId="58" fillId="0" borderId="162" xfId="2" applyFont="1" applyBorder="1">
      <alignment vertical="center"/>
    </xf>
    <xf numFmtId="0" fontId="58" fillId="0" borderId="139" xfId="2" applyFont="1" applyBorder="1">
      <alignment vertical="center"/>
    </xf>
    <xf numFmtId="0" fontId="62" fillId="0" borderId="139" xfId="2" applyFont="1" applyBorder="1">
      <alignment vertical="center"/>
    </xf>
    <xf numFmtId="0" fontId="58" fillId="0" borderId="164" xfId="2" applyFont="1" applyBorder="1">
      <alignment vertical="center"/>
    </xf>
    <xf numFmtId="0" fontId="58" fillId="0" borderId="2" xfId="2" applyFont="1" applyBorder="1">
      <alignment vertical="center"/>
    </xf>
    <xf numFmtId="0" fontId="62" fillId="0" borderId="66" xfId="2" applyFont="1" applyBorder="1" applyAlignment="1">
      <alignment horizontal="left" vertical="center"/>
    </xf>
    <xf numFmtId="0" fontId="58" fillId="0" borderId="165" xfId="2" applyFont="1" applyBorder="1">
      <alignment vertical="center"/>
    </xf>
    <xf numFmtId="0" fontId="58" fillId="0" borderId="58" xfId="2" applyFont="1" applyBorder="1">
      <alignment vertical="center"/>
    </xf>
    <xf numFmtId="194" fontId="57" fillId="0" borderId="8" xfId="2" applyNumberFormat="1" applyFont="1" applyBorder="1" applyProtection="1">
      <alignment vertical="center"/>
      <protection locked="0"/>
    </xf>
    <xf numFmtId="0" fontId="76" fillId="0" borderId="0" xfId="4" applyFont="1"/>
    <xf numFmtId="0" fontId="76" fillId="0" borderId="0" xfId="4" applyFont="1" applyAlignment="1">
      <alignment vertical="center"/>
    </xf>
    <xf numFmtId="0" fontId="77" fillId="0" borderId="0" xfId="4" applyFont="1"/>
    <xf numFmtId="0" fontId="70" fillId="0" borderId="8" xfId="4" applyFont="1" applyBorder="1" applyAlignment="1">
      <alignment horizontal="center"/>
    </xf>
    <xf numFmtId="0" fontId="55" fillId="0" borderId="0" xfId="4" applyFont="1"/>
    <xf numFmtId="0" fontId="78" fillId="0" borderId="0" xfId="4" applyFont="1"/>
    <xf numFmtId="0" fontId="64" fillId="0" borderId="0" xfId="2" applyFont="1" applyAlignment="1">
      <alignment horizontal="left" vertical="center"/>
    </xf>
    <xf numFmtId="0" fontId="16" fillId="0" borderId="0" xfId="4" applyFont="1"/>
    <xf numFmtId="0" fontId="16" fillId="0" borderId="0" xfId="4" applyFont="1" applyAlignment="1">
      <alignment vertical="top"/>
    </xf>
    <xf numFmtId="0" fontId="79" fillId="0" borderId="0" xfId="4" applyFont="1"/>
    <xf numFmtId="0" fontId="80" fillId="0" borderId="0" xfId="4" applyFont="1"/>
    <xf numFmtId="0" fontId="81" fillId="0" borderId="0" xfId="4" applyFont="1" applyAlignment="1">
      <alignment vertical="top"/>
    </xf>
    <xf numFmtId="0" fontId="81" fillId="0" borderId="0" xfId="5" applyFont="1" applyAlignment="1">
      <alignment vertical="top"/>
    </xf>
    <xf numFmtId="0" fontId="81" fillId="0" borderId="0" xfId="4" applyFont="1"/>
    <xf numFmtId="0" fontId="81" fillId="0" borderId="0" xfId="4" applyFont="1" applyAlignment="1">
      <alignment horizontal="left" vertical="top"/>
    </xf>
    <xf numFmtId="0" fontId="81" fillId="0" borderId="0" xfId="4" applyFont="1" applyAlignment="1">
      <alignment vertical="top" wrapText="1"/>
    </xf>
    <xf numFmtId="0" fontId="81" fillId="0" borderId="0" xfId="4" applyFont="1" applyAlignment="1">
      <alignment horizontal="left" vertical="top" wrapText="1"/>
    </xf>
    <xf numFmtId="176" fontId="81" fillId="0" borderId="0" xfId="6" applyNumberFormat="1" applyFont="1" applyAlignment="1">
      <alignment vertical="top" shrinkToFit="1"/>
    </xf>
    <xf numFmtId="176" fontId="81" fillId="9" borderId="0" xfId="6" applyNumberFormat="1" applyFont="1" applyFill="1" applyAlignment="1">
      <alignment vertical="center" wrapText="1" shrinkToFit="1"/>
    </xf>
    <xf numFmtId="0" fontId="81" fillId="0" borderId="0" xfId="6" applyFont="1" applyAlignment="1">
      <alignment vertical="top" shrinkToFit="1"/>
    </xf>
    <xf numFmtId="0" fontId="81" fillId="0" borderId="0" xfId="6" applyFont="1" applyAlignment="1">
      <alignment horizontal="left" vertical="top" shrinkToFit="1"/>
    </xf>
    <xf numFmtId="0" fontId="81" fillId="0" borderId="0" xfId="6" applyFont="1" applyAlignment="1">
      <alignment horizontal="left" vertical="top" wrapText="1" shrinkToFit="1"/>
    </xf>
    <xf numFmtId="0" fontId="81" fillId="0" borderId="0" xfId="6" applyFont="1" applyAlignment="1">
      <alignment vertical="top" wrapText="1" shrinkToFit="1"/>
    </xf>
    <xf numFmtId="0" fontId="83" fillId="0" borderId="0" xfId="4" applyFont="1"/>
    <xf numFmtId="0" fontId="84" fillId="0" borderId="0" xfId="4" applyFont="1" applyAlignment="1">
      <alignment horizontal="left" vertical="top"/>
    </xf>
    <xf numFmtId="195" fontId="81" fillId="0" borderId="0" xfId="4" applyNumberFormat="1" applyFont="1" applyAlignment="1">
      <alignment vertical="top"/>
    </xf>
    <xf numFmtId="0" fontId="84" fillId="0" borderId="0" xfId="4" applyFont="1" applyAlignment="1">
      <alignment vertical="top"/>
    </xf>
    <xf numFmtId="0" fontId="84" fillId="0" borderId="0" xfId="4" applyFont="1" applyAlignment="1">
      <alignment horizontal="center" vertical="top"/>
    </xf>
    <xf numFmtId="0" fontId="85" fillId="10" borderId="56" xfId="2" applyFont="1" applyFill="1" applyBorder="1" applyAlignment="1">
      <alignment horizontal="center" vertical="center"/>
    </xf>
    <xf numFmtId="0" fontId="85" fillId="10" borderId="31" xfId="2" applyFont="1" applyFill="1" applyBorder="1" applyAlignment="1">
      <alignment horizontal="center" vertical="center"/>
    </xf>
    <xf numFmtId="196" fontId="86" fillId="8" borderId="8" xfId="4" applyNumberFormat="1" applyFont="1" applyFill="1" applyBorder="1" applyAlignment="1">
      <alignment horizontal="center" vertical="center"/>
    </xf>
    <xf numFmtId="0" fontId="87" fillId="0" borderId="0" xfId="4" applyFont="1"/>
    <xf numFmtId="176" fontId="79" fillId="0" borderId="0" xfId="6" applyNumberFormat="1" applyFont="1" applyAlignment="1">
      <alignment vertical="center" shrinkToFit="1"/>
    </xf>
    <xf numFmtId="38" fontId="81" fillId="8" borderId="143" xfId="6" applyNumberFormat="1" applyFont="1" applyFill="1" applyBorder="1" applyAlignment="1">
      <alignment vertical="center" shrinkToFit="1"/>
    </xf>
    <xf numFmtId="38" fontId="81" fillId="8" borderId="145" xfId="6" applyNumberFormat="1" applyFont="1" applyFill="1" applyBorder="1" applyAlignment="1">
      <alignment vertical="center" shrinkToFit="1"/>
    </xf>
    <xf numFmtId="38" fontId="81" fillId="8" borderId="151" xfId="6" applyNumberFormat="1" applyFont="1" applyFill="1" applyBorder="1" applyAlignment="1">
      <alignment vertical="center" shrinkToFit="1"/>
    </xf>
    <xf numFmtId="38" fontId="81" fillId="0" borderId="200" xfId="6" applyNumberFormat="1" applyFont="1" applyBorder="1" applyAlignment="1">
      <alignment vertical="center" shrinkToFit="1"/>
    </xf>
    <xf numFmtId="38" fontId="81" fillId="8" borderId="150" xfId="6" applyNumberFormat="1" applyFont="1" applyFill="1" applyBorder="1" applyAlignment="1">
      <alignment vertical="center" shrinkToFit="1"/>
    </xf>
    <xf numFmtId="0" fontId="81" fillId="0" borderId="5" xfId="6" applyFont="1" applyBorder="1" applyAlignment="1">
      <alignment vertical="center" shrinkToFit="1"/>
    </xf>
    <xf numFmtId="38" fontId="81" fillId="0" borderId="13" xfId="6" applyNumberFormat="1" applyFont="1" applyBorder="1" applyAlignment="1" applyProtection="1">
      <alignment vertical="center" shrinkToFit="1"/>
      <protection locked="0"/>
    </xf>
    <xf numFmtId="38" fontId="81" fillId="0" borderId="0" xfId="6" applyNumberFormat="1" applyFont="1" applyAlignment="1" applyProtection="1">
      <alignment vertical="center" shrinkToFit="1"/>
      <protection locked="0"/>
    </xf>
    <xf numFmtId="38" fontId="81" fillId="0" borderId="1" xfId="6" applyNumberFormat="1" applyFont="1" applyBorder="1" applyAlignment="1" applyProtection="1">
      <alignment vertical="center" shrinkToFit="1"/>
      <protection locked="0"/>
    </xf>
    <xf numFmtId="38" fontId="81" fillId="0" borderId="8" xfId="6" applyNumberFormat="1" applyFont="1" applyBorder="1" applyAlignment="1" applyProtection="1">
      <alignment vertical="center" shrinkToFit="1"/>
      <protection locked="0"/>
    </xf>
    <xf numFmtId="38" fontId="81" fillId="8" borderId="8" xfId="6" applyNumberFormat="1" applyFont="1" applyFill="1" applyBorder="1" applyAlignment="1">
      <alignment vertical="center" shrinkToFit="1"/>
    </xf>
    <xf numFmtId="38" fontId="81" fillId="0" borderId="72" xfId="6" applyNumberFormat="1" applyFont="1" applyBorder="1" applyAlignment="1" applyProtection="1">
      <alignment vertical="center" shrinkToFit="1"/>
      <protection locked="0"/>
    </xf>
    <xf numFmtId="38" fontId="81" fillId="0" borderId="103" xfId="6" applyNumberFormat="1" applyFont="1" applyBorder="1" applyAlignment="1" applyProtection="1">
      <alignment vertical="center" shrinkToFit="1"/>
      <protection locked="0"/>
    </xf>
    <xf numFmtId="0" fontId="81" fillId="0" borderId="120" xfId="6" applyFont="1" applyBorder="1" applyAlignment="1">
      <alignment vertical="center" shrinkToFit="1"/>
    </xf>
    <xf numFmtId="38" fontId="81" fillId="0" borderId="5" xfId="6" applyNumberFormat="1" applyFont="1" applyBorder="1" applyAlignment="1" applyProtection="1">
      <alignment vertical="center" shrinkToFit="1"/>
      <protection locked="0"/>
    </xf>
    <xf numFmtId="38" fontId="81" fillId="0" borderId="7" xfId="6" applyNumberFormat="1" applyFont="1" applyBorder="1" applyAlignment="1" applyProtection="1">
      <alignment vertical="center" shrinkToFit="1"/>
      <protection locked="0"/>
    </xf>
    <xf numFmtId="38" fontId="81" fillId="0" borderId="63" xfId="6" applyNumberFormat="1" applyFont="1" applyBorder="1" applyAlignment="1" applyProtection="1">
      <alignment vertical="center" shrinkToFit="1"/>
      <protection locked="0"/>
    </xf>
    <xf numFmtId="0" fontId="81" fillId="0" borderId="103" xfId="6" applyFont="1" applyBorder="1" applyAlignment="1">
      <alignment vertical="center" shrinkToFit="1"/>
    </xf>
    <xf numFmtId="0" fontId="81" fillId="0" borderId="8" xfId="6" applyFont="1" applyBorder="1" applyAlignment="1" applyProtection="1">
      <alignment horizontal="center" vertical="center" shrinkToFit="1"/>
      <protection locked="0"/>
    </xf>
    <xf numFmtId="38" fontId="81" fillId="0" borderId="9" xfId="6" applyNumberFormat="1" applyFont="1" applyBorder="1" applyAlignment="1" applyProtection="1">
      <alignment vertical="center" shrinkToFit="1"/>
      <protection locked="0"/>
    </xf>
    <xf numFmtId="38" fontId="81" fillId="0" borderId="10" xfId="6" applyNumberFormat="1" applyFont="1" applyBorder="1" applyAlignment="1" applyProtection="1">
      <alignment vertical="center" shrinkToFit="1"/>
      <protection locked="0"/>
    </xf>
    <xf numFmtId="38" fontId="81" fillId="0" borderId="62" xfId="6" applyNumberFormat="1" applyFont="1" applyBorder="1" applyAlignment="1" applyProtection="1">
      <alignment vertical="center" shrinkToFit="1"/>
      <protection locked="0"/>
    </xf>
    <xf numFmtId="0" fontId="81" fillId="0" borderId="9" xfId="6" applyFont="1" applyBorder="1" applyAlignment="1" applyProtection="1">
      <alignment horizontal="center" vertical="center" shrinkToFit="1"/>
      <protection locked="0"/>
    </xf>
    <xf numFmtId="0" fontId="81" fillId="0" borderId="74" xfId="6" applyFont="1" applyBorder="1" applyAlignment="1">
      <alignment vertical="center" shrinkToFit="1"/>
    </xf>
    <xf numFmtId="0" fontId="0" fillId="0" borderId="0" xfId="7" applyFont="1" applyAlignment="1">
      <alignment horizontal="center" vertical="center" wrapText="1" shrinkToFit="1"/>
    </xf>
    <xf numFmtId="198" fontId="89" fillId="9" borderId="1" xfId="6" applyNumberFormat="1" applyFont="1" applyFill="1" applyBorder="1" applyAlignment="1">
      <alignment horizontal="center" vertical="center" wrapText="1" shrinkToFit="1"/>
    </xf>
    <xf numFmtId="0" fontId="86" fillId="9"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91" fillId="9" borderId="94" xfId="4" applyFont="1" applyFill="1" applyBorder="1" applyAlignment="1">
      <alignment horizontal="center" vertical="center" wrapText="1"/>
    </xf>
    <xf numFmtId="0" fontId="91" fillId="9" borderId="5" xfId="4" applyFont="1" applyFill="1" applyBorder="1" applyAlignment="1">
      <alignment horizontal="center" vertical="center"/>
    </xf>
    <xf numFmtId="0" fontId="91" fillId="9" borderId="8" xfId="4" applyFont="1" applyFill="1" applyBorder="1" applyAlignment="1">
      <alignment horizontal="center" vertical="center"/>
    </xf>
    <xf numFmtId="0" fontId="91" fillId="9" borderId="63" xfId="4" applyFont="1" applyFill="1" applyBorder="1" applyAlignment="1">
      <alignment horizontal="center" vertical="center"/>
    </xf>
    <xf numFmtId="0" fontId="91" fillId="9" borderId="8" xfId="6" applyFont="1" applyFill="1" applyBorder="1" applyAlignment="1">
      <alignment horizontal="center" vertical="center"/>
    </xf>
    <xf numFmtId="0" fontId="91" fillId="9" borderId="5" xfId="6" applyFont="1" applyFill="1" applyBorder="1" applyAlignment="1">
      <alignment horizontal="center" vertical="center"/>
    </xf>
    <xf numFmtId="0" fontId="91" fillId="9" borderId="103" xfId="6" applyFont="1" applyFill="1" applyBorder="1" applyAlignment="1">
      <alignment horizontal="center" vertical="center"/>
    </xf>
    <xf numFmtId="0" fontId="92" fillId="0" borderId="0" xfId="4" applyFont="1"/>
    <xf numFmtId="0" fontId="91" fillId="0" borderId="0" xfId="6" applyFont="1" applyAlignment="1">
      <alignment horizontal="left" vertical="center"/>
    </xf>
    <xf numFmtId="0" fontId="92" fillId="0" borderId="110" xfId="4" applyFont="1" applyBorder="1" applyAlignment="1">
      <alignment horizontal="center" vertical="center"/>
    </xf>
    <xf numFmtId="0" fontId="92" fillId="0" borderId="0" xfId="4" applyFont="1" applyAlignment="1">
      <alignment horizontal="center" vertical="center"/>
    </xf>
    <xf numFmtId="0" fontId="93" fillId="0" borderId="110" xfId="4" applyFont="1" applyBorder="1" applyAlignment="1">
      <alignment horizontal="center" vertical="center"/>
    </xf>
    <xf numFmtId="0" fontId="93" fillId="0" borderId="0" xfId="4" applyFont="1" applyAlignment="1">
      <alignment horizontal="center" vertical="center"/>
    </xf>
    <xf numFmtId="0" fontId="76" fillId="0" borderId="0" xfId="4" applyFont="1" applyAlignment="1">
      <alignment horizontal="center" vertical="center"/>
    </xf>
    <xf numFmtId="0" fontId="95" fillId="0" borderId="0" xfId="4" applyFont="1" applyAlignment="1">
      <alignment vertical="top"/>
    </xf>
    <xf numFmtId="0" fontId="96" fillId="0" borderId="0" xfId="2" applyFont="1">
      <alignment vertical="center"/>
    </xf>
    <xf numFmtId="0" fontId="57" fillId="0" borderId="0" xfId="2" applyFont="1" applyAlignment="1">
      <alignment vertical="top"/>
    </xf>
    <xf numFmtId="0" fontId="57" fillId="0" borderId="0" xfId="2" applyFont="1" applyAlignment="1">
      <alignment vertical="top" wrapText="1"/>
    </xf>
    <xf numFmtId="38" fontId="57" fillId="8" borderId="149" xfId="3" applyFont="1" applyFill="1" applyBorder="1" applyAlignment="1" applyProtection="1">
      <alignment horizontal="right" vertical="center"/>
    </xf>
    <xf numFmtId="38" fontId="57" fillId="8" borderId="151" xfId="3" applyFont="1" applyFill="1" applyBorder="1" applyAlignment="1" applyProtection="1">
      <alignment horizontal="right" vertical="center"/>
    </xf>
    <xf numFmtId="38" fontId="57" fillId="0" borderId="65" xfId="3" applyFont="1" applyBorder="1" applyAlignment="1" applyProtection="1">
      <alignment horizontal="right" vertical="center"/>
    </xf>
    <xf numFmtId="38" fontId="57" fillId="0" borderId="9" xfId="3" applyFont="1" applyBorder="1" applyAlignment="1" applyProtection="1">
      <alignment horizontal="right" vertical="center"/>
    </xf>
    <xf numFmtId="0" fontId="57" fillId="0" borderId="9" xfId="2" applyFont="1" applyBorder="1" applyAlignment="1">
      <alignment horizontal="center" vertical="center"/>
    </xf>
    <xf numFmtId="0" fontId="57" fillId="0" borderId="74" xfId="2" applyFont="1" applyBorder="1" applyAlignment="1">
      <alignment horizontal="center" vertical="center"/>
    </xf>
    <xf numFmtId="0" fontId="57" fillId="0" borderId="54" xfId="2" applyFont="1" applyBorder="1" applyAlignment="1">
      <alignment horizontal="center" vertical="center"/>
    </xf>
    <xf numFmtId="0" fontId="57" fillId="2" borderId="103" xfId="2" applyFont="1" applyFill="1" applyBorder="1" applyAlignment="1" applyProtection="1">
      <alignment horizontal="center" vertical="center" shrinkToFit="1"/>
      <protection locked="0"/>
    </xf>
    <xf numFmtId="0" fontId="57" fillId="2" borderId="8" xfId="2" applyFont="1" applyFill="1" applyBorder="1" applyAlignment="1" applyProtection="1">
      <alignment horizontal="center" vertical="center" shrinkToFit="1"/>
      <protection locked="0"/>
    </xf>
    <xf numFmtId="38" fontId="57" fillId="2" borderId="8" xfId="3" applyFont="1" applyFill="1" applyBorder="1" applyAlignment="1" applyProtection="1">
      <alignment horizontal="right" vertical="center" shrinkToFit="1"/>
      <protection locked="0"/>
    </xf>
    <xf numFmtId="38" fontId="57" fillId="2" borderId="64" xfId="3" applyFont="1" applyFill="1" applyBorder="1" applyAlignment="1" applyProtection="1">
      <alignment horizontal="right" vertical="center" shrinkToFit="1"/>
      <protection locked="0"/>
    </xf>
    <xf numFmtId="0" fontId="57" fillId="2" borderId="120" xfId="2" applyFont="1" applyFill="1" applyBorder="1" applyAlignment="1" applyProtection="1">
      <alignment horizontal="center" vertical="center" shrinkToFit="1"/>
      <protection locked="0"/>
    </xf>
    <xf numFmtId="0" fontId="57" fillId="2" borderId="1" xfId="2" applyFont="1" applyFill="1" applyBorder="1" applyAlignment="1" applyProtection="1">
      <alignment horizontal="center" vertical="center" shrinkToFit="1"/>
      <protection locked="0"/>
    </xf>
    <xf numFmtId="38" fontId="57" fillId="2" borderId="1" xfId="3" applyFont="1" applyFill="1" applyBorder="1" applyAlignment="1" applyProtection="1">
      <alignment horizontal="right" vertical="center" shrinkToFit="1"/>
      <protection locked="0"/>
    </xf>
    <xf numFmtId="38" fontId="57" fillId="2" borderId="121" xfId="3" applyFont="1" applyFill="1" applyBorder="1" applyAlignment="1" applyProtection="1">
      <alignment horizontal="right" vertical="center" shrinkToFit="1"/>
      <protection locked="0"/>
    </xf>
    <xf numFmtId="0" fontId="53" fillId="2" borderId="31" xfId="0" applyFont="1" applyFill="1" applyBorder="1" applyAlignment="1" applyProtection="1">
      <alignment horizontal="center" vertical="center"/>
      <protection locked="0"/>
    </xf>
    <xf numFmtId="0" fontId="53" fillId="2" borderId="31" xfId="0" applyFont="1" applyFill="1" applyBorder="1" applyAlignment="1" applyProtection="1">
      <alignment horizontal="center" vertical="center" shrinkToFit="1"/>
      <protection locked="0"/>
    </xf>
    <xf numFmtId="0" fontId="53" fillId="2" borderId="31" xfId="0" applyFont="1" applyFill="1" applyBorder="1" applyProtection="1">
      <alignment vertical="center"/>
      <protection locked="0"/>
    </xf>
    <xf numFmtId="0" fontId="55" fillId="2" borderId="31" xfId="0" applyFont="1" applyFill="1" applyBorder="1" applyProtection="1">
      <alignment vertical="center"/>
      <protection locked="0"/>
    </xf>
    <xf numFmtId="0" fontId="66" fillId="0" borderId="0" xfId="2" applyFont="1" applyProtection="1">
      <alignment vertical="center"/>
    </xf>
    <xf numFmtId="0" fontId="57" fillId="0" borderId="0" xfId="2" applyFont="1" applyProtection="1">
      <alignment vertical="center"/>
    </xf>
    <xf numFmtId="0" fontId="57" fillId="0" borderId="0" xfId="2" applyFont="1" applyAlignment="1" applyProtection="1">
      <alignment horizontal="left" vertical="center"/>
    </xf>
    <xf numFmtId="0" fontId="64" fillId="0" borderId="0" xfId="2" applyFont="1" applyProtection="1">
      <alignment vertical="center"/>
    </xf>
    <xf numFmtId="49" fontId="64" fillId="0" borderId="0" xfId="2" applyNumberFormat="1" applyFont="1" applyProtection="1">
      <alignment vertical="center"/>
    </xf>
    <xf numFmtId="0" fontId="63" fillId="0" borderId="0" xfId="2" applyFont="1" applyAlignment="1" applyProtection="1">
      <alignment horizontal="center" vertical="center"/>
    </xf>
    <xf numFmtId="0" fontId="63" fillId="0" borderId="0" xfId="2" applyFont="1" applyAlignment="1" applyProtection="1">
      <alignment horizontal="left" vertical="center"/>
    </xf>
    <xf numFmtId="0" fontId="57" fillId="0" borderId="0" xfId="2" applyFont="1" applyAlignment="1" applyProtection="1">
      <alignment horizontal="right" vertical="center"/>
    </xf>
    <xf numFmtId="58" fontId="57" fillId="0" borderId="139" xfId="2" applyNumberFormat="1" applyFont="1" applyBorder="1" applyProtection="1">
      <alignment vertical="center"/>
    </xf>
    <xf numFmtId="0" fontId="57" fillId="0" borderId="0" xfId="2" applyFont="1" applyAlignment="1" applyProtection="1">
      <alignment horizontal="distributed" vertical="center"/>
    </xf>
    <xf numFmtId="0" fontId="60" fillId="0" borderId="0" xfId="2" applyFont="1" applyProtection="1">
      <alignment vertical="center"/>
    </xf>
    <xf numFmtId="0" fontId="62" fillId="0" borderId="0" xfId="2" applyFont="1" applyProtection="1">
      <alignment vertical="center"/>
    </xf>
    <xf numFmtId="0" fontId="62" fillId="0" borderId="0" xfId="2" applyFont="1" applyAlignment="1" applyProtection="1">
      <alignment horizontal="left" vertical="center"/>
    </xf>
    <xf numFmtId="0" fontId="57" fillId="0" borderId="149" xfId="2" applyFont="1" applyBorder="1" applyAlignment="1" applyProtection="1">
      <alignment horizontal="right" vertical="center"/>
    </xf>
    <xf numFmtId="0" fontId="59" fillId="0" borderId="0" xfId="2" applyFont="1" applyAlignment="1" applyProtection="1">
      <alignment horizontal="center" vertical="center"/>
    </xf>
    <xf numFmtId="0" fontId="59" fillId="0" borderId="0" xfId="2" applyFont="1" applyProtection="1">
      <alignment vertical="center"/>
    </xf>
    <xf numFmtId="0" fontId="58" fillId="0" borderId="0" xfId="2" applyFont="1" applyProtection="1">
      <alignment vertical="center"/>
    </xf>
    <xf numFmtId="0" fontId="58" fillId="0" borderId="0" xfId="2" applyFont="1" applyAlignment="1" applyProtection="1">
      <alignment horizontal="left" vertical="center"/>
    </xf>
    <xf numFmtId="0" fontId="58" fillId="0" borderId="0" xfId="2" applyFont="1" applyAlignment="1" applyProtection="1">
      <alignment horizontal="right" vertical="center" wrapText="1"/>
    </xf>
    <xf numFmtId="0" fontId="58" fillId="0" borderId="0" xfId="2" applyFont="1" applyAlignment="1" applyProtection="1">
      <alignment horizontal="center" vertical="center" wrapText="1"/>
    </xf>
    <xf numFmtId="0" fontId="58" fillId="0" borderId="0" xfId="2" applyFont="1" applyAlignment="1" applyProtection="1">
      <alignment vertical="center" wrapText="1"/>
    </xf>
    <xf numFmtId="0" fontId="58" fillId="0" borderId="0" xfId="2" applyFont="1" applyAlignment="1" applyProtection="1">
      <alignment horizontal="center" vertical="center"/>
    </xf>
    <xf numFmtId="49" fontId="58" fillId="0" borderId="0" xfId="2" applyNumberFormat="1" applyFont="1" applyAlignment="1" applyProtection="1">
      <alignment vertical="center" shrinkToFit="1"/>
    </xf>
    <xf numFmtId="0" fontId="57" fillId="0" borderId="0" xfId="2" applyFont="1" applyAlignment="1" applyProtection="1">
      <alignment vertical="center" wrapText="1"/>
    </xf>
    <xf numFmtId="0" fontId="59" fillId="0" borderId="0" xfId="2" applyFont="1" applyAlignment="1" applyProtection="1">
      <alignment horizontal="left" vertical="top"/>
    </xf>
    <xf numFmtId="0" fontId="59" fillId="0" borderId="0" xfId="2" applyFont="1" applyAlignment="1" applyProtection="1">
      <alignment vertical="top" wrapText="1"/>
    </xf>
    <xf numFmtId="0" fontId="59" fillId="0" borderId="0" xfId="2" applyFont="1" applyAlignment="1" applyProtection="1">
      <alignment vertical="top"/>
    </xf>
    <xf numFmtId="0" fontId="57" fillId="0" borderId="0" xfId="2" applyFont="1" applyAlignment="1" applyProtection="1">
      <alignment horizontal="left" vertical="center" wrapText="1"/>
    </xf>
    <xf numFmtId="0" fontId="58" fillId="0" borderId="0" xfId="2" applyFont="1" applyAlignment="1" applyProtection="1">
      <alignment horizontal="right" vertical="center"/>
    </xf>
    <xf numFmtId="0" fontId="59" fillId="9" borderId="0" xfId="2" applyFont="1" applyFill="1" applyAlignment="1" applyProtection="1">
      <alignment horizontal="center" vertical="center"/>
    </xf>
    <xf numFmtId="0" fontId="59" fillId="9" borderId="0" xfId="2" applyFont="1" applyFill="1" applyProtection="1">
      <alignment vertical="center"/>
    </xf>
    <xf numFmtId="0" fontId="57" fillId="9" borderId="0" xfId="2" applyFont="1" applyFill="1" applyAlignment="1" applyProtection="1">
      <alignment horizontal="center" vertical="center" wrapText="1"/>
    </xf>
    <xf numFmtId="0" fontId="57" fillId="9" borderId="0" xfId="2" applyFont="1" applyFill="1" applyAlignment="1" applyProtection="1">
      <alignment horizontal="center" vertical="center"/>
    </xf>
    <xf numFmtId="0" fontId="61" fillId="9" borderId="0" xfId="2" applyFont="1" applyFill="1" applyAlignment="1" applyProtection="1">
      <alignment horizontal="center" vertical="center"/>
    </xf>
    <xf numFmtId="0" fontId="57" fillId="9" borderId="0" xfId="2" applyFont="1" applyFill="1" applyAlignment="1" applyProtection="1">
      <alignment horizontal="right" vertical="center"/>
    </xf>
    <xf numFmtId="0" fontId="59" fillId="0" borderId="0" xfId="2" applyFont="1" applyAlignment="1" applyProtection="1">
      <alignment horizontal="left" vertical="center"/>
    </xf>
    <xf numFmtId="0" fontId="73" fillId="0" borderId="0" xfId="2" applyFont="1" applyAlignment="1" applyProtection="1">
      <alignment horizontal="center" vertical="center"/>
    </xf>
    <xf numFmtId="0" fontId="57" fillId="0" borderId="0" xfId="2" applyFont="1" applyAlignment="1" applyProtection="1">
      <alignment vertical="center" shrinkToFit="1"/>
    </xf>
    <xf numFmtId="0" fontId="58" fillId="0" borderId="0" xfId="2" applyFont="1" applyAlignment="1" applyProtection="1">
      <alignment horizontal="distributed" vertical="center"/>
    </xf>
    <xf numFmtId="0" fontId="7" fillId="0" borderId="0" xfId="2" applyAlignment="1" applyProtection="1">
      <alignment vertical="center" wrapText="1"/>
    </xf>
    <xf numFmtId="0" fontId="58" fillId="0" borderId="55" xfId="2" applyFont="1" applyBorder="1" applyProtection="1">
      <alignment vertical="center"/>
    </xf>
    <xf numFmtId="0" fontId="58" fillId="0" borderId="56" xfId="2" applyFont="1" applyBorder="1" applyProtection="1">
      <alignment vertical="center"/>
    </xf>
    <xf numFmtId="0" fontId="71" fillId="10" borderId="56" xfId="2" applyFont="1" applyFill="1" applyBorder="1" applyProtection="1">
      <alignment vertical="center"/>
    </xf>
    <xf numFmtId="0" fontId="70" fillId="0" borderId="0" xfId="2" applyFont="1" applyProtection="1">
      <alignment vertical="center"/>
    </xf>
    <xf numFmtId="0" fontId="57" fillId="0" borderId="195" xfId="2" applyFont="1" applyBorder="1" applyProtection="1">
      <alignment vertical="center"/>
    </xf>
    <xf numFmtId="0" fontId="57" fillId="0" borderId="173" xfId="2" applyFont="1" applyBorder="1" applyProtection="1">
      <alignment vertical="center"/>
    </xf>
    <xf numFmtId="0" fontId="7" fillId="0" borderId="173" xfId="2" applyBorder="1" applyProtection="1">
      <alignment vertical="center"/>
    </xf>
    <xf numFmtId="0" fontId="58" fillId="0" borderId="172" xfId="2" applyFont="1" applyBorder="1" applyProtection="1">
      <alignment vertical="center"/>
    </xf>
    <xf numFmtId="0" fontId="59" fillId="0" borderId="0" xfId="2" applyFont="1" applyAlignment="1" applyProtection="1">
      <alignment vertical="center" wrapText="1"/>
    </xf>
    <xf numFmtId="0" fontId="7" fillId="0" borderId="0" xfId="2" applyProtection="1">
      <alignment vertical="center"/>
    </xf>
    <xf numFmtId="0" fontId="57" fillId="0" borderId="194" xfId="2" applyFont="1" applyBorder="1" applyProtection="1">
      <alignment vertical="center"/>
    </xf>
    <xf numFmtId="0" fontId="57" fillId="0" borderId="183" xfId="2" applyFont="1" applyBorder="1" applyProtection="1">
      <alignment vertical="center"/>
    </xf>
    <xf numFmtId="0" fontId="7" fillId="0" borderId="183" xfId="2" applyBorder="1" applyProtection="1">
      <alignment vertical="center"/>
    </xf>
    <xf numFmtId="0" fontId="58" fillId="0" borderId="178" xfId="2" applyFont="1" applyBorder="1" applyProtection="1">
      <alignment vertical="center"/>
    </xf>
    <xf numFmtId="0" fontId="58" fillId="0" borderId="87" xfId="2" applyFont="1" applyBorder="1" applyProtection="1">
      <alignment vertical="center"/>
    </xf>
    <xf numFmtId="0" fontId="57" fillId="0" borderId="0" xfId="2" applyFont="1" applyAlignment="1" applyProtection="1">
      <alignment horizontal="distributed" vertical="center" wrapText="1"/>
    </xf>
    <xf numFmtId="0" fontId="57" fillId="0" borderId="0" xfId="2" applyFont="1" applyAlignment="1" applyProtection="1">
      <alignment horizontal="center" vertical="center" wrapText="1"/>
    </xf>
    <xf numFmtId="0" fontId="58" fillId="0" borderId="61" xfId="2" applyFont="1" applyBorder="1" applyAlignment="1" applyProtection="1">
      <alignment horizontal="right" vertical="center"/>
    </xf>
    <xf numFmtId="0" fontId="69" fillId="0" borderId="0" xfId="2" applyFont="1" applyProtection="1">
      <alignment vertical="center"/>
    </xf>
    <xf numFmtId="0" fontId="68" fillId="0" borderId="0" xfId="2" applyFont="1" applyProtection="1">
      <alignment vertical="center"/>
    </xf>
    <xf numFmtId="0" fontId="58" fillId="0" borderId="6" xfId="2" applyFont="1" applyBorder="1" applyProtection="1">
      <alignment vertical="center"/>
    </xf>
    <xf numFmtId="0" fontId="68" fillId="0" borderId="14" xfId="2" applyFont="1" applyBorder="1" applyProtection="1">
      <alignment vertical="center"/>
    </xf>
    <xf numFmtId="0" fontId="68" fillId="0" borderId="85" xfId="2" applyFont="1" applyBorder="1" applyProtection="1">
      <alignment vertical="center"/>
    </xf>
    <xf numFmtId="0" fontId="58" fillId="0" borderId="101" xfId="2" applyFont="1" applyBorder="1" applyProtection="1">
      <alignment vertical="center"/>
    </xf>
    <xf numFmtId="0" fontId="57" fillId="0" borderId="190" xfId="2" applyFont="1" applyBorder="1" applyProtection="1">
      <alignment vertical="center"/>
    </xf>
    <xf numFmtId="0" fontId="57" fillId="0" borderId="190" xfId="2" applyFont="1" applyBorder="1" applyAlignment="1" applyProtection="1">
      <alignment horizontal="center" vertical="center" wrapText="1"/>
    </xf>
    <xf numFmtId="0" fontId="57" fillId="0" borderId="190" xfId="2" applyFont="1" applyBorder="1" applyAlignment="1" applyProtection="1">
      <alignment horizontal="distributed" vertical="center"/>
    </xf>
    <xf numFmtId="0" fontId="57" fillId="0" borderId="179" xfId="2" applyFont="1" applyBorder="1" applyProtection="1">
      <alignment vertical="center"/>
    </xf>
    <xf numFmtId="0" fontId="57" fillId="0" borderId="179" xfId="2" applyFont="1" applyBorder="1" applyAlignment="1" applyProtection="1">
      <alignment horizontal="center" vertical="center" wrapText="1"/>
    </xf>
    <xf numFmtId="0" fontId="57" fillId="0" borderId="179" xfId="2" applyFont="1" applyBorder="1" applyAlignment="1" applyProtection="1">
      <alignment horizontal="distributed" vertical="center"/>
    </xf>
    <xf numFmtId="0" fontId="57" fillId="0" borderId="180" xfId="2" applyFont="1" applyBorder="1" applyProtection="1">
      <alignment vertical="center"/>
    </xf>
    <xf numFmtId="0" fontId="57" fillId="0" borderId="180" xfId="2" applyFont="1" applyBorder="1" applyAlignment="1" applyProtection="1">
      <alignment horizontal="center" vertical="center" wrapText="1"/>
    </xf>
    <xf numFmtId="0" fontId="57" fillId="0" borderId="179" xfId="2" applyFont="1" applyBorder="1" applyAlignment="1" applyProtection="1">
      <alignment vertical="center" wrapText="1"/>
    </xf>
    <xf numFmtId="0" fontId="57" fillId="0" borderId="39" xfId="2" applyFont="1" applyBorder="1" applyProtection="1">
      <alignment vertical="center"/>
    </xf>
    <xf numFmtId="0" fontId="57" fillId="0" borderId="33" xfId="2" applyFont="1" applyBorder="1" applyAlignment="1" applyProtection="1">
      <alignment horizontal="center" vertical="center" wrapText="1"/>
    </xf>
    <xf numFmtId="0" fontId="57" fillId="0" borderId="183" xfId="2" applyFont="1" applyBorder="1" applyAlignment="1" applyProtection="1">
      <alignment horizontal="center" vertical="center" wrapText="1"/>
    </xf>
    <xf numFmtId="0" fontId="57" fillId="0" borderId="183" xfId="2" applyFont="1" applyBorder="1" applyAlignment="1" applyProtection="1">
      <alignment horizontal="distributed" vertical="center"/>
    </xf>
    <xf numFmtId="0" fontId="57" fillId="0" borderId="40" xfId="2" applyFont="1" applyBorder="1" applyProtection="1">
      <alignment vertical="center"/>
    </xf>
    <xf numFmtId="0" fontId="57" fillId="0" borderId="180" xfId="2" applyFont="1" applyBorder="1" applyAlignment="1" applyProtection="1">
      <alignment horizontal="distributed" vertical="center"/>
    </xf>
    <xf numFmtId="0" fontId="57" fillId="0" borderId="184" xfId="2" applyFont="1" applyBorder="1" applyProtection="1">
      <alignment vertical="center"/>
    </xf>
    <xf numFmtId="0" fontId="57" fillId="0" borderId="83" xfId="2" applyFont="1" applyBorder="1" applyProtection="1">
      <alignment vertical="center"/>
    </xf>
    <xf numFmtId="0" fontId="57" fillId="0" borderId="139" xfId="2" applyFont="1" applyBorder="1" applyProtection="1">
      <alignment vertical="center"/>
    </xf>
    <xf numFmtId="0" fontId="57" fillId="0" borderId="139" xfId="2" applyFont="1" applyBorder="1" applyAlignment="1" applyProtection="1">
      <alignment horizontal="center" vertical="center" wrapText="1"/>
    </xf>
    <xf numFmtId="0" fontId="57" fillId="0" borderId="139" xfId="2" applyFont="1" applyBorder="1" applyAlignment="1" applyProtection="1">
      <alignment horizontal="distributed" vertical="center"/>
    </xf>
    <xf numFmtId="0" fontId="57" fillId="0" borderId="174" xfId="2" applyFont="1" applyBorder="1" applyProtection="1">
      <alignment vertical="center"/>
    </xf>
    <xf numFmtId="0" fontId="57" fillId="0" borderId="173" xfId="2" applyFont="1" applyBorder="1" applyAlignment="1" applyProtection="1">
      <alignment horizontal="center" vertical="center" wrapText="1"/>
    </xf>
    <xf numFmtId="0" fontId="57" fillId="0" borderId="173" xfId="2" applyFont="1" applyBorder="1" applyAlignment="1" applyProtection="1">
      <alignment horizontal="distributed" vertical="center"/>
    </xf>
    <xf numFmtId="0" fontId="57" fillId="0" borderId="172" xfId="2" applyFont="1" applyBorder="1" applyAlignment="1" applyProtection="1">
      <alignment horizontal="center" vertical="center" wrapText="1"/>
    </xf>
    <xf numFmtId="0" fontId="57" fillId="0" borderId="182" xfId="2" applyFont="1" applyBorder="1" applyAlignment="1" applyProtection="1">
      <alignment horizontal="center" vertical="center" wrapText="1"/>
    </xf>
    <xf numFmtId="0" fontId="57" fillId="0" borderId="178" xfId="2" applyFont="1" applyBorder="1" applyAlignment="1" applyProtection="1">
      <alignment horizontal="center" vertical="center" wrapText="1"/>
    </xf>
    <xf numFmtId="0" fontId="57" fillId="0" borderId="181" xfId="2" applyFont="1" applyBorder="1" applyAlignment="1" applyProtection="1">
      <alignment horizontal="center" vertical="center" wrapText="1"/>
    </xf>
    <xf numFmtId="0" fontId="57" fillId="0" borderId="187" xfId="2" applyFont="1" applyBorder="1" applyProtection="1">
      <alignment vertical="center"/>
    </xf>
    <xf numFmtId="0" fontId="57" fillId="0" borderId="186" xfId="2" applyFont="1" applyBorder="1" applyProtection="1">
      <alignment vertical="center"/>
    </xf>
    <xf numFmtId="0" fontId="57" fillId="0" borderId="186" xfId="2" applyFont="1" applyBorder="1" applyAlignment="1" applyProtection="1">
      <alignment horizontal="center" vertical="center" wrapText="1"/>
    </xf>
    <xf numFmtId="0" fontId="57" fillId="0" borderId="186" xfId="2" applyFont="1" applyBorder="1" applyAlignment="1" applyProtection="1">
      <alignment horizontal="distributed" vertical="center"/>
    </xf>
    <xf numFmtId="0" fontId="57" fillId="0" borderId="185" xfId="2" applyFont="1" applyBorder="1" applyAlignment="1" applyProtection="1">
      <alignment horizontal="center" vertical="center" wrapText="1"/>
    </xf>
    <xf numFmtId="0" fontId="57" fillId="0" borderId="178" xfId="2" applyFont="1" applyBorder="1" applyAlignment="1" applyProtection="1">
      <alignment vertical="center" wrapText="1"/>
    </xf>
    <xf numFmtId="0" fontId="57" fillId="0" borderId="13" xfId="2" applyFont="1" applyBorder="1" applyProtection="1">
      <alignment vertical="center"/>
    </xf>
    <xf numFmtId="0" fontId="57" fillId="0" borderId="110" xfId="2" applyFont="1" applyBorder="1" applyAlignment="1" applyProtection="1">
      <alignment horizontal="center" vertical="center" wrapText="1"/>
    </xf>
    <xf numFmtId="0" fontId="57" fillId="0" borderId="189" xfId="2" applyFont="1" applyBorder="1" applyAlignment="1" applyProtection="1">
      <alignment horizontal="center" vertical="center" wrapText="1"/>
    </xf>
    <xf numFmtId="0" fontId="57" fillId="0" borderId="50" xfId="2" applyFont="1" applyBorder="1" applyAlignment="1" applyProtection="1">
      <alignment horizontal="center" vertical="center" wrapText="1"/>
    </xf>
    <xf numFmtId="0" fontId="57" fillId="0" borderId="34" xfId="2" applyFont="1" applyBorder="1" applyAlignment="1" applyProtection="1">
      <alignment horizontal="center" vertical="center" wrapText="1"/>
    </xf>
    <xf numFmtId="0" fontId="57" fillId="0" borderId="32" xfId="2" applyFont="1" applyBorder="1" applyAlignment="1" applyProtection="1">
      <alignment horizontal="center" vertical="center" wrapText="1"/>
    </xf>
    <xf numFmtId="0" fontId="58" fillId="0" borderId="110" xfId="2" applyFont="1" applyBorder="1" applyAlignment="1" applyProtection="1">
      <alignment horizontal="center" vertical="center"/>
    </xf>
    <xf numFmtId="0" fontId="58" fillId="0" borderId="149" xfId="2" applyFont="1" applyBorder="1" applyAlignment="1" applyProtection="1">
      <alignment horizontal="center" vertical="center"/>
    </xf>
    <xf numFmtId="0" fontId="57" fillId="0" borderId="54" xfId="2" applyFont="1" applyBorder="1" applyProtection="1">
      <alignment vertical="center"/>
    </xf>
    <xf numFmtId="0" fontId="57" fillId="0" borderId="55" xfId="2" applyFont="1" applyBorder="1" applyProtection="1">
      <alignment vertical="center"/>
    </xf>
    <xf numFmtId="0" fontId="57" fillId="0" borderId="55" xfId="2" applyFont="1" applyBorder="1" applyAlignment="1" applyProtection="1">
      <alignment horizontal="center" vertical="center" wrapText="1"/>
    </xf>
    <xf numFmtId="0" fontId="57" fillId="0" borderId="55" xfId="2" applyFont="1" applyBorder="1" applyAlignment="1" applyProtection="1">
      <alignment horizontal="distributed" vertical="center"/>
    </xf>
    <xf numFmtId="0" fontId="57" fillId="0" borderId="170" xfId="2" applyFont="1" applyBorder="1" applyProtection="1">
      <alignment vertical="center"/>
    </xf>
    <xf numFmtId="0" fontId="57" fillId="0" borderId="170" xfId="2" applyFont="1" applyBorder="1" applyAlignment="1" applyProtection="1">
      <alignment horizontal="distributed" vertical="center"/>
    </xf>
    <xf numFmtId="0" fontId="57" fillId="0" borderId="170" xfId="2" applyFont="1" applyBorder="1" applyAlignment="1" applyProtection="1">
      <alignment horizontal="center" vertical="center" wrapText="1"/>
    </xf>
    <xf numFmtId="0" fontId="58" fillId="0" borderId="169" xfId="2" applyFont="1" applyBorder="1" applyProtection="1">
      <alignment vertical="center"/>
    </xf>
    <xf numFmtId="0" fontId="57" fillId="0" borderId="5" xfId="2" applyFont="1" applyBorder="1" applyProtection="1">
      <alignment vertical="center"/>
    </xf>
    <xf numFmtId="0" fontId="57" fillId="0" borderId="7" xfId="2" applyFont="1" applyBorder="1" applyProtection="1">
      <alignment vertical="center"/>
    </xf>
    <xf numFmtId="0" fontId="57" fillId="0" borderId="6" xfId="2" applyFont="1" applyBorder="1" applyProtection="1">
      <alignment vertical="center"/>
    </xf>
    <xf numFmtId="0" fontId="58" fillId="0" borderId="9" xfId="2" applyFont="1" applyBorder="1" applyAlignment="1" applyProtection="1">
      <alignment horizontal="center" vertical="center"/>
    </xf>
    <xf numFmtId="0" fontId="58" fillId="0" borderId="6" xfId="2" applyFont="1" applyBorder="1" applyAlignment="1" applyProtection="1">
      <alignment horizontal="right" vertical="center"/>
    </xf>
    <xf numFmtId="0" fontId="58" fillId="0" borderId="4" xfId="2" applyFont="1" applyBorder="1" applyAlignment="1" applyProtection="1">
      <alignment horizontal="right" vertical="center"/>
    </xf>
    <xf numFmtId="0" fontId="58" fillId="0" borderId="8" xfId="2" applyFont="1" applyBorder="1" applyAlignment="1" applyProtection="1">
      <alignment horizontal="center" vertical="center"/>
    </xf>
    <xf numFmtId="0" fontId="58" fillId="0" borderId="12" xfId="2" applyFont="1" applyBorder="1" applyAlignment="1" applyProtection="1">
      <alignment horizontal="right" vertical="center"/>
    </xf>
    <xf numFmtId="0" fontId="58" fillId="0" borderId="0" xfId="2" applyFont="1" applyAlignment="1" applyProtection="1">
      <alignment horizontal="left" vertical="center" wrapText="1"/>
    </xf>
    <xf numFmtId="38" fontId="73" fillId="9" borderId="0" xfId="3" applyFont="1" applyFill="1" applyBorder="1" applyAlignment="1" applyProtection="1">
      <alignment horizontal="center" vertical="center"/>
    </xf>
    <xf numFmtId="0" fontId="58" fillId="9" borderId="0" xfId="2" applyFont="1" applyFill="1" applyAlignment="1" applyProtection="1">
      <alignment horizontal="right" vertical="center"/>
    </xf>
    <xf numFmtId="0" fontId="58" fillId="0" borderId="3" xfId="2" applyFont="1" applyBorder="1" applyAlignment="1" applyProtection="1">
      <alignment horizontal="center" vertical="center"/>
    </xf>
    <xf numFmtId="0" fontId="71" fillId="10" borderId="31" xfId="2" applyFont="1" applyFill="1" applyBorder="1" applyProtection="1">
      <alignment vertical="center"/>
    </xf>
    <xf numFmtId="0" fontId="58" fillId="0" borderId="13" xfId="2" applyFont="1" applyBorder="1" applyAlignment="1" applyProtection="1">
      <alignment horizontal="center" vertical="center"/>
    </xf>
    <xf numFmtId="0" fontId="64" fillId="0" borderId="0" xfId="2" applyFont="1" applyAlignment="1" applyProtection="1">
      <alignment horizontal="right" vertical="center"/>
    </xf>
    <xf numFmtId="194" fontId="64" fillId="0" borderId="8" xfId="2" applyNumberFormat="1" applyFont="1" applyBorder="1" applyProtection="1">
      <alignment vertical="center"/>
    </xf>
    <xf numFmtId="0" fontId="57" fillId="0" borderId="0" xfId="2" applyFont="1" applyAlignment="1" applyProtection="1">
      <alignment horizontal="center" vertical="top"/>
    </xf>
    <xf numFmtId="0" fontId="58" fillId="0" borderId="14" xfId="2" applyFont="1" applyBorder="1" applyAlignment="1" applyProtection="1">
      <alignment horizontal="center" vertical="center"/>
    </xf>
    <xf numFmtId="38" fontId="73" fillId="9" borderId="0" xfId="2" applyNumberFormat="1" applyFont="1" applyFill="1" applyAlignment="1" applyProtection="1">
      <alignment horizontal="right"/>
    </xf>
    <xf numFmtId="0" fontId="58" fillId="0" borderId="1" xfId="2" applyFont="1" applyBorder="1" applyProtection="1">
      <alignment vertical="center"/>
    </xf>
    <xf numFmtId="0" fontId="58" fillId="0" borderId="8" xfId="2" applyFont="1" applyBorder="1" applyProtection="1">
      <alignment vertical="center"/>
    </xf>
    <xf numFmtId="0" fontId="62" fillId="0" borderId="0" xfId="2" applyFont="1" applyAlignment="1" applyProtection="1">
      <alignment horizontal="left" vertical="top"/>
    </xf>
    <xf numFmtId="0" fontId="81" fillId="0" borderId="198" xfId="6" applyFont="1" applyBorder="1" applyAlignment="1" applyProtection="1">
      <alignment horizontal="center" vertical="center" shrinkToFit="1"/>
    </xf>
    <xf numFmtId="197" fontId="81" fillId="0" borderId="52" xfId="6" applyNumberFormat="1" applyFont="1" applyBorder="1" applyAlignment="1" applyProtection="1">
      <alignment horizontal="center" vertical="center" shrinkToFit="1"/>
    </xf>
    <xf numFmtId="0" fontId="81" fillId="0" borderId="209" xfId="6" applyFont="1" applyBorder="1" applyAlignment="1" applyProtection="1">
      <alignment horizontal="center" vertical="center" shrinkToFit="1"/>
    </xf>
    <xf numFmtId="0" fontId="81" fillId="0" borderId="203" xfId="6" applyFont="1" applyBorder="1" applyAlignment="1" applyProtection="1">
      <alignment horizontal="center" vertical="center" shrinkToFit="1"/>
    </xf>
    <xf numFmtId="197" fontId="81" fillId="0" borderId="201" xfId="6" applyNumberFormat="1" applyFont="1" applyBorder="1" applyAlignment="1" applyProtection="1">
      <alignment horizontal="center" vertical="center" shrinkToFit="1"/>
    </xf>
    <xf numFmtId="0" fontId="81" fillId="0" borderId="198" xfId="6" applyFont="1" applyBorder="1" applyAlignment="1" applyProtection="1">
      <alignment vertical="center" shrinkToFit="1"/>
    </xf>
    <xf numFmtId="0" fontId="81" fillId="0" borderId="206" xfId="6" applyFont="1" applyBorder="1" applyAlignment="1" applyProtection="1">
      <alignment vertical="center" shrinkToFit="1"/>
    </xf>
    <xf numFmtId="0" fontId="81" fillId="0" borderId="200" xfId="6" applyFont="1" applyBorder="1" applyAlignment="1" applyProtection="1">
      <alignment horizontal="center" vertical="center" shrinkToFit="1"/>
    </xf>
    <xf numFmtId="197" fontId="81" fillId="0" borderId="205" xfId="6" applyNumberFormat="1" applyFont="1" applyBorder="1" applyAlignment="1" applyProtection="1">
      <alignment horizontal="center" vertical="center" shrinkToFit="1"/>
    </xf>
    <xf numFmtId="199" fontId="63" fillId="0" borderId="0" xfId="2" applyNumberFormat="1" applyFont="1" applyAlignment="1" applyProtection="1">
      <alignment horizontal="center" vertical="center"/>
    </xf>
    <xf numFmtId="0" fontId="57" fillId="0" borderId="110" xfId="2" applyFont="1" applyBorder="1" applyProtection="1">
      <alignment vertical="center"/>
    </xf>
    <xf numFmtId="0" fontId="67" fillId="0" borderId="0" xfId="2" applyFont="1" applyProtection="1">
      <alignment vertical="center"/>
    </xf>
    <xf numFmtId="0" fontId="57" fillId="9" borderId="0" xfId="2" applyFont="1" applyFill="1" applyProtection="1">
      <alignment vertical="center"/>
    </xf>
    <xf numFmtId="0" fontId="62" fillId="9" borderId="0" xfId="2" applyFont="1" applyFill="1" applyProtection="1">
      <alignment vertical="center"/>
    </xf>
    <xf numFmtId="0" fontId="57" fillId="9" borderId="0" xfId="2" applyFont="1" applyFill="1" applyAlignment="1" applyProtection="1">
      <alignment horizontal="distributed" vertical="center"/>
    </xf>
    <xf numFmtId="0" fontId="62" fillId="0" borderId="0" xfId="2" applyFont="1" applyAlignment="1" applyProtection="1">
      <alignment horizontal="left" vertical="top" shrinkToFit="1"/>
    </xf>
    <xf numFmtId="0" fontId="7" fillId="0" borderId="0" xfId="2" applyAlignment="1" applyProtection="1">
      <alignment horizontal="left" vertical="top" wrapText="1"/>
    </xf>
    <xf numFmtId="0" fontId="98" fillId="9" borderId="0" xfId="2" applyFont="1" applyFill="1" applyProtection="1">
      <alignment vertical="center"/>
    </xf>
    <xf numFmtId="0" fontId="104" fillId="9" borderId="0" xfId="2" applyFont="1" applyFill="1" applyProtection="1">
      <alignment vertical="center"/>
    </xf>
    <xf numFmtId="0" fontId="100" fillId="9" borderId="0" xfId="2" applyFont="1" applyFill="1" applyProtection="1">
      <alignment vertical="center"/>
    </xf>
    <xf numFmtId="0" fontId="103" fillId="9" borderId="0" xfId="2" applyFont="1" applyFill="1" applyProtection="1">
      <alignment vertical="center"/>
    </xf>
    <xf numFmtId="0" fontId="102" fillId="9" borderId="0" xfId="2" applyFont="1" applyFill="1" applyProtection="1">
      <alignment vertical="center"/>
    </xf>
    <xf numFmtId="0" fontId="102" fillId="9" borderId="0" xfId="2" applyFont="1" applyFill="1" applyAlignment="1" applyProtection="1">
      <alignment vertical="center" shrinkToFit="1"/>
    </xf>
    <xf numFmtId="0" fontId="101" fillId="9" borderId="0" xfId="2" applyFont="1" applyFill="1" applyAlignment="1" applyProtection="1">
      <alignment vertical="center" shrinkToFit="1"/>
    </xf>
    <xf numFmtId="58" fontId="57" fillId="0" borderId="0" xfId="2" applyNumberFormat="1" applyFont="1" applyProtection="1">
      <alignment vertical="center"/>
    </xf>
    <xf numFmtId="0" fontId="99" fillId="9" borderId="0" xfId="2" applyFont="1" applyFill="1" applyProtection="1">
      <alignment vertical="center"/>
    </xf>
    <xf numFmtId="0" fontId="58" fillId="9" borderId="0" xfId="2" applyFont="1" applyFill="1" applyProtection="1">
      <alignment vertical="center"/>
    </xf>
    <xf numFmtId="0" fontId="7" fillId="9" borderId="0" xfId="2" applyFill="1" applyProtection="1">
      <alignment vertical="center"/>
    </xf>
    <xf numFmtId="0" fontId="58" fillId="0" borderId="12" xfId="2" applyFont="1" applyBorder="1" applyAlignment="1">
      <alignment horizontal="right" vertical="center"/>
    </xf>
    <xf numFmtId="0" fontId="58" fillId="0" borderId="6" xfId="2" applyFont="1" applyBorder="1" applyAlignment="1">
      <alignment horizontal="right" vertical="center"/>
    </xf>
    <xf numFmtId="0" fontId="81" fillId="0" borderId="14" xfId="6" applyFont="1" applyBorder="1" applyAlignment="1" applyProtection="1">
      <alignment horizontal="center" vertical="center" shrinkToFit="1"/>
      <protection locked="0"/>
    </xf>
    <xf numFmtId="38" fontId="81" fillId="0" borderId="8" xfId="1" applyFont="1" applyBorder="1" applyAlignment="1" applyProtection="1">
      <alignment vertical="center" shrinkToFit="1"/>
      <protection locked="0"/>
    </xf>
    <xf numFmtId="0" fontId="89" fillId="0" borderId="0" xfId="4" applyFont="1"/>
    <xf numFmtId="0" fontId="105" fillId="0" borderId="0" xfId="4" applyFont="1"/>
    <xf numFmtId="0" fontId="93" fillId="0" borderId="8" xfId="4" applyFont="1" applyBorder="1" applyAlignment="1">
      <alignment horizontal="center"/>
    </xf>
    <xf numFmtId="0" fontId="93" fillId="0" borderId="8" xfId="4" applyFont="1" applyBorder="1"/>
    <xf numFmtId="0" fontId="93" fillId="0" borderId="8" xfId="4" applyFont="1" applyBorder="1" applyAlignment="1">
      <alignment shrinkToFit="1"/>
    </xf>
    <xf numFmtId="193" fontId="81" fillId="0" borderId="151" xfId="4" applyNumberFormat="1" applyFont="1" applyBorder="1" applyAlignment="1" applyProtection="1">
      <alignment vertical="center"/>
      <protection locked="0"/>
    </xf>
    <xf numFmtId="38" fontId="81" fillId="0" borderId="151" xfId="6" applyNumberFormat="1" applyFont="1" applyBorder="1" applyAlignment="1" applyProtection="1">
      <alignment vertical="center" shrinkToFit="1"/>
      <protection locked="0"/>
    </xf>
    <xf numFmtId="38" fontId="81" fillId="0" borderId="143" xfId="6" applyNumberFormat="1" applyFont="1" applyBorder="1" applyAlignment="1" applyProtection="1">
      <alignment vertical="center" shrinkToFit="1"/>
      <protection locked="0"/>
    </xf>
    <xf numFmtId="0" fontId="31" fillId="0" borderId="62" xfId="0" applyFont="1" applyBorder="1" applyAlignment="1" applyProtection="1">
      <alignment horizontal="center" vertical="center" wrapText="1"/>
    </xf>
    <xf numFmtId="0" fontId="31" fillId="0" borderId="65" xfId="0" applyFont="1" applyBorder="1" applyAlignment="1" applyProtection="1">
      <alignment horizontal="center" vertical="center" wrapText="1"/>
    </xf>
    <xf numFmtId="0" fontId="31" fillId="0" borderId="0" xfId="0" applyFont="1" applyAlignment="1" applyProtection="1">
      <alignment horizontal="left" vertical="top" wrapText="1"/>
    </xf>
    <xf numFmtId="0" fontId="53" fillId="12" borderId="5" xfId="0" applyFont="1" applyFill="1" applyBorder="1" applyAlignment="1">
      <alignment horizontal="centerContinuous" vertical="center"/>
    </xf>
    <xf numFmtId="0" fontId="53" fillId="12" borderId="7" xfId="0" applyFont="1" applyFill="1" applyBorder="1" applyAlignment="1">
      <alignment horizontal="centerContinuous" vertical="center"/>
    </xf>
    <xf numFmtId="0" fontId="53" fillId="12" borderId="31" xfId="0" applyFont="1" applyFill="1" applyBorder="1" applyAlignment="1" applyProtection="1">
      <alignment horizontal="center" vertical="center"/>
      <protection locked="0"/>
    </xf>
    <xf numFmtId="0" fontId="31" fillId="0" borderId="0" xfId="0" applyFont="1" applyBorder="1" applyAlignment="1" applyProtection="1">
      <alignment horizontal="center" vertical="center" wrapText="1"/>
    </xf>
    <xf numFmtId="188" fontId="31" fillId="0" borderId="0" xfId="0" applyNumberFormat="1" applyFont="1" applyBorder="1" applyAlignment="1" applyProtection="1">
      <alignment horizontal="center" vertical="center"/>
    </xf>
    <xf numFmtId="189" fontId="36" fillId="0" borderId="0" xfId="0" applyNumberFormat="1" applyFont="1" applyBorder="1" applyProtection="1">
      <alignment vertical="center"/>
    </xf>
    <xf numFmtId="189" fontId="39" fillId="0" borderId="0" xfId="0" applyNumberFormat="1" applyFont="1" applyFill="1" applyBorder="1" applyProtection="1">
      <alignment vertical="center"/>
    </xf>
    <xf numFmtId="189" fontId="33" fillId="0" borderId="0" xfId="0" applyNumberFormat="1" applyFont="1" applyFill="1" applyBorder="1" applyProtection="1">
      <alignment vertical="center"/>
    </xf>
    <xf numFmtId="189" fontId="31" fillId="0" borderId="0" xfId="0" applyNumberFormat="1" applyFont="1" applyFill="1" applyBorder="1" applyProtection="1">
      <alignment vertical="center"/>
    </xf>
    <xf numFmtId="192" fontId="31" fillId="0" borderId="0" xfId="0" applyNumberFormat="1" applyFont="1" applyFill="1" applyBorder="1" applyProtection="1">
      <alignment vertical="center"/>
    </xf>
    <xf numFmtId="188" fontId="32" fillId="8" borderId="0" xfId="0" applyNumberFormat="1" applyFont="1" applyFill="1" applyBorder="1" applyProtection="1">
      <alignment vertical="center"/>
    </xf>
    <xf numFmtId="0" fontId="107" fillId="0" borderId="0" xfId="8" applyFont="1">
      <alignment vertical="center"/>
    </xf>
    <xf numFmtId="0" fontId="107" fillId="0" borderId="0" xfId="8" applyFont="1" applyAlignment="1">
      <alignment horizontal="center" vertical="center"/>
    </xf>
    <xf numFmtId="0" fontId="109" fillId="0" borderId="0" xfId="8" applyFont="1">
      <alignment vertical="center"/>
    </xf>
    <xf numFmtId="0" fontId="111" fillId="0" borderId="0" xfId="8" applyFont="1">
      <alignment vertical="center"/>
    </xf>
    <xf numFmtId="0" fontId="111" fillId="0" borderId="0" xfId="8" applyFont="1" applyAlignment="1">
      <alignment vertical="center" wrapText="1"/>
    </xf>
    <xf numFmtId="0" fontId="109" fillId="0" borderId="12" xfId="8" applyFont="1" applyBorder="1">
      <alignment vertical="center"/>
    </xf>
    <xf numFmtId="0" fontId="111" fillId="0" borderId="10" xfId="8" applyFont="1" applyBorder="1" applyAlignment="1">
      <alignment vertical="center" wrapText="1"/>
    </xf>
    <xf numFmtId="0" fontId="107" fillId="0" borderId="10" xfId="8" applyFont="1" applyBorder="1">
      <alignment vertical="center"/>
    </xf>
    <xf numFmtId="0" fontId="109" fillId="0" borderId="10" xfId="8" applyFont="1" applyBorder="1">
      <alignment vertical="center"/>
    </xf>
    <xf numFmtId="0" fontId="109" fillId="0" borderId="11" xfId="8" applyFont="1" applyBorder="1">
      <alignment vertical="center"/>
    </xf>
    <xf numFmtId="0" fontId="109" fillId="0" borderId="50" xfId="8" applyFont="1" applyBorder="1">
      <alignment vertical="center"/>
    </xf>
    <xf numFmtId="0" fontId="109" fillId="0" borderId="13" xfId="8" applyFont="1" applyBorder="1">
      <alignment vertical="center"/>
    </xf>
    <xf numFmtId="0" fontId="111" fillId="0" borderId="0" xfId="8" applyFont="1" applyAlignment="1">
      <alignment horizontal="left" vertical="center"/>
    </xf>
    <xf numFmtId="0" fontId="111" fillId="0" borderId="0" xfId="8" applyFont="1" applyAlignment="1">
      <alignment horizontal="center" vertical="center"/>
    </xf>
    <xf numFmtId="0" fontId="107" fillId="0" borderId="50" xfId="8" applyFont="1" applyBorder="1">
      <alignment vertical="center"/>
    </xf>
    <xf numFmtId="0" fontId="111" fillId="0" borderId="13" xfId="8" applyFont="1" applyBorder="1">
      <alignment vertical="center"/>
    </xf>
    <xf numFmtId="0" fontId="112" fillId="0" borderId="0" xfId="8" applyFont="1">
      <alignment vertical="center"/>
    </xf>
    <xf numFmtId="0" fontId="112" fillId="0" borderId="0" xfId="8" applyFont="1" applyAlignment="1">
      <alignment horizontal="left" vertical="center"/>
    </xf>
    <xf numFmtId="0" fontId="112" fillId="0" borderId="0" xfId="8" applyFont="1" applyAlignment="1">
      <alignment horizontal="center" vertical="center"/>
    </xf>
    <xf numFmtId="0" fontId="107" fillId="0" borderId="4" xfId="8" applyFont="1" applyBorder="1">
      <alignment vertical="center"/>
    </xf>
    <xf numFmtId="0" fontId="107" fillId="0" borderId="2" xfId="8" applyFont="1" applyBorder="1">
      <alignment vertical="center"/>
    </xf>
    <xf numFmtId="0" fontId="113" fillId="0" borderId="3" xfId="8" applyFont="1" applyBorder="1">
      <alignment vertical="center"/>
    </xf>
    <xf numFmtId="0" fontId="116" fillId="0" borderId="0" xfId="8" applyFont="1">
      <alignment vertical="center"/>
    </xf>
    <xf numFmtId="0" fontId="109" fillId="0" borderId="161" xfId="8" applyFont="1" applyBorder="1">
      <alignment vertical="center"/>
    </xf>
    <xf numFmtId="0" fontId="107" fillId="0" borderId="139" xfId="8" applyFont="1" applyBorder="1">
      <alignment vertical="center"/>
    </xf>
    <xf numFmtId="0" fontId="107" fillId="0" borderId="83" xfId="8" applyFont="1" applyBorder="1">
      <alignment vertical="center"/>
    </xf>
    <xf numFmtId="0" fontId="107" fillId="0" borderId="247" xfId="8" applyFont="1" applyBorder="1">
      <alignment vertical="center"/>
    </xf>
    <xf numFmtId="0" fontId="109" fillId="0" borderId="0" xfId="8" applyFont="1" applyAlignment="1">
      <alignment vertical="center" shrinkToFit="1"/>
    </xf>
    <xf numFmtId="0" fontId="111" fillId="0" borderId="162" xfId="8" applyFont="1" applyBorder="1">
      <alignment vertical="center"/>
    </xf>
    <xf numFmtId="0" fontId="111" fillId="0" borderId="251" xfId="8" applyFont="1" applyBorder="1">
      <alignment vertical="center"/>
    </xf>
    <xf numFmtId="0" fontId="107" fillId="0" borderId="110" xfId="8" applyFont="1" applyBorder="1">
      <alignment vertical="center"/>
    </xf>
    <xf numFmtId="0" fontId="117" fillId="0" borderId="61" xfId="8" applyFont="1" applyBorder="1">
      <alignment vertical="center"/>
    </xf>
    <xf numFmtId="0" fontId="117" fillId="0" borderId="58" xfId="8" applyFont="1" applyBorder="1">
      <alignment vertical="center"/>
    </xf>
    <xf numFmtId="0" fontId="64" fillId="0" borderId="176" xfId="8" applyFont="1" applyBorder="1" applyAlignment="1">
      <alignment vertical="top"/>
    </xf>
    <xf numFmtId="0" fontId="64" fillId="0" borderId="58" xfId="8" applyFont="1" applyBorder="1" applyAlignment="1">
      <alignment vertical="top"/>
    </xf>
    <xf numFmtId="200" fontId="109" fillId="0" borderId="110" xfId="8" applyNumberFormat="1" applyFont="1" applyBorder="1">
      <alignment vertical="center"/>
    </xf>
    <xf numFmtId="200" fontId="109" fillId="0" borderId="0" xfId="8" applyNumberFormat="1" applyFont="1">
      <alignment vertical="center"/>
    </xf>
    <xf numFmtId="188" fontId="109" fillId="13" borderId="0" xfId="8" applyNumberFormat="1" applyFont="1" applyFill="1" applyAlignment="1" applyProtection="1">
      <alignment vertical="center" shrinkToFit="1"/>
      <protection locked="0"/>
    </xf>
    <xf numFmtId="200" fontId="109" fillId="13" borderId="0" xfId="8" applyNumberFormat="1" applyFont="1" applyFill="1" applyAlignment="1" applyProtection="1">
      <alignment horizontal="center" vertical="center" shrinkToFit="1"/>
      <protection locked="0"/>
    </xf>
    <xf numFmtId="0" fontId="119" fillId="0" borderId="50" xfId="8" applyFont="1" applyBorder="1">
      <alignment vertical="center"/>
    </xf>
    <xf numFmtId="0" fontId="119" fillId="0" borderId="0" xfId="8" applyFont="1">
      <alignment vertical="center"/>
    </xf>
    <xf numFmtId="0" fontId="106" fillId="0" borderId="0" xfId="8">
      <alignment vertical="center"/>
    </xf>
    <xf numFmtId="188" fontId="109" fillId="0" borderId="0" xfId="8" applyNumberFormat="1" applyFont="1" applyAlignment="1" applyProtection="1">
      <alignment vertical="center" shrinkToFit="1"/>
      <protection locked="0"/>
    </xf>
    <xf numFmtId="200" fontId="109" fillId="0" borderId="110" xfId="8" applyNumberFormat="1" applyFont="1" applyBorder="1" applyAlignment="1">
      <alignment vertical="center" shrinkToFit="1"/>
    </xf>
    <xf numFmtId="200" fontId="109" fillId="0" borderId="0" xfId="8" applyNumberFormat="1" applyFont="1" applyAlignment="1">
      <alignment vertical="center" shrinkToFit="1"/>
    </xf>
    <xf numFmtId="0" fontId="109" fillId="8" borderId="33" xfId="8" applyFont="1" applyFill="1" applyBorder="1" applyAlignment="1">
      <alignment vertical="center" shrinkToFit="1"/>
    </xf>
    <xf numFmtId="0" fontId="109" fillId="8" borderId="0" xfId="8" applyFont="1" applyFill="1" applyAlignment="1">
      <alignment vertical="center" shrinkToFit="1"/>
    </xf>
    <xf numFmtId="200" fontId="109" fillId="0" borderId="178" xfId="8" applyNumberFormat="1" applyFont="1" applyBorder="1" applyAlignment="1">
      <alignment vertical="center" shrinkToFit="1"/>
    </xf>
    <xf numFmtId="200" fontId="109" fillId="0" borderId="179" xfId="8" applyNumberFormat="1" applyFont="1" applyBorder="1" applyAlignment="1">
      <alignment vertical="center" shrinkToFit="1"/>
    </xf>
    <xf numFmtId="0" fontId="109" fillId="8" borderId="179" xfId="8" applyFont="1" applyFill="1" applyBorder="1" applyAlignment="1">
      <alignment vertical="center" shrinkToFit="1"/>
    </xf>
    <xf numFmtId="0" fontId="109" fillId="0" borderId="33" xfId="8" applyFont="1" applyBorder="1" applyAlignment="1">
      <alignment vertical="center" shrinkToFit="1"/>
    </xf>
    <xf numFmtId="0" fontId="109" fillId="0" borderId="179" xfId="8" applyFont="1" applyBorder="1" applyAlignment="1">
      <alignment vertical="center" shrinkToFit="1"/>
    </xf>
    <xf numFmtId="200" fontId="109" fillId="0" borderId="2" xfId="8" applyNumberFormat="1" applyFont="1" applyBorder="1">
      <alignment vertical="center"/>
    </xf>
    <xf numFmtId="188" fontId="109" fillId="0" borderId="2" xfId="8" applyNumberFormat="1" applyFont="1" applyBorder="1" applyAlignment="1" applyProtection="1">
      <alignment vertical="center" shrinkToFit="1"/>
      <protection locked="0"/>
    </xf>
    <xf numFmtId="200" fontId="109" fillId="0" borderId="121" xfId="8" applyNumberFormat="1" applyFont="1" applyBorder="1" applyAlignment="1">
      <alignment vertical="center" shrinkToFit="1"/>
    </xf>
    <xf numFmtId="200" fontId="109" fillId="0" borderId="2" xfId="8" applyNumberFormat="1" applyFont="1" applyBorder="1" applyAlignment="1">
      <alignment vertical="center" shrinkToFit="1"/>
    </xf>
    <xf numFmtId="0" fontId="109" fillId="8" borderId="4" xfId="8" applyFont="1" applyFill="1" applyBorder="1" applyAlignment="1">
      <alignment vertical="center" shrinkToFit="1"/>
    </xf>
    <xf numFmtId="0" fontId="109" fillId="8" borderId="2" xfId="8" applyFont="1" applyFill="1" applyBorder="1" applyAlignment="1">
      <alignment vertical="center" shrinkToFit="1"/>
    </xf>
    <xf numFmtId="0" fontId="109" fillId="0" borderId="4" xfId="8" applyFont="1" applyBorder="1" applyAlignment="1">
      <alignment vertical="center" shrinkToFit="1"/>
    </xf>
    <xf numFmtId="0" fontId="109" fillId="0" borderId="2" xfId="8" applyFont="1" applyBorder="1" applyAlignment="1">
      <alignment vertical="center" shrinkToFit="1"/>
    </xf>
    <xf numFmtId="0" fontId="120" fillId="8" borderId="0" xfId="0" applyFont="1" applyFill="1">
      <alignment vertical="center"/>
    </xf>
    <xf numFmtId="0" fontId="120" fillId="8" borderId="8" xfId="0" applyFont="1" applyFill="1" applyBorder="1">
      <alignment vertical="center"/>
    </xf>
    <xf numFmtId="179" fontId="120" fillId="8" borderId="8" xfId="0" applyNumberFormat="1" applyFont="1" applyFill="1" applyBorder="1">
      <alignment vertical="center"/>
    </xf>
    <xf numFmtId="0" fontId="121" fillId="8" borderId="8" xfId="0" applyFont="1" applyFill="1" applyBorder="1">
      <alignment vertical="center"/>
    </xf>
    <xf numFmtId="182" fontId="120" fillId="8" borderId="8" xfId="1" applyNumberFormat="1" applyFont="1" applyFill="1" applyBorder="1">
      <alignment vertical="center"/>
    </xf>
    <xf numFmtId="0" fontId="24" fillId="0" borderId="54" xfId="0" applyFont="1" applyBorder="1">
      <alignment vertical="center"/>
    </xf>
    <xf numFmtId="0" fontId="107" fillId="0" borderId="0" xfId="8" applyFont="1" applyAlignment="1">
      <alignment horizontal="center" vertical="center"/>
    </xf>
    <xf numFmtId="0" fontId="107" fillId="0" borderId="0" xfId="8" applyFont="1">
      <alignment vertical="center"/>
    </xf>
    <xf numFmtId="0" fontId="111" fillId="0" borderId="0" xfId="8" applyFont="1">
      <alignment vertical="center"/>
    </xf>
    <xf numFmtId="0" fontId="107" fillId="0" borderId="0" xfId="8" applyFont="1">
      <alignment vertical="center"/>
    </xf>
    <xf numFmtId="0" fontId="111" fillId="0" borderId="0" xfId="8" applyFont="1" applyAlignment="1">
      <alignment horizontal="left" vertical="center"/>
    </xf>
    <xf numFmtId="0" fontId="107" fillId="0" borderId="0" xfId="8" applyFont="1" applyAlignment="1">
      <alignment horizontal="left" vertical="center"/>
    </xf>
    <xf numFmtId="200" fontId="109" fillId="0" borderId="0" xfId="8" applyNumberFormat="1" applyFont="1" applyBorder="1">
      <alignment vertical="center"/>
    </xf>
    <xf numFmtId="0" fontId="111" fillId="0" borderId="0" xfId="8" applyFont="1" applyBorder="1" applyAlignment="1">
      <alignment horizontal="left" vertical="center"/>
    </xf>
    <xf numFmtId="0" fontId="107" fillId="0" borderId="0" xfId="8" applyFont="1" applyBorder="1">
      <alignment vertical="center"/>
    </xf>
    <xf numFmtId="0" fontId="109" fillId="0" borderId="0" xfId="8" applyFont="1" applyBorder="1">
      <alignment vertical="center"/>
    </xf>
    <xf numFmtId="0" fontId="57" fillId="0" borderId="0" xfId="2" applyFont="1" applyBorder="1" applyAlignment="1" applyProtection="1">
      <alignment horizontal="distributed" vertical="center"/>
    </xf>
    <xf numFmtId="0" fontId="57" fillId="0" borderId="0" xfId="4" applyFont="1" applyAlignment="1">
      <alignment vertical="center"/>
    </xf>
    <xf numFmtId="0" fontId="62" fillId="0" borderId="0" xfId="4" applyFont="1" applyAlignment="1">
      <alignment vertical="center"/>
    </xf>
    <xf numFmtId="0" fontId="57" fillId="0" borderId="6" xfId="4" applyFont="1" applyBorder="1" applyAlignment="1">
      <alignment horizontal="center" vertical="center"/>
    </xf>
    <xf numFmtId="0" fontId="57" fillId="0" borderId="4" xfId="4" applyFont="1" applyBorder="1" applyAlignment="1">
      <alignment horizontal="center" vertical="center"/>
    </xf>
    <xf numFmtId="0" fontId="123" fillId="0" borderId="258" xfId="4" applyFont="1" applyBorder="1" applyAlignment="1">
      <alignment horizontal="center" vertical="center"/>
    </xf>
    <xf numFmtId="0" fontId="123" fillId="0" borderId="262" xfId="4" applyFont="1" applyBorder="1" applyAlignment="1">
      <alignment horizontal="center" vertical="center"/>
    </xf>
    <xf numFmtId="0" fontId="31" fillId="16" borderId="94" xfId="0" applyFont="1" applyFill="1" applyBorder="1" applyAlignment="1" applyProtection="1">
      <alignment horizontal="center" vertical="center"/>
    </xf>
    <xf numFmtId="0" fontId="81" fillId="0" borderId="0" xfId="4" applyFont="1" applyAlignment="1">
      <alignment horizontal="left" vertical="top" wrapText="1"/>
    </xf>
    <xf numFmtId="0" fontId="81" fillId="0" borderId="0" xfId="4" applyFont="1" applyAlignment="1">
      <alignment horizontal="left" vertical="top"/>
    </xf>
    <xf numFmtId="0" fontId="81" fillId="0" borderId="0" xfId="6" applyFont="1" applyAlignment="1">
      <alignment horizontal="left" vertical="top" wrapText="1" shrinkToFit="1"/>
    </xf>
    <xf numFmtId="0" fontId="81" fillId="0" borderId="0" xfId="6" applyFont="1" applyAlignment="1">
      <alignment horizontal="left" vertical="top" shrinkToFit="1"/>
    </xf>
    <xf numFmtId="0" fontId="91" fillId="0" borderId="0" xfId="6" applyFont="1" applyAlignment="1">
      <alignment horizontal="left" vertical="center"/>
    </xf>
    <xf numFmtId="0" fontId="0" fillId="17" borderId="31" xfId="0" applyFill="1" applyBorder="1" applyAlignment="1" applyProtection="1">
      <alignment horizontal="center" vertical="center"/>
      <protection locked="0"/>
    </xf>
    <xf numFmtId="0" fontId="124" fillId="6" borderId="74" xfId="0" applyFont="1" applyFill="1" applyBorder="1">
      <alignment vertical="center"/>
    </xf>
    <xf numFmtId="0" fontId="125" fillId="6" borderId="11" xfId="8" applyFont="1" applyFill="1" applyBorder="1" applyAlignment="1" applyProtection="1">
      <alignment vertical="center" shrinkToFit="1"/>
      <protection locked="0"/>
    </xf>
    <xf numFmtId="0" fontId="100" fillId="6" borderId="0" xfId="8" applyFont="1" applyFill="1" applyAlignment="1">
      <alignment horizontal="right" vertical="center"/>
    </xf>
    <xf numFmtId="0" fontId="82" fillId="6" borderId="8" xfId="6" applyFill="1" applyBorder="1">
      <alignment vertical="center"/>
    </xf>
    <xf numFmtId="0" fontId="99" fillId="6" borderId="94" xfId="8" applyFont="1" applyFill="1" applyBorder="1" applyAlignment="1">
      <alignment horizontal="center" vertical="center"/>
    </xf>
    <xf numFmtId="0" fontId="107" fillId="6" borderId="72" xfId="8" applyFont="1" applyFill="1" applyBorder="1">
      <alignment vertical="center"/>
    </xf>
    <xf numFmtId="0" fontId="107" fillId="6" borderId="0" xfId="8" applyFont="1" applyFill="1" applyBorder="1">
      <alignment vertical="center"/>
    </xf>
    <xf numFmtId="0" fontId="118" fillId="6" borderId="146" xfId="8" applyFont="1" applyFill="1" applyBorder="1" applyAlignment="1">
      <alignment horizontal="center" vertical="center"/>
    </xf>
    <xf numFmtId="0" fontId="118" fillId="6" borderId="144" xfId="8" applyFont="1" applyFill="1" applyBorder="1" applyAlignment="1">
      <alignment horizontal="center" vertical="center"/>
    </xf>
    <xf numFmtId="0" fontId="118" fillId="6" borderId="151" xfId="8" applyFont="1" applyFill="1" applyBorder="1" applyAlignment="1">
      <alignment horizontal="center" vertical="center"/>
    </xf>
    <xf numFmtId="0" fontId="118" fillId="6" borderId="143" xfId="8" applyFont="1" applyFill="1" applyBorder="1" applyAlignment="1">
      <alignment horizontal="center" vertical="center"/>
    </xf>
    <xf numFmtId="200" fontId="109" fillId="16" borderId="103" xfId="8" applyNumberFormat="1" applyFont="1" applyFill="1" applyBorder="1" applyAlignment="1" applyProtection="1">
      <alignment vertical="center" shrinkToFit="1"/>
      <protection locked="0"/>
    </xf>
    <xf numFmtId="200" fontId="109" fillId="16" borderId="94" xfId="8" applyNumberFormat="1" applyFont="1" applyFill="1" applyBorder="1" applyAlignment="1" applyProtection="1">
      <alignment vertical="center" shrinkToFit="1"/>
      <protection locked="0"/>
    </xf>
    <xf numFmtId="200" fontId="109" fillId="16" borderId="150" xfId="8" applyNumberFormat="1" applyFont="1" applyFill="1" applyBorder="1" applyAlignment="1" applyProtection="1">
      <alignment vertical="center" shrinkToFit="1"/>
      <protection locked="0"/>
    </xf>
    <xf numFmtId="200" fontId="109" fillId="16" borderId="143" xfId="8" applyNumberFormat="1" applyFont="1" applyFill="1" applyBorder="1" applyAlignment="1" applyProtection="1">
      <alignment vertical="center" shrinkToFit="1"/>
      <protection locked="0"/>
    </xf>
    <xf numFmtId="188" fontId="32" fillId="8" borderId="31" xfId="0" applyNumberFormat="1" applyFont="1" applyFill="1" applyBorder="1" applyProtection="1">
      <alignment vertical="center"/>
      <protection locked="0"/>
    </xf>
    <xf numFmtId="188" fontId="40" fillId="0" borderId="143" xfId="0" applyNumberFormat="1" applyFont="1" applyBorder="1" applyProtection="1">
      <alignment vertical="center"/>
    </xf>
    <xf numFmtId="38" fontId="81" fillId="0" borderId="14" xfId="6" applyNumberFormat="1" applyFont="1" applyBorder="1" applyAlignment="1" applyProtection="1">
      <alignment vertical="center" shrinkToFit="1"/>
      <protection locked="0"/>
    </xf>
    <xf numFmtId="194" fontId="64" fillId="0" borderId="0" xfId="2" applyNumberFormat="1" applyFont="1" applyBorder="1" applyProtection="1">
      <alignment vertical="center"/>
    </xf>
    <xf numFmtId="0" fontId="128" fillId="18" borderId="6" xfId="4" applyFont="1" applyFill="1" applyBorder="1" applyAlignment="1">
      <alignment horizontal="center" vertical="center"/>
    </xf>
    <xf numFmtId="0" fontId="126" fillId="18" borderId="5" xfId="6" applyFont="1" applyFill="1" applyBorder="1" applyAlignment="1">
      <alignment horizontal="center" vertical="center"/>
    </xf>
    <xf numFmtId="0" fontId="0" fillId="19" borderId="31" xfId="0" applyFill="1" applyBorder="1" applyAlignment="1" applyProtection="1">
      <alignment horizontal="center" vertical="center"/>
    </xf>
    <xf numFmtId="0" fontId="21" fillId="2" borderId="54" xfId="0" applyFont="1" applyFill="1" applyBorder="1" applyAlignment="1" applyProtection="1">
      <alignment horizontal="left" vertical="top"/>
      <protection locked="0"/>
    </xf>
    <xf numFmtId="0" fontId="21" fillId="2" borderId="55" xfId="0" applyFont="1" applyFill="1" applyBorder="1" applyAlignment="1" applyProtection="1">
      <alignment horizontal="left" vertical="top"/>
      <protection locked="0"/>
    </xf>
    <xf numFmtId="0" fontId="21" fillId="2" borderId="56" xfId="0" applyFont="1" applyFill="1" applyBorder="1" applyAlignment="1" applyProtection="1">
      <alignment horizontal="left" vertical="top"/>
      <protection locked="0"/>
    </xf>
    <xf numFmtId="0" fontId="21" fillId="0" borderId="63" xfId="0" applyFont="1" applyBorder="1" applyAlignment="1" applyProtection="1">
      <alignment horizontal="left" vertical="center"/>
    </xf>
    <xf numFmtId="0" fontId="21" fillId="0" borderId="6" xfId="0" applyFont="1" applyBorder="1" applyAlignment="1" applyProtection="1">
      <alignment horizontal="left" vertical="center"/>
    </xf>
    <xf numFmtId="0" fontId="21" fillId="0" borderId="95" xfId="0" applyFont="1" applyBorder="1" applyAlignment="1" applyProtection="1">
      <alignment horizontal="left" vertical="center"/>
    </xf>
    <xf numFmtId="0" fontId="21" fillId="0" borderId="96" xfId="0" applyFont="1" applyBorder="1" applyAlignment="1" applyProtection="1">
      <alignment horizontal="left" vertical="center"/>
    </xf>
    <xf numFmtId="0" fontId="21" fillId="0" borderId="100" xfId="0" applyFont="1" applyBorder="1" applyAlignment="1" applyProtection="1">
      <alignment horizontal="left" vertical="center"/>
    </xf>
    <xf numFmtId="0" fontId="21" fillId="0" borderId="101" xfId="0" applyFont="1" applyBorder="1" applyAlignment="1" applyProtection="1">
      <alignment horizontal="left" vertical="center"/>
    </xf>
    <xf numFmtId="0" fontId="17" fillId="0" borderId="57" xfId="0" applyFont="1" applyBorder="1" applyAlignment="1" applyProtection="1">
      <alignment horizontal="center" vertical="center" wrapText="1"/>
    </xf>
    <xf numFmtId="0" fontId="17" fillId="0" borderId="58" xfId="0" applyFont="1" applyBorder="1" applyAlignment="1" applyProtection="1">
      <alignment horizontal="center" vertical="center" wrapText="1"/>
    </xf>
    <xf numFmtId="0" fontId="17" fillId="0" borderId="61" xfId="0" applyFont="1" applyBorder="1" applyAlignment="1" applyProtection="1">
      <alignment horizontal="center" vertical="center" wrapText="1"/>
    </xf>
    <xf numFmtId="0" fontId="17" fillId="0" borderId="62" xfId="0" applyFont="1" applyBorder="1" applyAlignment="1" applyProtection="1">
      <alignment horizontal="center" vertical="center" wrapText="1"/>
    </xf>
    <xf numFmtId="0" fontId="17" fillId="0" borderId="10" xfId="0" applyFont="1" applyBorder="1" applyAlignment="1" applyProtection="1">
      <alignment horizontal="center" vertical="center" wrapText="1"/>
    </xf>
    <xf numFmtId="0" fontId="17" fillId="0" borderId="65" xfId="0" applyFont="1" applyBorder="1" applyAlignment="1" applyProtection="1">
      <alignment horizontal="center" vertical="center" wrapText="1"/>
    </xf>
    <xf numFmtId="0" fontId="21" fillId="0" borderId="91" xfId="0" applyFont="1" applyBorder="1" applyAlignment="1" applyProtection="1">
      <alignment horizontal="center" vertical="center" wrapText="1"/>
    </xf>
    <xf numFmtId="0" fontId="21" fillId="0" borderId="93" xfId="0" applyFont="1" applyBorder="1" applyAlignment="1" applyProtection="1">
      <alignment horizontal="center" vertical="center" wrapText="1"/>
    </xf>
    <xf numFmtId="0" fontId="21" fillId="9" borderId="63" xfId="0" applyFont="1" applyFill="1" applyBorder="1" applyAlignment="1" applyProtection="1">
      <alignment horizontal="center" vertical="center"/>
    </xf>
    <xf numFmtId="0" fontId="21" fillId="9" borderId="7" xfId="0" applyFont="1" applyFill="1" applyBorder="1" applyAlignment="1" applyProtection="1">
      <alignment horizontal="center" vertical="center"/>
    </xf>
    <xf numFmtId="0" fontId="21" fillId="9" borderId="64" xfId="0" applyFont="1" applyFill="1" applyBorder="1" applyAlignment="1" applyProtection="1">
      <alignment horizontal="center" vertical="center"/>
    </xf>
    <xf numFmtId="185" fontId="21" fillId="0" borderId="63" xfId="0" applyNumberFormat="1" applyFont="1" applyBorder="1" applyAlignment="1" applyProtection="1">
      <alignment horizontal="center" vertical="center"/>
    </xf>
    <xf numFmtId="185" fontId="21" fillId="0" borderId="7" xfId="0" applyNumberFormat="1" applyFont="1" applyBorder="1" applyAlignment="1" applyProtection="1">
      <alignment horizontal="center" vertical="center"/>
    </xf>
    <xf numFmtId="185" fontId="21" fillId="0" borderId="64" xfId="0" applyNumberFormat="1" applyFont="1" applyBorder="1" applyAlignment="1" applyProtection="1">
      <alignment horizontal="center" vertical="center"/>
    </xf>
    <xf numFmtId="0" fontId="21" fillId="0" borderId="72" xfId="0" applyFont="1" applyBorder="1" applyAlignment="1" applyProtection="1">
      <alignment horizontal="left" vertical="center"/>
    </xf>
    <xf numFmtId="0" fontId="21" fillId="0" borderId="0" xfId="0" applyFont="1" applyAlignment="1" applyProtection="1">
      <alignment horizontal="left" vertical="center"/>
    </xf>
    <xf numFmtId="0" fontId="21" fillId="0" borderId="81" xfId="0" applyFont="1" applyBorder="1" applyAlignment="1" applyProtection="1">
      <alignment horizontal="left" vertical="center"/>
    </xf>
    <xf numFmtId="0" fontId="21" fillId="0" borderId="82" xfId="0" applyFont="1" applyBorder="1" applyAlignment="1" applyProtection="1">
      <alignment horizontal="left" vertical="center"/>
    </xf>
    <xf numFmtId="0" fontId="21" fillId="0" borderId="0" xfId="0" applyFont="1" applyBorder="1" applyAlignment="1" applyProtection="1">
      <alignment horizontal="left" vertical="center"/>
    </xf>
    <xf numFmtId="0" fontId="21" fillId="0" borderId="66" xfId="0" applyFont="1" applyBorder="1" applyAlignment="1" applyProtection="1">
      <alignment horizontal="left" vertical="center"/>
    </xf>
    <xf numFmtId="0" fontId="21" fillId="0" borderId="4" xfId="0" applyFont="1" applyBorder="1" applyAlignment="1" applyProtection="1">
      <alignment horizontal="left" vertical="center"/>
    </xf>
    <xf numFmtId="0" fontId="21" fillId="0" borderId="75" xfId="0" applyFont="1" applyBorder="1" applyAlignment="1" applyProtection="1">
      <alignment horizontal="left" vertical="center"/>
    </xf>
    <xf numFmtId="0" fontId="21" fillId="0" borderId="76" xfId="0" applyFont="1" applyBorder="1" applyAlignment="1" applyProtection="1">
      <alignment horizontal="left" vertical="center"/>
    </xf>
    <xf numFmtId="0" fontId="21" fillId="0" borderId="2" xfId="0" applyFont="1" applyBorder="1" applyAlignment="1" applyProtection="1">
      <alignment horizontal="left" vertical="center"/>
    </xf>
    <xf numFmtId="0" fontId="21" fillId="0" borderId="62" xfId="0" applyFont="1" applyBorder="1" applyAlignment="1" applyProtection="1">
      <alignment horizontal="left" vertical="center"/>
    </xf>
    <xf numFmtId="0" fontId="21" fillId="0" borderId="10" xfId="0" applyFont="1" applyBorder="1" applyAlignment="1" applyProtection="1">
      <alignment horizontal="left" vertical="center"/>
    </xf>
    <xf numFmtId="0" fontId="21" fillId="0" borderId="12" xfId="0" applyFont="1" applyBorder="1" applyAlignment="1" applyProtection="1">
      <alignment horizontal="left" vertical="center"/>
    </xf>
    <xf numFmtId="0" fontId="20" fillId="0" borderId="0" xfId="0" applyFont="1" applyAlignment="1" applyProtection="1">
      <alignment horizontal="center" vertical="center"/>
    </xf>
    <xf numFmtId="0" fontId="22" fillId="0" borderId="54" xfId="0" applyFont="1" applyBorder="1" applyAlignment="1" applyProtection="1">
      <alignment horizontal="center" vertical="center"/>
    </xf>
    <xf numFmtId="0" fontId="22" fillId="0" borderId="55" xfId="0" applyFont="1" applyBorder="1" applyAlignment="1" applyProtection="1">
      <alignment horizontal="center" vertical="center"/>
    </xf>
    <xf numFmtId="0" fontId="22" fillId="0" borderId="56" xfId="0" applyFont="1" applyBorder="1" applyAlignment="1" applyProtection="1">
      <alignment horizontal="center" vertical="center"/>
    </xf>
    <xf numFmtId="0" fontId="22" fillId="0" borderId="54" xfId="0" applyFont="1" applyFill="1" applyBorder="1" applyAlignment="1" applyProtection="1">
      <alignment horizontal="center" vertical="center" shrinkToFit="1"/>
    </xf>
    <xf numFmtId="0" fontId="22" fillId="0" borderId="55" xfId="0" applyFont="1" applyFill="1" applyBorder="1" applyAlignment="1" applyProtection="1">
      <alignment horizontal="center" vertical="center" shrinkToFit="1"/>
    </xf>
    <xf numFmtId="0" fontId="22" fillId="0" borderId="56" xfId="0" applyFont="1" applyFill="1" applyBorder="1" applyAlignment="1" applyProtection="1">
      <alignment horizontal="center" vertical="center" shrinkToFit="1"/>
    </xf>
    <xf numFmtId="0" fontId="17" fillId="0" borderId="57" xfId="0" applyFont="1" applyBorder="1" applyAlignment="1" applyProtection="1">
      <alignment horizontal="center" vertical="center"/>
    </xf>
    <xf numFmtId="0" fontId="17" fillId="0" borderId="58" xfId="0" applyFont="1" applyBorder="1" applyAlignment="1" applyProtection="1">
      <alignment horizontal="center" vertical="center"/>
    </xf>
    <xf numFmtId="0" fontId="17" fillId="0" borderId="62" xfId="0" applyFont="1" applyBorder="1" applyAlignment="1" applyProtection="1">
      <alignment horizontal="center" vertical="center"/>
    </xf>
    <xf numFmtId="0" fontId="17" fillId="0" borderId="10" xfId="0" applyFont="1" applyBorder="1" applyAlignment="1" applyProtection="1">
      <alignment horizontal="center" vertical="center"/>
    </xf>
    <xf numFmtId="0" fontId="21" fillId="0" borderId="61" xfId="0" applyFont="1" applyBorder="1" applyAlignment="1" applyProtection="1">
      <alignment horizontal="center" vertical="center" wrapText="1"/>
    </xf>
    <xf numFmtId="0" fontId="21" fillId="0" borderId="65" xfId="0" applyFont="1" applyBorder="1" applyAlignment="1" applyProtection="1">
      <alignment horizontal="center" vertical="center" wrapText="1"/>
    </xf>
    <xf numFmtId="0" fontId="21" fillId="0" borderId="63" xfId="0" applyFont="1" applyBorder="1" applyAlignment="1" applyProtection="1">
      <alignment horizontal="center" vertical="center"/>
    </xf>
    <xf numFmtId="0" fontId="21" fillId="0" borderId="7" xfId="0" applyFont="1" applyBorder="1" applyAlignment="1" applyProtection="1">
      <alignment horizontal="center" vertical="center"/>
    </xf>
    <xf numFmtId="0" fontId="21" fillId="0" borderId="64" xfId="0" applyFont="1" applyBorder="1" applyAlignment="1" applyProtection="1">
      <alignment horizontal="center" vertical="center"/>
    </xf>
    <xf numFmtId="0" fontId="21" fillId="0" borderId="73" xfId="0" applyFont="1" applyBorder="1" applyAlignment="1" applyProtection="1">
      <alignment horizontal="left" vertical="center"/>
    </xf>
    <xf numFmtId="0" fontId="21" fillId="0" borderId="74" xfId="0" applyFont="1" applyBorder="1" applyAlignment="1" applyProtection="1">
      <alignment horizontal="left" vertical="center"/>
    </xf>
    <xf numFmtId="0" fontId="21" fillId="0" borderId="3" xfId="0" applyFont="1" applyBorder="1" applyAlignment="1" applyProtection="1">
      <alignment horizontal="left" vertical="center" wrapText="1"/>
    </xf>
    <xf numFmtId="0" fontId="21" fillId="0" borderId="11" xfId="0" applyFont="1" applyBorder="1" applyAlignment="1" applyProtection="1">
      <alignment horizontal="left" vertical="center"/>
    </xf>
    <xf numFmtId="0" fontId="31" fillId="0" borderId="62" xfId="0" applyFont="1" applyBorder="1" applyAlignment="1" applyProtection="1">
      <alignment horizontal="center" vertical="center" wrapText="1"/>
    </xf>
    <xf numFmtId="0" fontId="31" fillId="0" borderId="65" xfId="0" applyFont="1" applyBorder="1" applyAlignment="1" applyProtection="1">
      <alignment horizontal="center" vertical="center" wrapText="1"/>
    </xf>
    <xf numFmtId="0" fontId="31" fillId="0" borderId="7" xfId="0" applyFont="1" applyBorder="1" applyAlignment="1" applyProtection="1">
      <alignment horizontal="left" vertical="center"/>
    </xf>
    <xf numFmtId="0" fontId="31" fillId="0" borderId="64" xfId="0" applyFont="1" applyBorder="1" applyAlignment="1" applyProtection="1">
      <alignment horizontal="left" vertical="center"/>
    </xf>
    <xf numFmtId="0" fontId="33" fillId="0" borderId="7" xfId="0" applyFont="1" applyBorder="1" applyAlignment="1" applyProtection="1">
      <alignment horizontal="left" vertical="center" wrapText="1"/>
    </xf>
    <xf numFmtId="0" fontId="31" fillId="0" borderId="117" xfId="0" applyFont="1" applyBorder="1" applyAlignment="1" applyProtection="1">
      <alignment horizontal="left" vertical="center"/>
    </xf>
    <xf numFmtId="0" fontId="31" fillId="0" borderId="118" xfId="0" applyFont="1" applyBorder="1" applyAlignment="1" applyProtection="1">
      <alignment horizontal="left" vertical="center"/>
    </xf>
    <xf numFmtId="0" fontId="31" fillId="0" borderId="0" xfId="0" applyFont="1" applyAlignment="1" applyProtection="1">
      <alignment horizontal="left" vertical="top" wrapText="1"/>
    </xf>
    <xf numFmtId="188" fontId="31" fillId="0" borderId="54" xfId="0" applyNumberFormat="1" applyFont="1" applyBorder="1" applyAlignment="1" applyProtection="1">
      <alignment horizontal="center" vertical="center"/>
    </xf>
    <xf numFmtId="188" fontId="31" fillId="0" borderId="55" xfId="0" applyNumberFormat="1" applyFont="1" applyBorder="1" applyAlignment="1" applyProtection="1">
      <alignment horizontal="center" vertical="center"/>
    </xf>
    <xf numFmtId="188" fontId="31" fillId="0" borderId="56" xfId="0" applyNumberFormat="1" applyFont="1" applyBorder="1" applyAlignment="1" applyProtection="1">
      <alignment horizontal="center" vertical="center"/>
    </xf>
    <xf numFmtId="0" fontId="31" fillId="0" borderId="54" xfId="0" applyFont="1" applyBorder="1" applyAlignment="1" applyProtection="1">
      <alignment horizontal="center" vertical="center" wrapText="1"/>
    </xf>
    <xf numFmtId="0" fontId="31" fillId="0" borderId="55" xfId="0" applyFont="1" applyBorder="1" applyAlignment="1" applyProtection="1">
      <alignment horizontal="center" vertical="center" wrapText="1"/>
    </xf>
    <xf numFmtId="0" fontId="31" fillId="0" borderId="56" xfId="0" applyFont="1" applyBorder="1" applyAlignment="1" applyProtection="1">
      <alignment horizontal="center" vertical="center" wrapText="1"/>
    </xf>
    <xf numFmtId="188" fontId="31" fillId="0" borderId="62" xfId="0" applyNumberFormat="1" applyFont="1" applyBorder="1" applyAlignment="1" applyProtection="1">
      <alignment horizontal="center" vertical="center" wrapText="1"/>
    </xf>
    <xf numFmtId="188" fontId="31" fillId="0" borderId="65" xfId="0" applyNumberFormat="1" applyFont="1" applyBorder="1" applyAlignment="1" applyProtection="1">
      <alignment horizontal="center" vertical="center"/>
    </xf>
    <xf numFmtId="0" fontId="31" fillId="0" borderId="66" xfId="0" applyFont="1" applyBorder="1" applyAlignment="1" applyProtection="1">
      <alignment horizontal="center" vertical="center" wrapText="1"/>
    </xf>
    <xf numFmtId="0" fontId="31" fillId="0" borderId="121" xfId="0" applyFont="1" applyBorder="1" applyAlignment="1" applyProtection="1">
      <alignment horizontal="center" vertical="center" wrapText="1"/>
    </xf>
    <xf numFmtId="0" fontId="33" fillId="0" borderId="113" xfId="0" applyFont="1" applyBorder="1" applyAlignment="1" applyProtection="1">
      <alignment horizontal="left" vertical="center"/>
    </xf>
    <xf numFmtId="0" fontId="33" fillId="0" borderId="23" xfId="0" applyFont="1" applyBorder="1" applyAlignment="1" applyProtection="1">
      <alignment horizontal="left" vertical="center"/>
    </xf>
    <xf numFmtId="0" fontId="31" fillId="0" borderId="0" xfId="0" applyFont="1" applyAlignment="1" applyProtection="1">
      <alignment horizontal="center" vertical="center"/>
    </xf>
    <xf numFmtId="0" fontId="31" fillId="0" borderId="110" xfId="0" applyFont="1" applyBorder="1" applyAlignment="1" applyProtection="1">
      <alignment horizontal="center" vertical="center"/>
    </xf>
    <xf numFmtId="0" fontId="31" fillId="0" borderId="54" xfId="0" applyFont="1" applyBorder="1" applyAlignment="1" applyProtection="1">
      <alignment horizontal="center" vertical="center"/>
    </xf>
    <xf numFmtId="0" fontId="31" fillId="0" borderId="55" xfId="0" applyFont="1" applyBorder="1" applyAlignment="1" applyProtection="1">
      <alignment horizontal="center" vertical="center"/>
    </xf>
    <xf numFmtId="0" fontId="31" fillId="0" borderId="56" xfId="0" applyFont="1" applyBorder="1" applyAlignment="1" applyProtection="1">
      <alignment horizontal="center" vertical="center"/>
    </xf>
    <xf numFmtId="0" fontId="31" fillId="0" borderId="5" xfId="0" applyFont="1" applyBorder="1" applyAlignment="1" applyProtection="1">
      <alignment horizontal="center" vertical="center"/>
    </xf>
    <xf numFmtId="0" fontId="31" fillId="0" borderId="7" xfId="0" applyFont="1" applyBorder="1" applyAlignment="1" applyProtection="1">
      <alignment horizontal="center" vertical="center"/>
    </xf>
    <xf numFmtId="0" fontId="31" fillId="0" borderId="5" xfId="0" applyFont="1" applyBorder="1" applyAlignment="1" applyProtection="1">
      <alignment horizontal="left" vertical="center"/>
    </xf>
    <xf numFmtId="0" fontId="31" fillId="0" borderId="3" xfId="0" applyFont="1" applyBorder="1" applyAlignment="1" applyProtection="1">
      <alignment horizontal="left" vertical="center"/>
    </xf>
    <xf numFmtId="0" fontId="31" fillId="0" borderId="2" xfId="0" applyFont="1" applyBorder="1" applyAlignment="1" applyProtection="1">
      <alignment horizontal="left" vertical="center"/>
    </xf>
    <xf numFmtId="0" fontId="31" fillId="0" borderId="112" xfId="0" applyFont="1" applyBorder="1" applyAlignment="1" applyProtection="1">
      <alignment horizontal="left" vertical="center"/>
    </xf>
    <xf numFmtId="0" fontId="31" fillId="0" borderId="113" xfId="0" applyFont="1" applyBorder="1" applyAlignment="1" applyProtection="1">
      <alignment horizontal="left" vertical="center"/>
    </xf>
    <xf numFmtId="0" fontId="111" fillId="6" borderId="74" xfId="8" applyFont="1" applyFill="1" applyBorder="1" applyAlignment="1">
      <alignment horizontal="center" vertical="center" textRotation="255"/>
    </xf>
    <xf numFmtId="0" fontId="111" fillId="6" borderId="103" xfId="8" applyFont="1" applyFill="1" applyBorder="1" applyAlignment="1">
      <alignment horizontal="center" vertical="center" textRotation="255"/>
    </xf>
    <xf numFmtId="0" fontId="111" fillId="6" borderId="150" xfId="8" applyFont="1" applyFill="1" applyBorder="1" applyAlignment="1">
      <alignment horizontal="center" vertical="center" textRotation="255"/>
    </xf>
    <xf numFmtId="0" fontId="111" fillId="6" borderId="9" xfId="8" applyFont="1" applyFill="1" applyBorder="1" applyAlignment="1">
      <alignment horizontal="center" vertical="center" textRotation="255"/>
    </xf>
    <xf numFmtId="0" fontId="111" fillId="6" borderId="8" xfId="8" applyFont="1" applyFill="1" applyBorder="1" applyAlignment="1">
      <alignment horizontal="center" vertical="center" textRotation="255"/>
    </xf>
    <xf numFmtId="0" fontId="111" fillId="6" borderId="151" xfId="8" applyFont="1" applyFill="1" applyBorder="1" applyAlignment="1">
      <alignment horizontal="center" vertical="center" textRotation="255"/>
    </xf>
    <xf numFmtId="0" fontId="111" fillId="6" borderId="57" xfId="8" applyFont="1" applyFill="1" applyBorder="1" applyAlignment="1">
      <alignment horizontal="center" vertical="center" wrapText="1" shrinkToFit="1"/>
    </xf>
    <xf numFmtId="0" fontId="111" fillId="6" borderId="58" xfId="8" applyFont="1" applyFill="1" applyBorder="1" applyAlignment="1">
      <alignment horizontal="center" vertical="center" wrapText="1" shrinkToFit="1"/>
    </xf>
    <xf numFmtId="0" fontId="111" fillId="6" borderId="61" xfId="8" applyFont="1" applyFill="1" applyBorder="1" applyAlignment="1">
      <alignment horizontal="center" vertical="center" wrapText="1" shrinkToFit="1"/>
    </xf>
    <xf numFmtId="0" fontId="111" fillId="6" borderId="62" xfId="8" applyFont="1" applyFill="1" applyBorder="1" applyAlignment="1">
      <alignment horizontal="center" vertical="center" wrapText="1" shrinkToFit="1"/>
    </xf>
    <xf numFmtId="0" fontId="111" fillId="6" borderId="10" xfId="8" applyFont="1" applyFill="1" applyBorder="1" applyAlignment="1">
      <alignment horizontal="center" vertical="center" wrapText="1" shrinkToFit="1"/>
    </xf>
    <xf numFmtId="0" fontId="111" fillId="6" borderId="65" xfId="8" applyFont="1" applyFill="1" applyBorder="1" applyAlignment="1">
      <alignment horizontal="center" vertical="center" wrapText="1" shrinkToFit="1"/>
    </xf>
    <xf numFmtId="0" fontId="111" fillId="6" borderId="5" xfId="8" applyFont="1" applyFill="1" applyBorder="1" applyAlignment="1">
      <alignment horizontal="center" vertical="center"/>
    </xf>
    <xf numFmtId="0" fontId="111" fillId="6" borderId="64" xfId="8" applyFont="1" applyFill="1" applyBorder="1" applyAlignment="1">
      <alignment horizontal="center" vertical="center"/>
    </xf>
    <xf numFmtId="0" fontId="111" fillId="6" borderId="9" xfId="8" applyFont="1" applyFill="1" applyBorder="1" applyAlignment="1">
      <alignment horizontal="center" vertical="center"/>
    </xf>
    <xf numFmtId="0" fontId="111" fillId="6" borderId="1" xfId="8" applyFont="1" applyFill="1" applyBorder="1" applyAlignment="1">
      <alignment horizontal="center" vertical="center"/>
    </xf>
    <xf numFmtId="0" fontId="111" fillId="6" borderId="214" xfId="8" applyFont="1" applyFill="1" applyBorder="1" applyAlignment="1">
      <alignment horizontal="center" vertical="center" wrapText="1"/>
    </xf>
    <xf numFmtId="0" fontId="111" fillId="6" borderId="147" xfId="8" applyFont="1" applyFill="1" applyBorder="1" applyAlignment="1">
      <alignment horizontal="center" vertical="center" wrapText="1"/>
    </xf>
    <xf numFmtId="0" fontId="111" fillId="6" borderId="0" xfId="8" applyFont="1" applyFill="1" applyAlignment="1">
      <alignment horizontal="center" vertical="center" wrapText="1"/>
    </xf>
    <xf numFmtId="0" fontId="111" fillId="0" borderId="59" xfId="8" applyFont="1" applyBorder="1" applyAlignment="1">
      <alignment horizontal="center" vertical="center" shrinkToFit="1"/>
    </xf>
    <xf numFmtId="0" fontId="111" fillId="0" borderId="60" xfId="8" applyFont="1" applyBorder="1" applyAlignment="1">
      <alignment horizontal="center" vertical="center" shrinkToFit="1"/>
    </xf>
    <xf numFmtId="0" fontId="111" fillId="0" borderId="103" xfId="8" applyFont="1" applyBorder="1" applyAlignment="1">
      <alignment horizontal="center" vertical="center" shrinkToFit="1"/>
    </xf>
    <xf numFmtId="0" fontId="111" fillId="0" borderId="94" xfId="8" applyFont="1" applyBorder="1" applyAlignment="1">
      <alignment horizontal="center" vertical="center" shrinkToFit="1"/>
    </xf>
    <xf numFmtId="0" fontId="111" fillId="0" borderId="103" xfId="8" applyFont="1" applyBorder="1" applyAlignment="1">
      <alignment horizontal="center" vertical="center"/>
    </xf>
    <xf numFmtId="0" fontId="111" fillId="0" borderId="94" xfId="8" applyFont="1" applyBorder="1" applyAlignment="1">
      <alignment horizontal="center" vertical="center"/>
    </xf>
    <xf numFmtId="0" fontId="109" fillId="15" borderId="179" xfId="8" applyFont="1" applyFill="1" applyBorder="1" applyAlignment="1" applyProtection="1">
      <alignment horizontal="center" vertical="center" shrinkToFit="1"/>
      <protection locked="0"/>
    </xf>
    <xf numFmtId="0" fontId="109" fillId="8" borderId="39" xfId="8" applyFont="1" applyFill="1" applyBorder="1" applyAlignment="1">
      <alignment horizontal="center" vertical="center" shrinkToFit="1"/>
    </xf>
    <xf numFmtId="0" fontId="109" fillId="8" borderId="179" xfId="8" applyFont="1" applyFill="1" applyBorder="1" applyAlignment="1">
      <alignment horizontal="center" vertical="center" shrinkToFit="1"/>
    </xf>
    <xf numFmtId="200" fontId="109" fillId="15" borderId="39" xfId="8" applyNumberFormat="1" applyFont="1" applyFill="1" applyBorder="1" applyAlignment="1" applyProtection="1">
      <alignment horizontal="center" vertical="center" shrinkToFit="1"/>
      <protection locked="0"/>
    </xf>
    <xf numFmtId="200" fontId="109" fillId="15" borderId="179" xfId="8" applyNumberFormat="1" applyFont="1" applyFill="1" applyBorder="1" applyAlignment="1" applyProtection="1">
      <alignment horizontal="center" vertical="center" shrinkToFit="1"/>
      <protection locked="0"/>
    </xf>
    <xf numFmtId="0" fontId="107" fillId="15" borderId="253" xfId="8" applyFont="1" applyFill="1" applyBorder="1" applyAlignment="1" applyProtection="1">
      <alignment horizontal="left" vertical="center" shrinkToFit="1"/>
      <protection locked="0"/>
    </xf>
    <xf numFmtId="0" fontId="107" fillId="15" borderId="179" xfId="8" applyFont="1" applyFill="1" applyBorder="1" applyAlignment="1" applyProtection="1">
      <alignment horizontal="left" vertical="center" shrinkToFit="1"/>
      <protection locked="0"/>
    </xf>
    <xf numFmtId="0" fontId="107" fillId="15" borderId="33" xfId="8" applyFont="1" applyFill="1" applyBorder="1" applyAlignment="1" applyProtection="1">
      <alignment horizontal="left" vertical="center" shrinkToFit="1"/>
      <protection locked="0"/>
    </xf>
    <xf numFmtId="0" fontId="107" fillId="15" borderId="39" xfId="8" applyFont="1" applyFill="1" applyBorder="1" applyAlignment="1" applyProtection="1">
      <alignment horizontal="left" vertical="center" shrinkToFit="1"/>
      <protection locked="0"/>
    </xf>
    <xf numFmtId="0" fontId="109" fillId="15" borderId="39" xfId="8" applyFont="1" applyFill="1" applyBorder="1" applyAlignment="1" applyProtection="1">
      <alignment horizontal="center" vertical="center" shrinkToFit="1"/>
      <protection locked="0"/>
    </xf>
    <xf numFmtId="188" fontId="109" fillId="15" borderId="179" xfId="8" applyNumberFormat="1" applyFont="1" applyFill="1" applyBorder="1" applyAlignment="1" applyProtection="1">
      <alignment horizontal="center" vertical="center" shrinkToFit="1"/>
      <protection locked="0"/>
    </xf>
    <xf numFmtId="0" fontId="111" fillId="0" borderId="58" xfId="8" applyFont="1" applyBorder="1" applyAlignment="1">
      <alignment horizontal="center" vertical="center"/>
    </xf>
    <xf numFmtId="0" fontId="111" fillId="0" borderId="176" xfId="8" applyFont="1" applyBorder="1" applyAlignment="1">
      <alignment horizontal="center" vertical="center"/>
    </xf>
    <xf numFmtId="0" fontId="111" fillId="0" borderId="139" xfId="8" applyFont="1" applyBorder="1" applyAlignment="1">
      <alignment horizontal="center" vertical="center"/>
    </xf>
    <xf numFmtId="0" fontId="111" fillId="0" borderId="101" xfId="8" applyFont="1" applyBorder="1" applyAlignment="1">
      <alignment horizontal="center" vertical="center"/>
    </xf>
    <xf numFmtId="0" fontId="111" fillId="15" borderId="58" xfId="8" applyFont="1" applyFill="1" applyBorder="1" applyAlignment="1" applyProtection="1">
      <alignment horizontal="center" vertical="center" shrinkToFit="1"/>
      <protection locked="0"/>
    </xf>
    <xf numFmtId="0" fontId="111" fillId="15" borderId="139" xfId="8" applyFont="1" applyFill="1" applyBorder="1" applyAlignment="1" applyProtection="1">
      <alignment horizontal="center" vertical="center" shrinkToFit="1"/>
      <protection locked="0"/>
    </xf>
    <xf numFmtId="0" fontId="111" fillId="0" borderId="61" xfId="8" applyFont="1" applyBorder="1" applyAlignment="1">
      <alignment horizontal="center" vertical="center" shrinkToFit="1"/>
    </xf>
    <xf numFmtId="0" fontId="111" fillId="0" borderId="87" xfId="8" applyFont="1" applyBorder="1" applyAlignment="1">
      <alignment horizontal="center" vertical="center" shrinkToFit="1"/>
    </xf>
    <xf numFmtId="0" fontId="111" fillId="0" borderId="58" xfId="8" applyFont="1" applyBorder="1" applyAlignment="1">
      <alignment horizontal="center" vertical="center" shrinkToFit="1"/>
    </xf>
    <xf numFmtId="0" fontId="111" fillId="0" borderId="139" xfId="8" applyFont="1" applyBorder="1" applyAlignment="1">
      <alignment horizontal="center" vertical="center" shrinkToFit="1"/>
    </xf>
    <xf numFmtId="200" fontId="109" fillId="15" borderId="3" xfId="8" applyNumberFormat="1" applyFont="1" applyFill="1" applyBorder="1" applyAlignment="1" applyProtection="1">
      <alignment horizontal="center" vertical="center" shrinkToFit="1"/>
      <protection locked="0"/>
    </xf>
    <xf numFmtId="200" fontId="109" fillId="15" borderId="2" xfId="8" applyNumberFormat="1" applyFont="1" applyFill="1" applyBorder="1" applyAlignment="1" applyProtection="1">
      <alignment horizontal="center" vertical="center" shrinkToFit="1"/>
      <protection locked="0"/>
    </xf>
    <xf numFmtId="188" fontId="109" fillId="15" borderId="2" xfId="8" applyNumberFormat="1" applyFont="1" applyFill="1" applyBorder="1" applyAlignment="1" applyProtection="1">
      <alignment horizontal="center" vertical="center" shrinkToFit="1"/>
      <protection locked="0"/>
    </xf>
    <xf numFmtId="0" fontId="111" fillId="0" borderId="13" xfId="8" applyFont="1" applyBorder="1" applyAlignment="1">
      <alignment horizontal="center" vertical="center" wrapText="1"/>
    </xf>
    <xf numFmtId="0" fontId="111" fillId="0" borderId="0" xfId="8" applyFont="1" applyAlignment="1">
      <alignment horizontal="center" vertical="center"/>
    </xf>
    <xf numFmtId="0" fontId="111" fillId="0" borderId="110" xfId="8" applyFont="1" applyBorder="1" applyAlignment="1">
      <alignment horizontal="center" vertical="center"/>
    </xf>
    <xf numFmtId="0" fontId="111" fillId="0" borderId="13" xfId="8" applyFont="1" applyBorder="1" applyAlignment="1">
      <alignment horizontal="center" vertical="center"/>
    </xf>
    <xf numFmtId="0" fontId="111" fillId="0" borderId="11" xfId="8" applyFont="1" applyBorder="1" applyAlignment="1">
      <alignment horizontal="center" vertical="center"/>
    </xf>
    <xf numFmtId="0" fontId="111" fillId="0" borderId="10" xfId="8" applyFont="1" applyBorder="1" applyAlignment="1">
      <alignment horizontal="center" vertical="center"/>
    </xf>
    <xf numFmtId="0" fontId="111" fillId="0" borderId="65" xfId="8" applyFont="1" applyBorder="1" applyAlignment="1">
      <alignment horizontal="center" vertical="center"/>
    </xf>
    <xf numFmtId="0" fontId="57" fillId="15" borderId="58" xfId="8" applyFont="1" applyFill="1" applyBorder="1" applyAlignment="1">
      <alignment horizontal="center" vertical="center"/>
    </xf>
    <xf numFmtId="0" fontId="57" fillId="15" borderId="139" xfId="8" applyFont="1" applyFill="1" applyBorder="1" applyAlignment="1">
      <alignment horizontal="center" vertical="center"/>
    </xf>
    <xf numFmtId="0" fontId="107" fillId="15" borderId="58" xfId="8" applyFont="1" applyFill="1" applyBorder="1" applyAlignment="1">
      <alignment horizontal="center" vertical="center"/>
    </xf>
    <xf numFmtId="0" fontId="107" fillId="15" borderId="139" xfId="8" applyFont="1" applyFill="1" applyBorder="1" applyAlignment="1">
      <alignment horizontal="center" vertical="center"/>
    </xf>
    <xf numFmtId="0" fontId="119" fillId="13" borderId="13" xfId="8" applyFont="1" applyFill="1" applyBorder="1" applyAlignment="1" applyProtection="1">
      <alignment horizontal="center" vertical="center"/>
      <protection locked="0"/>
    </xf>
    <xf numFmtId="0" fontId="119" fillId="13" borderId="0" xfId="8" applyFont="1" applyFill="1" applyAlignment="1" applyProtection="1">
      <alignment horizontal="center" vertical="center"/>
      <protection locked="0"/>
    </xf>
    <xf numFmtId="0" fontId="111" fillId="0" borderId="148" xfId="8" applyFont="1" applyBorder="1" applyAlignment="1">
      <alignment horizontal="center" vertical="center"/>
    </xf>
    <xf numFmtId="0" fontId="111" fillId="0" borderId="83" xfId="8" applyFont="1" applyBorder="1" applyAlignment="1">
      <alignment horizontal="center" vertical="center"/>
    </xf>
    <xf numFmtId="0" fontId="111" fillId="15" borderId="148" xfId="8" applyFont="1" applyFill="1" applyBorder="1" applyAlignment="1" applyProtection="1">
      <alignment horizontal="center" vertical="center" shrinkToFit="1"/>
      <protection locked="0"/>
    </xf>
    <xf numFmtId="0" fontId="111" fillId="15" borderId="83" xfId="8" applyFont="1" applyFill="1" applyBorder="1" applyAlignment="1" applyProtection="1">
      <alignment horizontal="center" vertical="center" shrinkToFit="1"/>
      <protection locked="0"/>
    </xf>
    <xf numFmtId="0" fontId="109" fillId="8" borderId="3" xfId="8" applyFont="1" applyFill="1" applyBorder="1" applyAlignment="1">
      <alignment horizontal="center" vertical="center" shrinkToFit="1"/>
    </xf>
    <xf numFmtId="0" fontId="109" fillId="8" borderId="2" xfId="8" applyFont="1" applyFill="1" applyBorder="1" applyAlignment="1">
      <alignment horizontal="center" vertical="center" shrinkToFit="1"/>
    </xf>
    <xf numFmtId="0" fontId="107" fillId="15" borderId="3" xfId="8" applyFont="1" applyFill="1" applyBorder="1" applyAlignment="1" applyProtection="1">
      <alignment horizontal="left" vertical="center" shrinkToFit="1"/>
      <protection locked="0"/>
    </xf>
    <xf numFmtId="0" fontId="107" fillId="15" borderId="2" xfId="8" applyFont="1" applyFill="1" applyBorder="1" applyAlignment="1" applyProtection="1">
      <alignment horizontal="left" vertical="center" shrinkToFit="1"/>
      <protection locked="0"/>
    </xf>
    <xf numFmtId="0" fontId="107" fillId="15" borderId="4" xfId="8" applyFont="1" applyFill="1" applyBorder="1" applyAlignment="1" applyProtection="1">
      <alignment horizontal="left" vertical="center" shrinkToFit="1"/>
      <protection locked="0"/>
    </xf>
    <xf numFmtId="0" fontId="109" fillId="15" borderId="3" xfId="8" applyFont="1" applyFill="1" applyBorder="1" applyAlignment="1" applyProtection="1">
      <alignment horizontal="center" vertical="center" shrinkToFit="1"/>
      <protection locked="0"/>
    </xf>
    <xf numFmtId="0" fontId="109" fillId="15" borderId="2" xfId="8" applyFont="1" applyFill="1" applyBorder="1" applyAlignment="1" applyProtection="1">
      <alignment horizontal="center" vertical="center" shrinkToFit="1"/>
      <protection locked="0"/>
    </xf>
    <xf numFmtId="0" fontId="109" fillId="15" borderId="254" xfId="8" applyFont="1" applyFill="1" applyBorder="1" applyAlignment="1" applyProtection="1">
      <alignment horizontal="center" vertical="center" shrinkToFit="1"/>
      <protection locked="0"/>
    </xf>
    <xf numFmtId="0" fontId="111" fillId="0" borderId="50" xfId="8" applyFont="1" applyBorder="1" applyAlignment="1">
      <alignment horizontal="center" vertical="center"/>
    </xf>
    <xf numFmtId="0" fontId="111" fillId="0" borderId="12" xfId="8" applyFont="1" applyBorder="1" applyAlignment="1">
      <alignment horizontal="center" vertical="center"/>
    </xf>
    <xf numFmtId="0" fontId="111" fillId="0" borderId="13" xfId="8" applyFont="1" applyBorder="1" applyAlignment="1">
      <alignment vertical="center" wrapText="1"/>
    </xf>
    <xf numFmtId="0" fontId="111" fillId="0" borderId="0" xfId="8" applyFont="1">
      <alignment vertical="center"/>
    </xf>
    <xf numFmtId="0" fontId="111" fillId="0" borderId="50" xfId="8" applyFont="1" applyBorder="1">
      <alignment vertical="center"/>
    </xf>
    <xf numFmtId="0" fontId="111" fillId="0" borderId="13" xfId="8" applyFont="1" applyBorder="1">
      <alignment vertical="center"/>
    </xf>
    <xf numFmtId="0" fontId="111" fillId="0" borderId="11" xfId="8" applyFont="1" applyBorder="1">
      <alignment vertical="center"/>
    </xf>
    <xf numFmtId="0" fontId="111" fillId="0" borderId="10" xfId="8" applyFont="1" applyBorder="1">
      <alignment vertical="center"/>
    </xf>
    <xf numFmtId="0" fontId="111" fillId="0" borderId="12" xfId="8" applyFont="1" applyBorder="1">
      <alignment vertical="center"/>
    </xf>
    <xf numFmtId="0" fontId="111" fillId="0" borderId="57" xfId="8" applyFont="1" applyBorder="1" applyAlignment="1">
      <alignment horizontal="center" vertical="center"/>
    </xf>
    <xf numFmtId="0" fontId="111" fillId="0" borderId="100" xfId="8" applyFont="1" applyBorder="1" applyAlignment="1">
      <alignment horizontal="center" vertical="center"/>
    </xf>
    <xf numFmtId="0" fontId="111" fillId="0" borderId="0" xfId="8" applyFont="1" applyAlignment="1">
      <alignment horizontal="center" vertical="center" wrapText="1"/>
    </xf>
    <xf numFmtId="0" fontId="111" fillId="0" borderId="50" xfId="8" applyFont="1" applyBorder="1" applyAlignment="1">
      <alignment horizontal="center" vertical="center" wrapText="1"/>
    </xf>
    <xf numFmtId="0" fontId="111" fillId="0" borderId="10" xfId="8" applyFont="1" applyBorder="1" applyAlignment="1">
      <alignment horizontal="center" vertical="center" wrapText="1"/>
    </xf>
    <xf numFmtId="0" fontId="111" fillId="0" borderId="12" xfId="8" applyFont="1" applyBorder="1" applyAlignment="1">
      <alignment horizontal="center" vertical="center" wrapText="1"/>
    </xf>
    <xf numFmtId="0" fontId="111" fillId="15" borderId="148" xfId="8" applyFont="1" applyFill="1" applyBorder="1" applyAlignment="1" applyProtection="1">
      <alignment horizontal="center" vertical="center"/>
      <protection locked="0"/>
    </xf>
    <xf numFmtId="0" fontId="111" fillId="15" borderId="58" xfId="8" applyFont="1" applyFill="1" applyBorder="1" applyAlignment="1" applyProtection="1">
      <alignment horizontal="center" vertical="center"/>
      <protection locked="0"/>
    </xf>
    <xf numFmtId="0" fontId="111" fillId="15" borderId="176" xfId="8" applyFont="1" applyFill="1" applyBorder="1" applyAlignment="1" applyProtection="1">
      <alignment horizontal="center" vertical="center"/>
      <protection locked="0"/>
    </xf>
    <xf numFmtId="0" fontId="111" fillId="15" borderId="83" xfId="8" applyFont="1" applyFill="1" applyBorder="1" applyAlignment="1" applyProtection="1">
      <alignment horizontal="center" vertical="center"/>
      <protection locked="0"/>
    </xf>
    <xf numFmtId="0" fontId="111" fillId="15" borderId="139" xfId="8" applyFont="1" applyFill="1" applyBorder="1" applyAlignment="1" applyProtection="1">
      <alignment horizontal="center" vertical="center"/>
      <protection locked="0"/>
    </xf>
    <xf numFmtId="0" fontId="111" fillId="15" borderId="101" xfId="8" applyFont="1" applyFill="1" applyBorder="1" applyAlignment="1" applyProtection="1">
      <alignment horizontal="center" vertical="center"/>
      <protection locked="0"/>
    </xf>
    <xf numFmtId="0" fontId="111" fillId="0" borderId="72" xfId="8" applyFont="1" applyBorder="1" applyAlignment="1">
      <alignment horizontal="center" vertical="center"/>
    </xf>
    <xf numFmtId="0" fontId="107" fillId="0" borderId="148" xfId="8" applyFont="1" applyBorder="1">
      <alignment vertical="center"/>
    </xf>
    <xf numFmtId="0" fontId="107" fillId="0" borderId="58" xfId="8" applyFont="1" applyBorder="1">
      <alignment vertical="center"/>
    </xf>
    <xf numFmtId="0" fontId="107" fillId="0" borderId="176" xfId="8" applyFont="1" applyBorder="1">
      <alignment vertical="center"/>
    </xf>
    <xf numFmtId="0" fontId="107" fillId="0" borderId="13" xfId="8" applyFont="1" applyBorder="1">
      <alignment vertical="center"/>
    </xf>
    <xf numFmtId="0" fontId="107" fillId="0" borderId="0" xfId="8" applyFont="1">
      <alignment vertical="center"/>
    </xf>
    <xf numFmtId="0" fontId="107" fillId="0" borderId="50" xfId="8" applyFont="1" applyBorder="1">
      <alignment vertical="center"/>
    </xf>
    <xf numFmtId="0" fontId="107" fillId="0" borderId="83" xfId="8" applyFont="1" applyBorder="1">
      <alignment vertical="center"/>
    </xf>
    <xf numFmtId="0" fontId="107" fillId="0" borderId="139" xfId="8" applyFont="1" applyBorder="1">
      <alignment vertical="center"/>
    </xf>
    <xf numFmtId="0" fontId="107" fillId="0" borderId="101" xfId="8" applyFont="1" applyBorder="1">
      <alignment vertical="center"/>
    </xf>
    <xf numFmtId="0" fontId="107" fillId="0" borderId="58" xfId="8" applyFont="1" applyBorder="1" applyAlignment="1">
      <alignment horizontal="center" vertical="center"/>
    </xf>
    <xf numFmtId="0" fontId="107" fillId="0" borderId="176" xfId="8" applyFont="1" applyBorder="1" applyAlignment="1">
      <alignment horizontal="center" vertical="center"/>
    </xf>
    <xf numFmtId="0" fontId="107" fillId="0" borderId="0" xfId="8" applyFont="1" applyAlignment="1">
      <alignment horizontal="center" vertical="center"/>
    </xf>
    <xf numFmtId="0" fontId="107" fillId="0" borderId="50" xfId="8" applyFont="1" applyBorder="1" applyAlignment="1">
      <alignment horizontal="center" vertical="center"/>
    </xf>
    <xf numFmtId="0" fontId="107" fillId="0" borderId="139" xfId="8" applyFont="1" applyBorder="1" applyAlignment="1">
      <alignment horizontal="center" vertical="center"/>
    </xf>
    <xf numFmtId="0" fontId="107" fillId="0" borderId="101" xfId="8" applyFont="1" applyBorder="1" applyAlignment="1">
      <alignment horizontal="center" vertical="center"/>
    </xf>
    <xf numFmtId="0" fontId="107" fillId="8" borderId="13" xfId="8" applyFont="1" applyFill="1" applyBorder="1" applyAlignment="1">
      <alignment horizontal="center" vertical="center" shrinkToFit="1"/>
    </xf>
    <xf numFmtId="0" fontId="107" fillId="8" borderId="0" xfId="8" applyFont="1" applyFill="1" applyAlignment="1">
      <alignment horizontal="center" vertical="center" shrinkToFit="1"/>
    </xf>
    <xf numFmtId="0" fontId="107" fillId="8" borderId="50" xfId="8" applyFont="1" applyFill="1" applyBorder="1" applyAlignment="1">
      <alignment horizontal="center" vertical="center" shrinkToFit="1"/>
    </xf>
    <xf numFmtId="0" fontId="107" fillId="15" borderId="0" xfId="8" applyFont="1" applyFill="1" applyAlignment="1" applyProtection="1">
      <alignment horizontal="left" vertical="center" shrinkToFit="1"/>
      <protection locked="0"/>
    </xf>
    <xf numFmtId="0" fontId="107" fillId="15" borderId="50" xfId="8" applyFont="1" applyFill="1" applyBorder="1" applyAlignment="1" applyProtection="1">
      <alignment horizontal="left" vertical="center" shrinkToFit="1"/>
      <protection locked="0"/>
    </xf>
    <xf numFmtId="0" fontId="107" fillId="13" borderId="13" xfId="8" applyFont="1" applyFill="1" applyBorder="1" applyAlignment="1" applyProtection="1">
      <alignment horizontal="left" vertical="center" shrinkToFit="1"/>
      <protection locked="0"/>
    </xf>
    <xf numFmtId="0" fontId="107" fillId="13" borderId="0" xfId="8" applyFont="1" applyFill="1" applyAlignment="1" applyProtection="1">
      <alignment horizontal="left" vertical="center" shrinkToFit="1"/>
      <protection locked="0"/>
    </xf>
    <xf numFmtId="0" fontId="107" fillId="13" borderId="50" xfId="8" applyFont="1" applyFill="1" applyBorder="1" applyAlignment="1" applyProtection="1">
      <alignment horizontal="left" vertical="center" shrinkToFit="1"/>
      <protection locked="0"/>
    </xf>
    <xf numFmtId="0" fontId="109" fillId="0" borderId="83" xfId="8" applyFont="1" applyBorder="1" applyAlignment="1">
      <alignment horizontal="right" vertical="top" shrinkToFit="1"/>
    </xf>
    <xf numFmtId="0" fontId="109" fillId="0" borderId="139" xfId="8" applyFont="1" applyBorder="1" applyAlignment="1">
      <alignment horizontal="right" vertical="top" shrinkToFit="1"/>
    </xf>
    <xf numFmtId="0" fontId="109" fillId="0" borderId="101" xfId="8" applyFont="1" applyBorder="1" applyAlignment="1">
      <alignment horizontal="right" vertical="top" shrinkToFit="1"/>
    </xf>
    <xf numFmtId="0" fontId="109" fillId="15" borderId="0" xfId="8" applyFont="1" applyFill="1" applyAlignment="1" applyProtection="1">
      <alignment horizontal="center" vertical="center" shrinkToFit="1"/>
      <protection locked="0"/>
    </xf>
    <xf numFmtId="0" fontId="109" fillId="15" borderId="180" xfId="8" applyFont="1" applyFill="1" applyBorder="1" applyAlignment="1" applyProtection="1">
      <alignment horizontal="center" vertical="center" shrinkToFit="1"/>
      <protection locked="0"/>
    </xf>
    <xf numFmtId="0" fontId="119" fillId="14" borderId="13" xfId="8" applyFont="1" applyFill="1" applyBorder="1" applyAlignment="1">
      <alignment horizontal="center" vertical="center"/>
    </xf>
    <xf numFmtId="0" fontId="119" fillId="14" borderId="0" xfId="8" applyFont="1" applyFill="1" applyAlignment="1">
      <alignment horizontal="center" vertical="center"/>
    </xf>
    <xf numFmtId="0" fontId="107" fillId="15" borderId="13" xfId="8" applyFont="1" applyFill="1" applyBorder="1" applyAlignment="1" applyProtection="1">
      <alignment horizontal="left" vertical="center" shrinkToFit="1"/>
      <protection locked="0"/>
    </xf>
    <xf numFmtId="0" fontId="109" fillId="15" borderId="13" xfId="8" applyFont="1" applyFill="1" applyBorder="1" applyAlignment="1" applyProtection="1">
      <alignment horizontal="center" vertical="center" shrinkToFit="1"/>
      <protection locked="0"/>
    </xf>
    <xf numFmtId="200" fontId="109" fillId="13" borderId="13" xfId="8" applyNumberFormat="1" applyFont="1" applyFill="1" applyBorder="1" applyAlignment="1" applyProtection="1">
      <alignment horizontal="center" vertical="center" shrinkToFit="1"/>
      <protection locked="0"/>
    </xf>
    <xf numFmtId="200" fontId="109" fillId="13" borderId="252" xfId="8" applyNumberFormat="1" applyFont="1" applyFill="1" applyBorder="1" applyAlignment="1" applyProtection="1">
      <alignment horizontal="center" vertical="center" shrinkToFit="1"/>
      <protection locked="0"/>
    </xf>
    <xf numFmtId="0" fontId="119" fillId="13" borderId="139" xfId="8" applyFont="1" applyFill="1" applyBorder="1" applyAlignment="1" applyProtection="1">
      <alignment horizontal="center" vertical="center"/>
      <protection locked="0"/>
    </xf>
    <xf numFmtId="0" fontId="107" fillId="6" borderId="0" xfId="8" applyFont="1" applyFill="1" applyAlignment="1">
      <alignment horizontal="center" vertical="center"/>
    </xf>
    <xf numFmtId="0" fontId="111" fillId="0" borderId="0" xfId="8" applyFont="1" applyAlignment="1">
      <alignment horizontal="left" vertical="center"/>
    </xf>
    <xf numFmtId="0" fontId="111" fillId="0" borderId="110" xfId="8" applyFont="1" applyBorder="1" applyAlignment="1">
      <alignment horizontal="left" vertical="center"/>
    </xf>
    <xf numFmtId="0" fontId="112" fillId="0" borderId="148" xfId="8" applyFont="1" applyBorder="1" applyAlignment="1">
      <alignment horizontal="center" vertical="top" wrapText="1"/>
    </xf>
    <xf numFmtId="0" fontId="112" fillId="0" borderId="58" xfId="8" applyFont="1" applyBorder="1" applyAlignment="1">
      <alignment horizontal="center" vertical="top" wrapText="1"/>
    </xf>
    <xf numFmtId="0" fontId="117" fillId="0" borderId="148" xfId="8" applyFont="1" applyBorder="1" applyAlignment="1">
      <alignment horizontal="center" vertical="center"/>
    </xf>
    <xf numFmtId="0" fontId="117" fillId="0" borderId="58" xfId="8" applyFont="1" applyBorder="1" applyAlignment="1">
      <alignment horizontal="center" vertical="center"/>
    </xf>
    <xf numFmtId="0" fontId="107" fillId="8" borderId="249" xfId="8" applyFont="1" applyFill="1" applyBorder="1" applyAlignment="1">
      <alignment horizontal="center" vertical="center"/>
    </xf>
    <xf numFmtId="0" fontId="107" fillId="8" borderId="248" xfId="8" applyFont="1" applyFill="1" applyBorder="1" applyAlignment="1">
      <alignment horizontal="center" vertical="center"/>
    </xf>
    <xf numFmtId="0" fontId="107" fillId="8" borderId="246" xfId="8" applyFont="1" applyFill="1" applyBorder="1" applyAlignment="1">
      <alignment horizontal="center" vertical="center"/>
    </xf>
    <xf numFmtId="0" fontId="107" fillId="8" borderId="162" xfId="8" applyFont="1" applyFill="1" applyBorder="1" applyAlignment="1">
      <alignment horizontal="center" vertical="center"/>
    </xf>
    <xf numFmtId="0" fontId="111" fillId="0" borderId="58" xfId="8" applyFont="1" applyBorder="1" applyAlignment="1">
      <alignment horizontal="left" vertical="center"/>
    </xf>
    <xf numFmtId="0" fontId="111" fillId="0" borderId="61" xfId="8" applyFont="1" applyBorder="1" applyAlignment="1">
      <alignment horizontal="left" vertical="center"/>
    </xf>
    <xf numFmtId="0" fontId="111" fillId="0" borderId="162" xfId="8" applyFont="1" applyBorder="1" applyAlignment="1">
      <alignment horizontal="left" vertical="center"/>
    </xf>
    <xf numFmtId="0" fontId="111" fillId="0" borderId="250" xfId="8" applyFont="1" applyBorder="1" applyAlignment="1">
      <alignment horizontal="left" vertical="center"/>
    </xf>
    <xf numFmtId="0" fontId="114" fillId="0" borderId="57" xfId="8" applyFont="1" applyBorder="1" applyAlignment="1">
      <alignment horizontal="center" vertical="center" wrapText="1"/>
    </xf>
    <xf numFmtId="0" fontId="114" fillId="0" borderId="58" xfId="8" applyFont="1" applyBorder="1" applyAlignment="1">
      <alignment horizontal="center" vertical="center" wrapText="1"/>
    </xf>
    <xf numFmtId="0" fontId="107" fillId="8" borderId="54" xfId="8" applyFont="1" applyFill="1" applyBorder="1" applyAlignment="1">
      <alignment horizontal="center" vertical="center"/>
    </xf>
    <xf numFmtId="0" fontId="107" fillId="8" borderId="56" xfId="8" applyFont="1" applyFill="1" applyBorder="1" applyAlignment="1">
      <alignment horizontal="center" vertical="center"/>
    </xf>
    <xf numFmtId="0" fontId="111" fillId="0" borderId="0" xfId="8" applyFont="1" applyAlignment="1">
      <alignment vertical="center" wrapText="1"/>
    </xf>
    <xf numFmtId="0" fontId="111" fillId="0" borderId="91" xfId="8" applyFont="1" applyBorder="1" applyAlignment="1">
      <alignment vertical="center" textRotation="255"/>
    </xf>
    <xf numFmtId="0" fontId="111" fillId="0" borderId="88" xfId="8" applyFont="1" applyBorder="1" applyAlignment="1">
      <alignment vertical="center" textRotation="255"/>
    </xf>
    <xf numFmtId="0" fontId="111" fillId="0" borderId="102" xfId="8" applyFont="1" applyBorder="1" applyAlignment="1">
      <alignment vertical="center" textRotation="255"/>
    </xf>
    <xf numFmtId="188" fontId="109" fillId="15" borderId="0" xfId="8" applyNumberFormat="1" applyFont="1" applyFill="1" applyAlignment="1" applyProtection="1">
      <alignment horizontal="center" vertical="center" shrinkToFit="1"/>
      <protection locked="0"/>
    </xf>
    <xf numFmtId="0" fontId="109" fillId="8" borderId="13" xfId="8" applyFont="1" applyFill="1" applyBorder="1" applyAlignment="1">
      <alignment horizontal="center" vertical="center" shrinkToFit="1"/>
    </xf>
    <xf numFmtId="0" fontId="109" fillId="8" borderId="0" xfId="8" applyFont="1" applyFill="1" applyAlignment="1">
      <alignment horizontal="center" vertical="center" shrinkToFit="1"/>
    </xf>
    <xf numFmtId="200" fontId="109" fillId="15" borderId="13" xfId="8" applyNumberFormat="1" applyFont="1" applyFill="1" applyBorder="1" applyAlignment="1" applyProtection="1">
      <alignment horizontal="center" vertical="center" shrinkToFit="1"/>
      <protection locked="0"/>
    </xf>
    <xf numFmtId="200" fontId="109" fillId="15" borderId="0" xfId="8" applyNumberFormat="1" applyFont="1" applyFill="1" applyAlignment="1" applyProtection="1">
      <alignment horizontal="center" vertical="center" shrinkToFit="1"/>
      <protection locked="0"/>
    </xf>
    <xf numFmtId="0" fontId="107" fillId="0" borderId="0" xfId="8" applyFont="1" applyAlignment="1">
      <alignment horizontal="left" vertical="center"/>
    </xf>
    <xf numFmtId="0" fontId="111" fillId="0" borderId="58" xfId="8" applyFont="1" applyBorder="1" applyAlignment="1">
      <alignment horizontal="left" vertical="center" wrapText="1"/>
    </xf>
    <xf numFmtId="0" fontId="111" fillId="0" borderId="176" xfId="8" applyFont="1" applyBorder="1" applyAlignment="1">
      <alignment horizontal="left" vertical="center" wrapText="1"/>
    </xf>
    <xf numFmtId="0" fontId="111" fillId="0" borderId="0" xfId="8" applyFont="1" applyAlignment="1">
      <alignment horizontal="left" vertical="center" wrapText="1"/>
    </xf>
    <xf numFmtId="0" fontId="111" fillId="0" borderId="50" xfId="8" applyFont="1" applyBorder="1" applyAlignment="1">
      <alignment horizontal="left" vertical="center" wrapText="1"/>
    </xf>
    <xf numFmtId="0" fontId="111" fillId="0" borderId="10" xfId="8" applyFont="1" applyBorder="1" applyAlignment="1">
      <alignment horizontal="left" vertical="center" wrapText="1"/>
    </xf>
    <xf numFmtId="0" fontId="111" fillId="0" borderId="12" xfId="8" applyFont="1" applyBorder="1" applyAlignment="1">
      <alignment horizontal="left" vertical="center" wrapText="1"/>
    </xf>
    <xf numFmtId="0" fontId="109" fillId="15" borderId="183" xfId="8" applyFont="1" applyFill="1" applyBorder="1" applyAlignment="1" applyProtection="1">
      <alignment horizontal="center" vertical="center" shrinkToFit="1"/>
      <protection locked="0"/>
    </xf>
    <xf numFmtId="0" fontId="57" fillId="0" borderId="57" xfId="2" applyFont="1" applyBorder="1" applyAlignment="1" applyProtection="1">
      <alignment horizontal="center" vertical="center" wrapText="1"/>
    </xf>
    <xf numFmtId="0" fontId="57" fillId="0" borderId="58" xfId="2" applyFont="1" applyBorder="1" applyAlignment="1" applyProtection="1">
      <alignment horizontal="center" vertical="center" wrapText="1"/>
    </xf>
    <xf numFmtId="0" fontId="57" fillId="0" borderId="61" xfId="2" applyFont="1" applyBorder="1" applyAlignment="1" applyProtection="1">
      <alignment horizontal="center" vertical="center" wrapText="1"/>
    </xf>
    <xf numFmtId="0" fontId="57" fillId="0" borderId="62" xfId="2" applyFont="1" applyBorder="1" applyAlignment="1" applyProtection="1">
      <alignment horizontal="center" vertical="center" wrapText="1"/>
    </xf>
    <xf numFmtId="0" fontId="57" fillId="0" borderId="10" xfId="2" applyFont="1" applyBorder="1" applyAlignment="1" applyProtection="1">
      <alignment horizontal="center" vertical="center" wrapText="1"/>
    </xf>
    <xf numFmtId="0" fontId="57" fillId="0" borderId="65" xfId="2" applyFont="1" applyBorder="1" applyAlignment="1" applyProtection="1">
      <alignment horizontal="center" vertical="center" wrapText="1"/>
    </xf>
    <xf numFmtId="0" fontId="57" fillId="0" borderId="167" xfId="2" applyFont="1" applyBorder="1" applyAlignment="1" applyProtection="1">
      <alignment horizontal="center" vertical="center"/>
    </xf>
    <xf numFmtId="0" fontId="57" fillId="0" borderId="149" xfId="2" applyFont="1" applyBorder="1" applyAlignment="1" applyProtection="1">
      <alignment horizontal="center" vertical="center"/>
    </xf>
    <xf numFmtId="0" fontId="65" fillId="0" borderId="0" xfId="2" applyFont="1" applyAlignment="1" applyProtection="1">
      <alignment horizontal="center" vertical="center"/>
    </xf>
    <xf numFmtId="0" fontId="57" fillId="0" borderId="10" xfId="2" applyFont="1" applyBorder="1" applyAlignment="1" applyProtection="1">
      <alignment horizontal="center" vertical="center" shrinkToFit="1"/>
    </xf>
    <xf numFmtId="0" fontId="58" fillId="0" borderId="59" xfId="2" applyFont="1" applyBorder="1" applyAlignment="1" applyProtection="1">
      <alignment horizontal="distributed" vertical="center"/>
    </xf>
    <xf numFmtId="0" fontId="57" fillId="0" borderId="90" xfId="2" applyFont="1" applyBorder="1" applyAlignment="1" applyProtection="1">
      <alignment horizontal="center" vertical="center" shrinkToFit="1"/>
    </xf>
    <xf numFmtId="0" fontId="57" fillId="0" borderId="60" xfId="2" applyFont="1" applyBorder="1" applyAlignment="1" applyProtection="1">
      <alignment horizontal="center" vertical="center" shrinkToFit="1"/>
    </xf>
    <xf numFmtId="0" fontId="57" fillId="0" borderId="146" xfId="2" applyFont="1" applyFill="1" applyBorder="1" applyAlignment="1" applyProtection="1">
      <alignment horizontal="center" vertical="center" wrapText="1"/>
    </xf>
    <xf numFmtId="0" fontId="57" fillId="0" borderId="144" xfId="2" applyFont="1" applyFill="1" applyBorder="1" applyAlignment="1" applyProtection="1">
      <alignment horizontal="center" vertical="center"/>
    </xf>
    <xf numFmtId="0" fontId="58" fillId="0" borderId="103" xfId="2" applyFont="1" applyBorder="1" applyAlignment="1" applyProtection="1">
      <alignment horizontal="distributed" vertical="center"/>
    </xf>
    <xf numFmtId="0" fontId="57" fillId="0" borderId="5" xfId="2" applyFont="1" applyFill="1" applyBorder="1" applyAlignment="1" applyProtection="1">
      <alignment horizontal="center" vertical="center" shrinkToFit="1"/>
    </xf>
    <xf numFmtId="0" fontId="57" fillId="0" borderId="94" xfId="2" applyFont="1" applyFill="1" applyBorder="1" applyAlignment="1" applyProtection="1">
      <alignment horizontal="center" vertical="center" shrinkToFit="1"/>
    </xf>
    <xf numFmtId="0" fontId="58" fillId="0" borderId="150" xfId="2" applyFont="1" applyBorder="1" applyAlignment="1" applyProtection="1">
      <alignment horizontal="distributed" vertical="center"/>
    </xf>
    <xf numFmtId="0" fontId="57" fillId="0" borderId="144" xfId="2" applyFont="1" applyFill="1" applyBorder="1" applyAlignment="1" applyProtection="1">
      <alignment horizontal="center" vertical="center" shrinkToFit="1"/>
    </xf>
    <xf numFmtId="0" fontId="57" fillId="0" borderId="143" xfId="2" applyFont="1" applyFill="1" applyBorder="1" applyAlignment="1" applyProtection="1">
      <alignment horizontal="center" vertical="center" shrinkToFit="1"/>
    </xf>
    <xf numFmtId="0" fontId="57" fillId="0" borderId="91" xfId="2" applyFont="1" applyBorder="1" applyAlignment="1" applyProtection="1">
      <alignment horizontal="center" vertical="center" wrapText="1"/>
    </xf>
    <xf numFmtId="0" fontId="57" fillId="0" borderId="7" xfId="2" applyFont="1" applyBorder="1" applyAlignment="1">
      <alignment horizontal="distributed" vertical="center"/>
    </xf>
    <xf numFmtId="0" fontId="57" fillId="2" borderId="7" xfId="2" applyFont="1" applyFill="1" applyBorder="1" applyAlignment="1" applyProtection="1">
      <alignment horizontal="center" vertical="center" shrinkToFit="1"/>
      <protection locked="0"/>
    </xf>
    <xf numFmtId="0" fontId="59" fillId="0" borderId="154" xfId="2" applyFont="1" applyBorder="1" applyAlignment="1">
      <alignment horizontal="left" vertical="center" wrapText="1"/>
    </xf>
    <xf numFmtId="0" fontId="59" fillId="0" borderId="153" xfId="2" applyFont="1" applyBorder="1" applyAlignment="1">
      <alignment horizontal="left" vertical="center" wrapText="1"/>
    </xf>
    <xf numFmtId="0" fontId="59" fillId="0" borderId="152" xfId="2" applyFont="1" applyBorder="1" applyAlignment="1">
      <alignment horizontal="left" vertical="center" wrapText="1"/>
    </xf>
    <xf numFmtId="58" fontId="57" fillId="0" borderId="0" xfId="2" applyNumberFormat="1" applyFont="1" applyAlignment="1">
      <alignment horizontal="center" vertical="center"/>
    </xf>
    <xf numFmtId="0" fontId="57" fillId="0" borderId="0" xfId="2" applyFont="1" applyAlignment="1">
      <alignment horizontal="center" vertical="center"/>
    </xf>
    <xf numFmtId="0" fontId="58" fillId="0" borderId="103" xfId="2" applyFont="1" applyBorder="1" applyAlignment="1">
      <alignment horizontal="distributed" vertical="center"/>
    </xf>
    <xf numFmtId="0" fontId="58" fillId="0" borderId="8" xfId="2" applyFont="1" applyBorder="1" applyAlignment="1">
      <alignment horizontal="distributed" vertical="center"/>
    </xf>
    <xf numFmtId="0" fontId="57" fillId="0" borderId="10" xfId="2" applyFont="1" applyBorder="1" applyAlignment="1">
      <alignment horizontal="distributed" vertical="center"/>
    </xf>
    <xf numFmtId="0" fontId="57" fillId="2" borderId="10" xfId="2" applyFont="1" applyFill="1" applyBorder="1" applyAlignment="1" applyProtection="1">
      <alignment horizontal="center" vertical="center" shrinkToFit="1"/>
      <protection locked="0"/>
    </xf>
    <xf numFmtId="0" fontId="57" fillId="0" borderId="5" xfId="2" applyFont="1" applyBorder="1" applyAlignment="1">
      <alignment vertical="center" shrinkToFit="1"/>
    </xf>
    <xf numFmtId="0" fontId="57" fillId="0" borderId="7" xfId="2" applyFont="1" applyBorder="1" applyAlignment="1">
      <alignment vertical="center" shrinkToFit="1"/>
    </xf>
    <xf numFmtId="0" fontId="57" fillId="0" borderId="64" xfId="2" applyFont="1" applyBorder="1" applyAlignment="1">
      <alignment vertical="center" shrinkToFit="1"/>
    </xf>
    <xf numFmtId="0" fontId="58" fillId="0" borderId="150" xfId="2" applyFont="1" applyBorder="1" applyAlignment="1">
      <alignment horizontal="distributed" vertical="center"/>
    </xf>
    <xf numFmtId="0" fontId="58" fillId="0" borderId="151" xfId="2" applyFont="1" applyBorder="1" applyAlignment="1">
      <alignment horizontal="distributed" vertical="center"/>
    </xf>
    <xf numFmtId="0" fontId="57" fillId="0" borderId="144" xfId="2" applyFont="1" applyBorder="1" applyAlignment="1">
      <alignment vertical="center" shrinkToFit="1"/>
    </xf>
    <xf numFmtId="0" fontId="57" fillId="0" borderId="167" xfId="2" applyFont="1" applyBorder="1" applyAlignment="1">
      <alignment vertical="center" shrinkToFit="1"/>
    </xf>
    <xf numFmtId="0" fontId="57" fillId="0" borderId="149" xfId="2" applyFont="1" applyBorder="1" applyAlignment="1">
      <alignment vertical="center" shrinkToFit="1"/>
    </xf>
    <xf numFmtId="38" fontId="58" fillId="2" borderId="157" xfId="3" applyFont="1" applyFill="1" applyBorder="1" applyAlignment="1" applyProtection="1">
      <alignment horizontal="center" vertical="center"/>
      <protection locked="0"/>
    </xf>
    <xf numFmtId="38" fontId="58" fillId="2" borderId="156" xfId="3" applyFont="1" applyFill="1" applyBorder="1" applyAlignment="1" applyProtection="1">
      <alignment horizontal="center" vertical="center"/>
      <protection locked="0"/>
    </xf>
    <xf numFmtId="38" fontId="58" fillId="2" borderId="155" xfId="3" applyFont="1" applyFill="1" applyBorder="1" applyAlignment="1" applyProtection="1">
      <alignment horizontal="center" vertical="center"/>
      <protection locked="0"/>
    </xf>
    <xf numFmtId="0" fontId="57" fillId="2" borderId="0" xfId="2" applyFont="1" applyFill="1" applyAlignment="1" applyProtection="1">
      <alignment horizontal="center" vertical="center" shrinkToFit="1"/>
      <protection locked="0"/>
    </xf>
    <xf numFmtId="0" fontId="58" fillId="2" borderId="11" xfId="2" applyFont="1" applyFill="1" applyBorder="1" applyAlignment="1" applyProtection="1">
      <alignment horizontal="left" vertical="center" wrapText="1"/>
      <protection locked="0"/>
    </xf>
    <xf numFmtId="0" fontId="58" fillId="2" borderId="10" xfId="2" applyFont="1" applyFill="1" applyBorder="1" applyAlignment="1" applyProtection="1">
      <alignment horizontal="left" vertical="center" wrapText="1"/>
      <protection locked="0"/>
    </xf>
    <xf numFmtId="0" fontId="58" fillId="2" borderId="65" xfId="2" applyFont="1" applyFill="1" applyBorder="1" applyAlignment="1" applyProtection="1">
      <alignment horizontal="left" vertical="center" wrapText="1"/>
      <protection locked="0"/>
    </xf>
    <xf numFmtId="0" fontId="7" fillId="0" borderId="0" xfId="2" applyAlignment="1">
      <alignment horizontal="center" vertical="center"/>
    </xf>
    <xf numFmtId="0" fontId="65" fillId="0" borderId="0" xfId="2" applyFont="1" applyAlignment="1">
      <alignment horizontal="center" vertical="center"/>
    </xf>
    <xf numFmtId="0" fontId="59" fillId="0" borderId="9" xfId="2" applyFont="1" applyBorder="1" applyAlignment="1">
      <alignment vertical="center" wrapText="1"/>
    </xf>
    <xf numFmtId="0" fontId="58" fillId="0" borderId="166" xfId="2" applyFont="1" applyBorder="1" applyAlignment="1">
      <alignment horizontal="center" vertical="top"/>
    </xf>
    <xf numFmtId="0" fontId="58" fillId="0" borderId="92" xfId="2" applyFont="1" applyBorder="1" applyAlignment="1">
      <alignment horizontal="center" vertical="top"/>
    </xf>
    <xf numFmtId="0" fontId="58" fillId="0" borderId="163" xfId="2" applyFont="1" applyBorder="1" applyAlignment="1">
      <alignment horizontal="center" vertical="top"/>
    </xf>
    <xf numFmtId="0" fontId="58" fillId="0" borderId="91" xfId="2" applyFont="1" applyBorder="1" applyAlignment="1">
      <alignment horizontal="center" vertical="top"/>
    </xf>
    <xf numFmtId="0" fontId="58" fillId="0" borderId="88" xfId="2" applyFont="1" applyBorder="1" applyAlignment="1">
      <alignment horizontal="center" vertical="top"/>
    </xf>
    <xf numFmtId="0" fontId="58" fillId="0" borderId="102" xfId="2" applyFont="1" applyBorder="1" applyAlignment="1">
      <alignment horizontal="center" vertical="top"/>
    </xf>
    <xf numFmtId="0" fontId="59" fillId="0" borderId="8" xfId="2" applyFont="1" applyBorder="1" applyAlignment="1">
      <alignment horizontal="left" vertical="center" wrapText="1"/>
    </xf>
    <xf numFmtId="0" fontId="59" fillId="0" borderId="94" xfId="2" applyFont="1" applyBorder="1" applyAlignment="1">
      <alignment horizontal="left" vertical="center" wrapText="1"/>
    </xf>
    <xf numFmtId="0" fontId="59" fillId="2" borderId="85" xfId="2" applyFont="1" applyFill="1" applyBorder="1" applyAlignment="1" applyProtection="1">
      <alignment horizontal="left" vertical="center" wrapText="1"/>
      <protection locked="0"/>
    </xf>
    <xf numFmtId="0" fontId="59" fillId="2" borderId="86" xfId="2" applyFont="1" applyFill="1" applyBorder="1" applyAlignment="1" applyProtection="1">
      <alignment horizontal="left" vertical="center" wrapText="1"/>
      <protection locked="0"/>
    </xf>
    <xf numFmtId="0" fontId="59" fillId="0" borderId="8" xfId="2" applyFont="1" applyBorder="1" applyAlignment="1">
      <alignment vertical="center" wrapText="1"/>
    </xf>
    <xf numFmtId="0" fontId="59" fillId="0" borderId="151" xfId="2" applyFont="1" applyBorder="1" applyAlignment="1">
      <alignment vertical="center" wrapText="1"/>
    </xf>
    <xf numFmtId="0" fontId="59" fillId="0" borderId="6" xfId="2" applyFont="1" applyBorder="1" applyAlignment="1">
      <alignment horizontal="center" vertical="center" wrapText="1"/>
    </xf>
    <xf numFmtId="0" fontId="59" fillId="0" borderId="145" xfId="2" applyFont="1" applyBorder="1" applyAlignment="1">
      <alignment horizontal="center" vertical="center" wrapText="1"/>
    </xf>
    <xf numFmtId="0" fontId="58" fillId="0" borderId="160" xfId="2" applyFont="1" applyBorder="1" applyAlignment="1">
      <alignment vertical="center" wrapText="1"/>
    </xf>
    <xf numFmtId="0" fontId="58" fillId="0" borderId="159" xfId="2" applyFont="1" applyBorder="1" applyAlignment="1">
      <alignment vertical="center" wrapText="1"/>
    </xf>
    <xf numFmtId="0" fontId="58" fillId="0" borderId="158" xfId="2" applyFont="1" applyBorder="1" applyAlignment="1">
      <alignment vertical="center" wrapText="1"/>
    </xf>
    <xf numFmtId="0" fontId="57" fillId="0" borderId="10" xfId="2" applyFont="1" applyBorder="1" applyAlignment="1">
      <alignment horizontal="center" vertical="center" shrinkToFit="1"/>
    </xf>
    <xf numFmtId="0" fontId="59" fillId="0" borderId="1" xfId="2" applyFont="1" applyBorder="1" applyAlignment="1">
      <alignment horizontal="center" vertical="center" wrapText="1"/>
    </xf>
    <xf numFmtId="0" fontId="59" fillId="0" borderId="85" xfId="2" applyFont="1" applyBorder="1" applyAlignment="1">
      <alignment horizontal="center" vertical="center" wrapText="1"/>
    </xf>
    <xf numFmtId="0" fontId="58" fillId="0" borderId="59" xfId="2" applyFont="1" applyBorder="1" applyAlignment="1">
      <alignment horizontal="distributed" vertical="center"/>
    </xf>
    <xf numFmtId="0" fontId="58" fillId="0" borderId="53" xfId="2" applyFont="1" applyBorder="1" applyAlignment="1">
      <alignment horizontal="distributed" vertical="center"/>
    </xf>
    <xf numFmtId="0" fontId="57" fillId="0" borderId="90" xfId="2" applyFont="1" applyBorder="1" applyAlignment="1">
      <alignment vertical="center" shrinkToFit="1"/>
    </xf>
    <xf numFmtId="0" fontId="57" fillId="0" borderId="159" xfId="2" applyFont="1" applyBorder="1" applyAlignment="1">
      <alignment vertical="center" shrinkToFit="1"/>
    </xf>
    <xf numFmtId="0" fontId="57" fillId="0" borderId="168" xfId="2" applyFont="1" applyBorder="1" applyAlignment="1">
      <alignment vertical="center" shrinkToFit="1"/>
    </xf>
    <xf numFmtId="0" fontId="72" fillId="0" borderId="0" xfId="2" applyFont="1" applyAlignment="1" applyProtection="1">
      <alignment horizontal="center" vertical="center"/>
    </xf>
    <xf numFmtId="0" fontId="58" fillId="0" borderId="53" xfId="2" applyFont="1" applyBorder="1" applyAlignment="1" applyProtection="1">
      <alignment horizontal="distributed" vertical="center"/>
    </xf>
    <xf numFmtId="0" fontId="57" fillId="0" borderId="53" xfId="2" applyFont="1" applyBorder="1" applyAlignment="1" applyProtection="1">
      <alignment vertical="center" shrinkToFit="1"/>
    </xf>
    <xf numFmtId="0" fontId="57" fillId="0" borderId="60" xfId="2" applyFont="1" applyBorder="1" applyAlignment="1" applyProtection="1">
      <alignment vertical="center" shrinkToFit="1"/>
    </xf>
    <xf numFmtId="0" fontId="58" fillId="0" borderId="8" xfId="2" applyFont="1" applyBorder="1" applyAlignment="1" applyProtection="1">
      <alignment horizontal="distributed" vertical="center"/>
    </xf>
    <xf numFmtId="0" fontId="57" fillId="0" borderId="8" xfId="2" applyFont="1" applyBorder="1" applyAlignment="1" applyProtection="1">
      <alignment vertical="center" shrinkToFit="1"/>
    </xf>
    <xf numFmtId="0" fontId="57" fillId="0" borderId="94" xfId="2" applyFont="1" applyBorder="1" applyAlignment="1" applyProtection="1">
      <alignment vertical="center" shrinkToFit="1"/>
    </xf>
    <xf numFmtId="0" fontId="58" fillId="0" borderId="151" xfId="2" applyFont="1" applyBorder="1" applyAlignment="1" applyProtection="1">
      <alignment horizontal="distributed" vertical="center"/>
    </xf>
    <xf numFmtId="0" fontId="57" fillId="0" borderId="151" xfId="2" applyFont="1" applyBorder="1" applyAlignment="1" applyProtection="1">
      <alignment vertical="center" shrinkToFit="1"/>
    </xf>
    <xf numFmtId="0" fontId="57" fillId="0" borderId="143" xfId="2" applyFont="1" applyBorder="1" applyAlignment="1" applyProtection="1">
      <alignment vertical="center" shrinkToFit="1"/>
    </xf>
    <xf numFmtId="0" fontId="57" fillId="0" borderId="192" xfId="2" applyFont="1" applyBorder="1" applyAlignment="1" applyProtection="1">
      <alignment vertical="center" wrapText="1"/>
    </xf>
    <xf numFmtId="0" fontId="58" fillId="0" borderId="191" xfId="2" applyFont="1" applyBorder="1" applyAlignment="1" applyProtection="1">
      <alignment vertical="center" wrapText="1"/>
    </xf>
    <xf numFmtId="0" fontId="58" fillId="0" borderId="191" xfId="2" applyFont="1" applyBorder="1" applyProtection="1">
      <alignment vertical="center"/>
    </xf>
    <xf numFmtId="0" fontId="59" fillId="0" borderId="54" xfId="2" applyFont="1" applyBorder="1" applyAlignment="1" applyProtection="1">
      <alignment horizontal="center" vertical="center" wrapText="1"/>
    </xf>
    <xf numFmtId="0" fontId="59" fillId="0" borderId="55" xfId="2" applyFont="1" applyBorder="1" applyAlignment="1" applyProtection="1">
      <alignment horizontal="center" vertical="center" wrapText="1"/>
    </xf>
    <xf numFmtId="0" fontId="59" fillId="0" borderId="56" xfId="2" applyFont="1" applyBorder="1" applyAlignment="1" applyProtection="1">
      <alignment horizontal="center" vertical="center" wrapText="1"/>
    </xf>
    <xf numFmtId="0" fontId="57" fillId="0" borderId="54" xfId="2" applyFont="1" applyBorder="1" applyAlignment="1" applyProtection="1">
      <alignment horizontal="center" vertical="center"/>
    </xf>
    <xf numFmtId="0" fontId="57" fillId="0" borderId="55" xfId="2" applyFont="1" applyBorder="1" applyAlignment="1" applyProtection="1">
      <alignment horizontal="center" vertical="center"/>
    </xf>
    <xf numFmtId="0" fontId="57" fillId="8" borderId="55" xfId="2" applyFont="1" applyFill="1" applyBorder="1" applyAlignment="1" applyProtection="1">
      <alignment horizontal="center" vertical="center"/>
    </xf>
    <xf numFmtId="0" fontId="57" fillId="0" borderId="56" xfId="2" applyFont="1" applyBorder="1" applyAlignment="1" applyProtection="1">
      <alignment horizontal="center" vertical="center"/>
    </xf>
    <xf numFmtId="0" fontId="57" fillId="2" borderId="174" xfId="2" applyFont="1" applyFill="1" applyBorder="1" applyAlignment="1" applyProtection="1">
      <alignment horizontal="right" vertical="center"/>
      <protection locked="0"/>
    </xf>
    <xf numFmtId="0" fontId="57" fillId="2" borderId="173" xfId="2" applyFont="1" applyFill="1" applyBorder="1" applyAlignment="1" applyProtection="1">
      <alignment horizontal="right" vertical="center"/>
      <protection locked="0"/>
    </xf>
    <xf numFmtId="0" fontId="57" fillId="2" borderId="39" xfId="2" applyFont="1" applyFill="1" applyBorder="1" applyAlignment="1" applyProtection="1">
      <alignment horizontal="right" vertical="center"/>
      <protection locked="0"/>
    </xf>
    <xf numFmtId="0" fontId="58" fillId="2" borderId="179" xfId="2" applyFont="1" applyFill="1" applyBorder="1" applyAlignment="1" applyProtection="1">
      <alignment horizontal="right" vertical="center"/>
      <protection locked="0"/>
    </xf>
    <xf numFmtId="0" fontId="57" fillId="0" borderId="193" xfId="2" applyFont="1" applyBorder="1" applyAlignment="1" applyProtection="1">
      <alignment horizontal="left" vertical="center" wrapText="1"/>
    </xf>
    <xf numFmtId="0" fontId="57" fillId="0" borderId="170" xfId="2" applyFont="1" applyBorder="1" applyAlignment="1" applyProtection="1">
      <alignment horizontal="left" vertical="center" wrapText="1"/>
    </xf>
    <xf numFmtId="0" fontId="57" fillId="0" borderId="177" xfId="2" applyFont="1" applyBorder="1" applyAlignment="1" applyProtection="1">
      <alignment horizontal="left" vertical="center" wrapText="1"/>
    </xf>
    <xf numFmtId="0" fontId="57" fillId="2" borderId="83" xfId="2" applyFont="1" applyFill="1" applyBorder="1" applyAlignment="1" applyProtection="1">
      <alignment horizontal="right" vertical="center"/>
      <protection locked="0"/>
    </xf>
    <xf numFmtId="0" fontId="58" fillId="2" borderId="139" xfId="2" applyFont="1" applyFill="1" applyBorder="1" applyAlignment="1" applyProtection="1">
      <alignment horizontal="right" vertical="center"/>
      <protection locked="0"/>
    </xf>
    <xf numFmtId="0" fontId="122" fillId="0" borderId="0" xfId="0" applyFont="1" applyAlignment="1">
      <alignment horizontal="center" vertical="center"/>
    </xf>
    <xf numFmtId="0" fontId="57" fillId="0" borderId="218" xfId="2" applyFont="1" applyFill="1" applyBorder="1" applyAlignment="1" applyProtection="1">
      <alignment horizontal="center" vertical="center"/>
    </xf>
    <xf numFmtId="0" fontId="57" fillId="0" borderId="219" xfId="2" applyFont="1" applyFill="1" applyBorder="1" applyAlignment="1" applyProtection="1">
      <alignment horizontal="center" vertical="center"/>
    </xf>
    <xf numFmtId="0" fontId="57" fillId="0" borderId="220" xfId="2" applyFont="1" applyFill="1" applyBorder="1" applyAlignment="1" applyProtection="1">
      <alignment horizontal="center" vertical="center"/>
    </xf>
    <xf numFmtId="0" fontId="57" fillId="0" borderId="173" xfId="2" applyFont="1" applyFill="1" applyBorder="1" applyAlignment="1" applyProtection="1">
      <alignment horizontal="center" vertical="center"/>
    </xf>
    <xf numFmtId="0" fontId="57" fillId="0" borderId="172" xfId="2" applyFont="1" applyFill="1" applyBorder="1" applyAlignment="1" applyProtection="1">
      <alignment horizontal="center" vertical="center"/>
    </xf>
    <xf numFmtId="0" fontId="57" fillId="0" borderId="230" xfId="2" applyFont="1" applyFill="1" applyBorder="1" applyAlignment="1" applyProtection="1">
      <alignment horizontal="center" vertical="center"/>
    </xf>
    <xf numFmtId="0" fontId="57" fillId="0" borderId="231" xfId="2" applyFont="1" applyFill="1" applyBorder="1" applyAlignment="1" applyProtection="1">
      <alignment horizontal="center" vertical="center"/>
    </xf>
    <xf numFmtId="0" fontId="57" fillId="0" borderId="232" xfId="2" applyFont="1" applyFill="1" applyBorder="1" applyAlignment="1" applyProtection="1">
      <alignment horizontal="center" vertical="center"/>
    </xf>
    <xf numFmtId="0" fontId="57" fillId="0" borderId="183" xfId="2" applyFont="1" applyFill="1" applyBorder="1" applyAlignment="1" applyProtection="1">
      <alignment horizontal="center" vertical="center"/>
    </xf>
    <xf numFmtId="0" fontId="57" fillId="0" borderId="182" xfId="2" applyFont="1" applyFill="1" applyBorder="1" applyAlignment="1" applyProtection="1">
      <alignment horizontal="center" vertical="center"/>
    </xf>
    <xf numFmtId="0" fontId="57" fillId="0" borderId="57" xfId="2" applyFont="1" applyBorder="1" applyProtection="1">
      <alignment vertical="center"/>
    </xf>
    <xf numFmtId="0" fontId="7" fillId="0" borderId="58" xfId="2" applyBorder="1" applyProtection="1">
      <alignment vertical="center"/>
    </xf>
    <xf numFmtId="0" fontId="7" fillId="0" borderId="61" xfId="2" applyBorder="1" applyProtection="1">
      <alignment vertical="center"/>
    </xf>
    <xf numFmtId="0" fontId="7" fillId="0" borderId="88" xfId="2" applyBorder="1" applyProtection="1">
      <alignment vertical="center"/>
    </xf>
    <xf numFmtId="0" fontId="7" fillId="0" borderId="102" xfId="2" applyBorder="1" applyProtection="1">
      <alignment vertical="center"/>
    </xf>
    <xf numFmtId="0" fontId="57" fillId="0" borderId="53" xfId="2" applyFont="1" applyBorder="1" applyAlignment="1" applyProtection="1">
      <alignment horizontal="center" vertical="center" wrapText="1"/>
    </xf>
    <xf numFmtId="0" fontId="58" fillId="0" borderId="53" xfId="2" applyFont="1" applyBorder="1" applyProtection="1">
      <alignment vertical="center"/>
    </xf>
    <xf numFmtId="38" fontId="57" fillId="0" borderId="66" xfId="3" applyFont="1" applyFill="1" applyBorder="1" applyAlignment="1" applyProtection="1">
      <alignment horizontal="right" vertical="center"/>
    </xf>
    <xf numFmtId="38" fontId="57" fillId="0" borderId="2" xfId="3" applyFont="1" applyFill="1" applyBorder="1" applyAlignment="1" applyProtection="1">
      <alignment horizontal="right" vertical="center"/>
    </xf>
    <xf numFmtId="38" fontId="57" fillId="0" borderId="72" xfId="3" applyFont="1" applyFill="1" applyBorder="1" applyAlignment="1" applyProtection="1">
      <alignment horizontal="right" vertical="center"/>
    </xf>
    <xf numFmtId="38" fontId="57" fillId="0" borderId="0" xfId="3" applyFont="1" applyFill="1" applyBorder="1" applyAlignment="1" applyProtection="1">
      <alignment horizontal="right" vertical="center"/>
    </xf>
    <xf numFmtId="38" fontId="57" fillId="0" borderId="100" xfId="3" applyFont="1" applyFill="1" applyBorder="1" applyAlignment="1" applyProtection="1">
      <alignment horizontal="right" vertical="center"/>
    </xf>
    <xf numFmtId="38" fontId="57" fillId="0" borderId="139" xfId="3" applyFont="1" applyFill="1" applyBorder="1" applyAlignment="1" applyProtection="1">
      <alignment horizontal="right" vertical="center"/>
    </xf>
    <xf numFmtId="0" fontId="61" fillId="0" borderId="139" xfId="2" applyFont="1" applyFill="1" applyBorder="1" applyAlignment="1" applyProtection="1">
      <alignment horizontal="center" vertical="center"/>
    </xf>
    <xf numFmtId="0" fontId="57" fillId="0" borderId="5" xfId="2" applyFont="1" applyBorder="1" applyAlignment="1" applyProtection="1">
      <alignment horizontal="center" vertical="center" wrapText="1"/>
    </xf>
    <xf numFmtId="0" fontId="57" fillId="0" borderId="7" xfId="2" applyFont="1" applyBorder="1" applyAlignment="1" applyProtection="1">
      <alignment horizontal="center" vertical="center" wrapText="1"/>
    </xf>
    <xf numFmtId="0" fontId="57" fillId="0" borderId="6" xfId="2" applyFont="1" applyBorder="1" applyAlignment="1" applyProtection="1">
      <alignment horizontal="center" vertical="center" wrapText="1"/>
    </xf>
    <xf numFmtId="0" fontId="57" fillId="0" borderId="175" xfId="2" applyFont="1" applyFill="1" applyBorder="1" applyAlignment="1" applyProtection="1">
      <alignment horizontal="right" vertical="center"/>
    </xf>
    <xf numFmtId="0" fontId="7" fillId="0" borderId="55" xfId="2" applyFill="1" applyBorder="1" applyAlignment="1" applyProtection="1">
      <alignment horizontal="right" vertical="center"/>
    </xf>
    <xf numFmtId="0" fontId="57" fillId="0" borderId="89" xfId="2" applyFont="1" applyBorder="1" applyAlignment="1" applyProtection="1">
      <alignment horizontal="center" vertical="center" wrapText="1"/>
    </xf>
    <xf numFmtId="0" fontId="57" fillId="0" borderId="234" xfId="2" applyFont="1" applyFill="1" applyBorder="1" applyAlignment="1" applyProtection="1">
      <alignment horizontal="center" vertical="center"/>
    </xf>
    <xf numFmtId="0" fontId="57" fillId="0" borderId="233" xfId="2" applyFont="1" applyFill="1" applyBorder="1" applyAlignment="1" applyProtection="1">
      <alignment horizontal="center" vertical="center"/>
    </xf>
    <xf numFmtId="0" fontId="57" fillId="0" borderId="225" xfId="2" applyFont="1" applyFill="1" applyBorder="1" applyAlignment="1" applyProtection="1">
      <alignment horizontal="center" vertical="center"/>
    </xf>
    <xf numFmtId="0" fontId="57" fillId="0" borderId="226" xfId="2" applyFont="1" applyFill="1" applyBorder="1" applyAlignment="1" applyProtection="1">
      <alignment horizontal="center" vertical="center"/>
    </xf>
    <xf numFmtId="38" fontId="57" fillId="0" borderId="3" xfId="3" applyFont="1" applyFill="1" applyBorder="1" applyAlignment="1" applyProtection="1">
      <alignment horizontal="right" vertical="center"/>
    </xf>
    <xf numFmtId="38" fontId="57" fillId="0" borderId="7" xfId="3" applyFont="1" applyFill="1" applyBorder="1" applyAlignment="1" applyProtection="1">
      <alignment horizontal="right" vertical="center"/>
    </xf>
    <xf numFmtId="0" fontId="57" fillId="0" borderId="221" xfId="2" applyFont="1" applyFill="1" applyBorder="1" applyAlignment="1" applyProtection="1">
      <alignment horizontal="center" vertical="center"/>
    </xf>
    <xf numFmtId="0" fontId="57" fillId="0" borderId="222" xfId="2" applyFont="1" applyFill="1" applyBorder="1" applyAlignment="1" applyProtection="1">
      <alignment horizontal="center" vertical="center"/>
    </xf>
    <xf numFmtId="0" fontId="57" fillId="0" borderId="223" xfId="2" applyFont="1" applyFill="1" applyBorder="1" applyAlignment="1" applyProtection="1">
      <alignment horizontal="center" vertical="center"/>
    </xf>
    <xf numFmtId="0" fontId="62" fillId="0" borderId="58" xfId="2" applyFont="1" applyBorder="1" applyAlignment="1" applyProtection="1">
      <alignment vertical="center" wrapText="1"/>
    </xf>
    <xf numFmtId="0" fontId="7" fillId="0" borderId="58" xfId="2" applyBorder="1" applyAlignment="1" applyProtection="1">
      <alignment vertical="center" wrapText="1"/>
    </xf>
    <xf numFmtId="0" fontId="7" fillId="0" borderId="139" xfId="2" applyBorder="1" applyAlignment="1" applyProtection="1">
      <alignment vertical="center" wrapText="1"/>
    </xf>
    <xf numFmtId="0" fontId="58" fillId="2" borderId="57" xfId="2" applyFont="1" applyFill="1" applyBorder="1" applyAlignment="1" applyProtection="1">
      <alignment horizontal="center" vertical="center"/>
      <protection locked="0"/>
    </xf>
    <xf numFmtId="0" fontId="58" fillId="2" borderId="58" xfId="2" applyFont="1" applyFill="1" applyBorder="1" applyAlignment="1" applyProtection="1">
      <alignment horizontal="center" vertical="center"/>
      <protection locked="0"/>
    </xf>
    <xf numFmtId="0" fontId="58" fillId="2" borderId="61" xfId="2" applyFont="1" applyFill="1" applyBorder="1" applyAlignment="1" applyProtection="1">
      <alignment horizontal="center" vertical="center"/>
      <protection locked="0"/>
    </xf>
    <xf numFmtId="0" fontId="58" fillId="2" borderId="100" xfId="2" applyFont="1" applyFill="1" applyBorder="1" applyAlignment="1" applyProtection="1">
      <alignment horizontal="center" vertical="center"/>
      <protection locked="0"/>
    </xf>
    <xf numFmtId="0" fontId="58" fillId="2" borderId="139" xfId="2" applyFont="1" applyFill="1" applyBorder="1" applyAlignment="1" applyProtection="1">
      <alignment horizontal="center" vertical="center"/>
      <protection locked="0"/>
    </xf>
    <xf numFmtId="0" fontId="58" fillId="2" borderId="87" xfId="2" applyFont="1" applyFill="1" applyBorder="1" applyAlignment="1" applyProtection="1">
      <alignment horizontal="center" vertical="center"/>
      <protection locked="0"/>
    </xf>
    <xf numFmtId="0" fontId="58" fillId="0" borderId="60" xfId="2" applyFont="1" applyBorder="1" applyProtection="1">
      <alignment vertical="center"/>
    </xf>
    <xf numFmtId="0" fontId="57" fillId="0" borderId="227" xfId="2" applyFont="1" applyFill="1" applyBorder="1" applyAlignment="1" applyProtection="1">
      <alignment horizontal="center" vertical="center"/>
    </xf>
    <xf numFmtId="0" fontId="57" fillId="0" borderId="228" xfId="2" applyFont="1" applyFill="1" applyBorder="1" applyAlignment="1" applyProtection="1">
      <alignment horizontal="center" vertical="center"/>
    </xf>
    <xf numFmtId="0" fontId="57" fillId="0" borderId="229" xfId="2" applyFont="1" applyFill="1" applyBorder="1" applyAlignment="1" applyProtection="1">
      <alignment horizontal="center" vertical="center"/>
    </xf>
    <xf numFmtId="0" fontId="58" fillId="0" borderId="4" xfId="2" applyFont="1" applyBorder="1" applyAlignment="1" applyProtection="1">
      <alignment horizontal="center" vertical="center"/>
    </xf>
    <xf numFmtId="0" fontId="58" fillId="0" borderId="50" xfId="2" applyFont="1" applyBorder="1" applyAlignment="1" applyProtection="1">
      <alignment horizontal="center" vertical="center"/>
    </xf>
    <xf numFmtId="0" fontId="58" fillId="0" borderId="101" xfId="2" applyFont="1" applyBorder="1" applyAlignment="1" applyProtection="1">
      <alignment horizontal="center" vertical="center"/>
    </xf>
    <xf numFmtId="0" fontId="57" fillId="0" borderId="174" xfId="2" applyFont="1" applyFill="1" applyBorder="1" applyAlignment="1" applyProtection="1">
      <alignment horizontal="right" vertical="center"/>
    </xf>
    <xf numFmtId="0" fontId="57" fillId="0" borderId="173" xfId="2" applyFont="1" applyFill="1" applyBorder="1" applyAlignment="1" applyProtection="1">
      <alignment horizontal="right" vertical="center"/>
    </xf>
    <xf numFmtId="0" fontId="57" fillId="0" borderId="179" xfId="2" applyFont="1" applyFill="1" applyBorder="1" applyAlignment="1" applyProtection="1">
      <alignment horizontal="center" vertical="center"/>
    </xf>
    <xf numFmtId="0" fontId="57" fillId="0" borderId="178" xfId="2" applyFont="1" applyFill="1" applyBorder="1" applyAlignment="1" applyProtection="1">
      <alignment horizontal="center" vertical="center"/>
    </xf>
    <xf numFmtId="0" fontId="57" fillId="0" borderId="72" xfId="2" applyFont="1" applyBorder="1" applyAlignment="1" applyProtection="1">
      <alignment horizontal="center" vertical="center" wrapText="1"/>
    </xf>
    <xf numFmtId="0" fontId="57" fillId="0" borderId="0" xfId="2" applyFont="1" applyAlignment="1" applyProtection="1">
      <alignment horizontal="center" vertical="center" wrapText="1"/>
    </xf>
    <xf numFmtId="0" fontId="57" fillId="0" borderId="110" xfId="2" applyFont="1" applyBorder="1" applyAlignment="1" applyProtection="1">
      <alignment horizontal="center" vertical="center" wrapText="1"/>
    </xf>
    <xf numFmtId="0" fontId="57" fillId="0" borderId="100" xfId="2" applyFont="1" applyBorder="1" applyAlignment="1" applyProtection="1">
      <alignment horizontal="center" vertical="center" wrapText="1"/>
    </xf>
    <xf numFmtId="0" fontId="57" fillId="0" borderId="139" xfId="2" applyFont="1" applyBorder="1" applyAlignment="1" applyProtection="1">
      <alignment horizontal="center" vertical="center" wrapText="1"/>
    </xf>
    <xf numFmtId="0" fontId="57" fillId="0" borderId="87" xfId="2" applyFont="1" applyBorder="1" applyAlignment="1" applyProtection="1">
      <alignment horizontal="center" vertical="center" wrapText="1"/>
    </xf>
    <xf numFmtId="0" fontId="67" fillId="0" borderId="184" xfId="2" applyFont="1" applyBorder="1" applyAlignment="1" applyProtection="1">
      <alignment horizontal="left" vertical="center" wrapText="1"/>
    </xf>
    <xf numFmtId="0" fontId="67" fillId="0" borderId="183" xfId="2" applyFont="1" applyBorder="1" applyAlignment="1" applyProtection="1">
      <alignment horizontal="left" vertical="center" wrapText="1"/>
    </xf>
    <xf numFmtId="0" fontId="67" fillId="0" borderId="182" xfId="2" applyFont="1" applyBorder="1" applyAlignment="1" applyProtection="1">
      <alignment horizontal="left" vertical="center" wrapText="1"/>
    </xf>
    <xf numFmtId="0" fontId="57" fillId="0" borderId="244" xfId="2" applyFont="1" applyFill="1" applyBorder="1" applyAlignment="1" applyProtection="1">
      <alignment horizontal="center" vertical="center"/>
    </xf>
    <xf numFmtId="0" fontId="7" fillId="0" borderId="244" xfId="2" applyFill="1" applyBorder="1" applyAlignment="1" applyProtection="1">
      <alignment horizontal="center" vertical="center"/>
    </xf>
    <xf numFmtId="0" fontId="57" fillId="0" borderId="245" xfId="2" applyFont="1" applyFill="1" applyBorder="1" applyAlignment="1" applyProtection="1">
      <alignment horizontal="center" vertical="center"/>
    </xf>
    <xf numFmtId="0" fontId="7" fillId="0" borderId="245" xfId="2" applyFill="1" applyBorder="1" applyAlignment="1" applyProtection="1">
      <alignment horizontal="center" vertical="center"/>
    </xf>
    <xf numFmtId="0" fontId="57" fillId="0" borderId="224" xfId="2" applyFont="1" applyFill="1" applyBorder="1" applyAlignment="1" applyProtection="1">
      <alignment horizontal="center" vertical="center"/>
    </xf>
    <xf numFmtId="0" fontId="67" fillId="0" borderId="171" xfId="2" applyFont="1" applyBorder="1" applyAlignment="1" applyProtection="1">
      <alignment horizontal="left" vertical="center" shrinkToFit="1"/>
    </xf>
    <xf numFmtId="0" fontId="57" fillId="0" borderId="170" xfId="2" applyFont="1" applyBorder="1" applyAlignment="1" applyProtection="1">
      <alignment horizontal="left" vertical="center" shrinkToFit="1"/>
    </xf>
    <xf numFmtId="0" fontId="57" fillId="0" borderId="169" xfId="2" applyFont="1" applyBorder="1" applyAlignment="1" applyProtection="1">
      <alignment horizontal="left" vertical="center" shrinkToFit="1"/>
    </xf>
    <xf numFmtId="0" fontId="57" fillId="0" borderId="235" xfId="2" applyFont="1" applyFill="1" applyBorder="1" applyAlignment="1" applyProtection="1">
      <alignment horizontal="center" vertical="center"/>
    </xf>
    <xf numFmtId="0" fontId="57" fillId="0" borderId="175" xfId="2" applyFont="1" applyFill="1" applyBorder="1" applyAlignment="1" applyProtection="1">
      <alignment horizontal="center" vertical="center"/>
    </xf>
    <xf numFmtId="0" fontId="57" fillId="0" borderId="55" xfId="2" applyFont="1" applyFill="1" applyBorder="1" applyAlignment="1" applyProtection="1">
      <alignment horizontal="center" vertical="center"/>
    </xf>
    <xf numFmtId="38" fontId="57" fillId="0" borderId="13" xfId="3" applyFont="1" applyFill="1" applyBorder="1" applyAlignment="1" applyProtection="1">
      <alignment horizontal="right" vertical="center"/>
    </xf>
    <xf numFmtId="38" fontId="57" fillId="0" borderId="83" xfId="3" applyFont="1" applyFill="1" applyBorder="1" applyAlignment="1" applyProtection="1">
      <alignment horizontal="right" vertical="center"/>
    </xf>
    <xf numFmtId="0" fontId="58" fillId="0" borderId="121" xfId="2" applyFont="1" applyBorder="1" applyAlignment="1" applyProtection="1">
      <alignment horizontal="center" vertical="center"/>
    </xf>
    <xf numFmtId="0" fontId="58" fillId="0" borderId="110" xfId="2" applyFont="1" applyBorder="1" applyAlignment="1" applyProtection="1">
      <alignment horizontal="center" vertical="center"/>
    </xf>
    <xf numFmtId="0" fontId="58" fillId="0" borderId="87" xfId="2" applyFont="1" applyBorder="1" applyAlignment="1" applyProtection="1">
      <alignment horizontal="center" vertical="center"/>
    </xf>
    <xf numFmtId="0" fontId="57" fillId="0" borderId="57" xfId="2" applyFont="1" applyBorder="1" applyAlignment="1" applyProtection="1">
      <alignment vertical="center" wrapText="1"/>
    </xf>
    <xf numFmtId="0" fontId="58" fillId="0" borderId="58" xfId="2" applyFont="1" applyBorder="1" applyAlignment="1" applyProtection="1">
      <alignment vertical="center" wrapText="1"/>
    </xf>
    <xf numFmtId="0" fontId="58" fillId="0" borderId="61" xfId="2" applyFont="1" applyBorder="1" applyAlignment="1" applyProtection="1">
      <alignment vertical="center" wrapText="1"/>
    </xf>
    <xf numFmtId="0" fontId="58" fillId="0" borderId="100" xfId="2" applyFont="1" applyBorder="1" applyAlignment="1" applyProtection="1">
      <alignment vertical="center" wrapText="1"/>
    </xf>
    <xf numFmtId="0" fontId="58" fillId="0" borderId="139" xfId="2" applyFont="1" applyBorder="1" applyAlignment="1" applyProtection="1">
      <alignment vertical="center" wrapText="1"/>
    </xf>
    <xf numFmtId="0" fontId="58" fillId="0" borderId="87" xfId="2" applyFont="1" applyBorder="1" applyAlignment="1" applyProtection="1">
      <alignment vertical="center" wrapText="1"/>
    </xf>
    <xf numFmtId="0" fontId="57" fillId="0" borderId="59" xfId="2" applyFont="1" applyBorder="1" applyAlignment="1" applyProtection="1">
      <alignment horizontal="left" vertical="center" wrapText="1"/>
    </xf>
    <xf numFmtId="0" fontId="58" fillId="0" borderId="53" xfId="2" applyFont="1" applyBorder="1" applyAlignment="1" applyProtection="1">
      <alignment horizontal="left" vertical="center" wrapText="1"/>
    </xf>
    <xf numFmtId="0" fontId="58" fillId="0" borderId="60" xfId="2" applyFont="1" applyBorder="1" applyAlignment="1" applyProtection="1">
      <alignment horizontal="left" vertical="center" wrapText="1"/>
    </xf>
    <xf numFmtId="0" fontId="57" fillId="0" borderId="73" xfId="2" applyFont="1" applyBorder="1" applyAlignment="1" applyProtection="1">
      <alignment horizontal="left" vertical="center" wrapText="1"/>
    </xf>
    <xf numFmtId="0" fontId="58" fillId="0" borderId="14" xfId="2" applyFont="1" applyBorder="1" applyAlignment="1" applyProtection="1">
      <alignment horizontal="left" vertical="center" wrapText="1"/>
    </xf>
    <xf numFmtId="0" fontId="58" fillId="0" borderId="129" xfId="2" applyFont="1" applyBorder="1" applyAlignment="1" applyProtection="1">
      <alignment horizontal="left" vertical="center" wrapText="1"/>
    </xf>
    <xf numFmtId="0" fontId="58" fillId="0" borderId="150" xfId="2" applyFont="1" applyBorder="1" applyAlignment="1" applyProtection="1">
      <alignment horizontal="left" vertical="center" wrapText="1"/>
    </xf>
    <xf numFmtId="0" fontId="58" fillId="0" borderId="151" xfId="2" applyFont="1" applyBorder="1" applyAlignment="1" applyProtection="1">
      <alignment horizontal="left" vertical="center" wrapText="1"/>
    </xf>
    <xf numFmtId="0" fontId="58" fillId="0" borderId="143" xfId="2" applyFont="1" applyBorder="1" applyAlignment="1" applyProtection="1">
      <alignment horizontal="left" vertical="center" wrapText="1"/>
    </xf>
    <xf numFmtId="0" fontId="57" fillId="0" borderId="57" xfId="2" applyFont="1" applyBorder="1" applyAlignment="1" applyProtection="1">
      <alignment horizontal="center" vertical="center" textRotation="255" wrapText="1" shrinkToFit="1"/>
    </xf>
    <xf numFmtId="0" fontId="57" fillId="0" borderId="176" xfId="2" applyFont="1" applyBorder="1" applyAlignment="1" applyProtection="1">
      <alignment horizontal="center" vertical="center" textRotation="255" wrapText="1" shrinkToFit="1"/>
    </xf>
    <xf numFmtId="0" fontId="57" fillId="0" borderId="72" xfId="2" applyFont="1" applyBorder="1" applyAlignment="1" applyProtection="1">
      <alignment horizontal="center" vertical="center" textRotation="255" wrapText="1" shrinkToFit="1"/>
    </xf>
    <xf numFmtId="0" fontId="57" fillId="0" borderId="50" xfId="2" applyFont="1" applyBorder="1" applyAlignment="1" applyProtection="1">
      <alignment horizontal="center" vertical="center" textRotation="255" wrapText="1" shrinkToFit="1"/>
    </xf>
    <xf numFmtId="0" fontId="57" fillId="0" borderId="100" xfId="2" applyFont="1" applyBorder="1" applyAlignment="1" applyProtection="1">
      <alignment horizontal="center" vertical="center" textRotation="255" wrapText="1" shrinkToFit="1"/>
    </xf>
    <xf numFmtId="0" fontId="57" fillId="0" borderId="101" xfId="2" applyFont="1" applyBorder="1" applyAlignment="1" applyProtection="1">
      <alignment horizontal="center" vertical="center" textRotation="255" wrapText="1" shrinkToFit="1"/>
    </xf>
    <xf numFmtId="0" fontId="57" fillId="0" borderId="236" xfId="2" applyFont="1" applyFill="1" applyBorder="1" applyAlignment="1" applyProtection="1">
      <alignment horizontal="center" vertical="center"/>
    </xf>
    <xf numFmtId="0" fontId="57" fillId="0" borderId="237" xfId="2" applyFont="1" applyFill="1" applyBorder="1" applyAlignment="1" applyProtection="1">
      <alignment horizontal="center" vertical="center"/>
    </xf>
    <xf numFmtId="0" fontId="57" fillId="0" borderId="238" xfId="2" applyFont="1" applyFill="1" applyBorder="1" applyAlignment="1" applyProtection="1">
      <alignment horizontal="center" vertical="center"/>
    </xf>
    <xf numFmtId="0" fontId="57" fillId="0" borderId="177" xfId="2" applyFont="1" applyBorder="1" applyAlignment="1" applyProtection="1">
      <alignment horizontal="left" vertical="center" shrinkToFit="1"/>
    </xf>
    <xf numFmtId="0" fontId="57" fillId="0" borderId="215" xfId="2" applyFont="1" applyFill="1" applyBorder="1" applyAlignment="1" applyProtection="1">
      <alignment horizontal="center" vertical="center"/>
    </xf>
    <xf numFmtId="0" fontId="58" fillId="0" borderId="216" xfId="2" applyFont="1" applyFill="1" applyBorder="1" applyAlignment="1" applyProtection="1">
      <alignment horizontal="center" vertical="center"/>
    </xf>
    <xf numFmtId="0" fontId="58" fillId="0" borderId="217" xfId="2" applyFont="1" applyFill="1" applyBorder="1" applyAlignment="1" applyProtection="1">
      <alignment horizontal="center" vertical="center"/>
    </xf>
    <xf numFmtId="0" fontId="57" fillId="0" borderId="171" xfId="2" applyFont="1" applyFill="1" applyBorder="1" applyAlignment="1" applyProtection="1">
      <alignment horizontal="right" vertical="center"/>
    </xf>
    <xf numFmtId="0" fontId="58" fillId="0" borderId="170" xfId="2" applyFont="1" applyFill="1" applyBorder="1" applyAlignment="1" applyProtection="1">
      <alignment horizontal="right" vertical="center"/>
    </xf>
    <xf numFmtId="0" fontId="57" fillId="0" borderId="62" xfId="2" applyFont="1" applyBorder="1" applyAlignment="1" applyProtection="1">
      <alignment horizontal="center" vertical="center" textRotation="255" wrapText="1" shrinkToFit="1"/>
    </xf>
    <xf numFmtId="0" fontId="57" fillId="0" borderId="12" xfId="2" applyFont="1" applyBorder="1" applyAlignment="1" applyProtection="1">
      <alignment horizontal="center" vertical="center" textRotation="255" wrapText="1" shrinkToFit="1"/>
    </xf>
    <xf numFmtId="0" fontId="57" fillId="0" borderId="57" xfId="2" applyFont="1" applyBorder="1" applyAlignment="1" applyProtection="1">
      <alignment horizontal="center" vertical="center" textRotation="255" shrinkToFit="1"/>
    </xf>
    <xf numFmtId="0" fontId="57" fillId="0" borderId="176" xfId="2" applyFont="1" applyBorder="1" applyAlignment="1" applyProtection="1">
      <alignment horizontal="center" vertical="center" textRotation="255" shrinkToFit="1"/>
    </xf>
    <xf numFmtId="0" fontId="57" fillId="0" borderId="72" xfId="2" applyFont="1" applyBorder="1" applyAlignment="1" applyProtection="1">
      <alignment horizontal="center" vertical="center" textRotation="255" shrinkToFit="1"/>
    </xf>
    <xf numFmtId="0" fontId="57" fillId="0" borderId="50" xfId="2" applyFont="1" applyBorder="1" applyAlignment="1" applyProtection="1">
      <alignment horizontal="center" vertical="center" textRotation="255" shrinkToFit="1"/>
    </xf>
    <xf numFmtId="0" fontId="57" fillId="0" borderId="62" xfId="2" applyFont="1" applyBorder="1" applyAlignment="1" applyProtection="1">
      <alignment horizontal="center" vertical="center" textRotation="255" shrinkToFit="1"/>
    </xf>
    <xf numFmtId="0" fontId="57" fillId="0" borderId="12" xfId="2" applyFont="1" applyBorder="1" applyAlignment="1" applyProtection="1">
      <alignment horizontal="center" vertical="center" textRotation="255" shrinkToFit="1"/>
    </xf>
    <xf numFmtId="0" fontId="57" fillId="0" borderId="240" xfId="2" applyFont="1" applyFill="1" applyBorder="1" applyAlignment="1" applyProtection="1">
      <alignment horizontal="center" vertical="center"/>
    </xf>
    <xf numFmtId="0" fontId="67" fillId="0" borderId="187" xfId="2" applyFont="1" applyBorder="1" applyAlignment="1" applyProtection="1">
      <alignment horizontal="left" vertical="center" shrinkToFit="1"/>
    </xf>
    <xf numFmtId="0" fontId="57" fillId="0" borderId="186" xfId="2" applyFont="1" applyBorder="1" applyAlignment="1" applyProtection="1">
      <alignment horizontal="left" vertical="center" shrinkToFit="1"/>
    </xf>
    <xf numFmtId="0" fontId="57" fillId="0" borderId="188" xfId="2" applyFont="1" applyBorder="1" applyAlignment="1" applyProtection="1">
      <alignment horizontal="left" vertical="center" shrinkToFit="1"/>
    </xf>
    <xf numFmtId="0" fontId="57" fillId="0" borderId="241" xfId="2" applyFont="1" applyFill="1" applyBorder="1" applyAlignment="1" applyProtection="1">
      <alignment horizontal="center" vertical="center"/>
    </xf>
    <xf numFmtId="0" fontId="57" fillId="0" borderId="242" xfId="2" applyFont="1" applyFill="1" applyBorder="1" applyAlignment="1" applyProtection="1">
      <alignment horizontal="center" vertical="center"/>
    </xf>
    <xf numFmtId="0" fontId="57" fillId="0" borderId="243" xfId="2" applyFont="1" applyFill="1" applyBorder="1" applyAlignment="1" applyProtection="1">
      <alignment horizontal="center" vertical="center"/>
    </xf>
    <xf numFmtId="0" fontId="57" fillId="0" borderId="239" xfId="2" applyFont="1" applyFill="1" applyBorder="1" applyAlignment="1" applyProtection="1">
      <alignment horizontal="center" vertical="center"/>
    </xf>
    <xf numFmtId="0" fontId="57" fillId="0" borderId="186" xfId="2" applyFont="1" applyFill="1" applyBorder="1" applyAlignment="1" applyProtection="1">
      <alignment horizontal="center" vertical="center"/>
    </xf>
    <xf numFmtId="0" fontId="57" fillId="0" borderId="185" xfId="2" applyFont="1" applyFill="1" applyBorder="1" applyAlignment="1" applyProtection="1">
      <alignment horizontal="center" vertical="center"/>
    </xf>
    <xf numFmtId="0" fontId="7" fillId="0" borderId="61" xfId="2" applyBorder="1" applyAlignment="1" applyProtection="1">
      <alignment vertical="center" wrapText="1"/>
    </xf>
    <xf numFmtId="0" fontId="7" fillId="0" borderId="100" xfId="2" applyBorder="1" applyAlignment="1" applyProtection="1">
      <alignment vertical="center" wrapText="1"/>
    </xf>
    <xf numFmtId="0" fontId="7" fillId="0" borderId="87" xfId="2" applyBorder="1" applyAlignment="1" applyProtection="1">
      <alignment vertical="center" wrapText="1"/>
    </xf>
    <xf numFmtId="0" fontId="7" fillId="0" borderId="176" xfId="2" applyBorder="1" applyProtection="1">
      <alignment vertical="center"/>
    </xf>
    <xf numFmtId="0" fontId="57" fillId="0" borderId="146" xfId="2" applyFont="1" applyBorder="1" applyProtection="1">
      <alignment vertical="center"/>
    </xf>
    <xf numFmtId="0" fontId="7" fillId="0" borderId="167" xfId="2" applyBorder="1" applyProtection="1">
      <alignment vertical="center"/>
    </xf>
    <xf numFmtId="0" fontId="7" fillId="0" borderId="145" xfId="2" applyBorder="1" applyProtection="1">
      <alignment vertical="center"/>
    </xf>
    <xf numFmtId="0" fontId="58" fillId="0" borderId="148" xfId="2" applyFont="1" applyBorder="1" applyAlignment="1" applyProtection="1">
      <alignment horizontal="center" vertical="center" wrapText="1"/>
    </xf>
    <xf numFmtId="0" fontId="7" fillId="0" borderId="58" xfId="2" applyBorder="1" applyAlignment="1" applyProtection="1">
      <alignment horizontal="center" vertical="center"/>
    </xf>
    <xf numFmtId="0" fontId="58" fillId="0" borderId="144" xfId="2" applyFont="1" applyBorder="1" applyAlignment="1" applyProtection="1">
      <alignment horizontal="center" vertical="center" wrapText="1"/>
    </xf>
    <xf numFmtId="0" fontId="7" fillId="0" borderId="167" xfId="2" applyBorder="1" applyAlignment="1" applyProtection="1">
      <alignment horizontal="center" vertical="center"/>
    </xf>
    <xf numFmtId="0" fontId="57" fillId="0" borderId="66" xfId="2" applyFont="1" applyBorder="1" applyAlignment="1" applyProtection="1">
      <alignment horizontal="center" vertical="center" textRotation="255" shrinkToFit="1"/>
    </xf>
    <xf numFmtId="0" fontId="57" fillId="0" borderId="4" xfId="2" applyFont="1" applyBorder="1" applyAlignment="1" applyProtection="1">
      <alignment horizontal="center" vertical="center" textRotation="255" shrinkToFit="1"/>
    </xf>
    <xf numFmtId="0" fontId="57" fillId="0" borderId="100" xfId="2" applyFont="1" applyBorder="1" applyAlignment="1" applyProtection="1">
      <alignment horizontal="center" vertical="center" textRotation="255" shrinkToFit="1"/>
    </xf>
    <xf numFmtId="0" fontId="57" fillId="0" borderId="101" xfId="2" applyFont="1" applyBorder="1" applyAlignment="1" applyProtection="1">
      <alignment horizontal="center" vertical="center" textRotation="255" shrinkToFit="1"/>
    </xf>
    <xf numFmtId="0" fontId="57" fillId="0" borderId="180" xfId="2" applyFont="1" applyFill="1" applyBorder="1" applyAlignment="1" applyProtection="1">
      <alignment horizontal="center" vertical="center"/>
    </xf>
    <xf numFmtId="0" fontId="57" fillId="0" borderId="181" xfId="2" applyFont="1" applyFill="1" applyBorder="1" applyAlignment="1" applyProtection="1">
      <alignment horizontal="center" vertical="center"/>
    </xf>
    <xf numFmtId="0" fontId="57" fillId="0" borderId="259" xfId="4" applyFont="1" applyBorder="1" applyAlignment="1">
      <alignment horizontal="left" vertical="center"/>
    </xf>
    <xf numFmtId="0" fontId="57" fillId="0" borderId="260" xfId="4" applyFont="1" applyBorder="1" applyAlignment="1">
      <alignment horizontal="left" vertical="center"/>
    </xf>
    <xf numFmtId="194" fontId="123" fillId="16" borderId="261" xfId="4" applyNumberFormat="1" applyFont="1" applyFill="1" applyBorder="1" applyAlignment="1">
      <alignment horizontal="right" vertical="center"/>
    </xf>
    <xf numFmtId="194" fontId="123" fillId="16" borderId="260" xfId="4" applyNumberFormat="1" applyFont="1" applyFill="1" applyBorder="1" applyAlignment="1">
      <alignment horizontal="right" vertical="center"/>
    </xf>
    <xf numFmtId="0" fontId="57" fillId="0" borderId="57" xfId="4" applyFont="1" applyBorder="1" applyAlignment="1">
      <alignment vertical="center"/>
    </xf>
    <xf numFmtId="0" fontId="75" fillId="0" borderId="58" xfId="4" applyBorder="1" applyAlignment="1">
      <alignment vertical="center"/>
    </xf>
    <xf numFmtId="0" fontId="75" fillId="0" borderId="61" xfId="4" applyBorder="1" applyAlignment="1">
      <alignment vertical="center"/>
    </xf>
    <xf numFmtId="0" fontId="75" fillId="0" borderId="88" xfId="4" applyBorder="1" applyAlignment="1">
      <alignment vertical="center"/>
    </xf>
    <xf numFmtId="0" fontId="75" fillId="0" borderId="102" xfId="4" applyBorder="1" applyAlignment="1">
      <alignment vertical="center"/>
    </xf>
    <xf numFmtId="0" fontId="62" fillId="0" borderId="58" xfId="4" applyFont="1" applyBorder="1" applyAlignment="1">
      <alignment vertical="center" wrapText="1"/>
    </xf>
    <xf numFmtId="0" fontId="75" fillId="0" borderId="58" xfId="4" applyBorder="1" applyAlignment="1">
      <alignment vertical="center" wrapText="1"/>
    </xf>
    <xf numFmtId="0" fontId="75" fillId="0" borderId="61" xfId="4" applyBorder="1" applyAlignment="1">
      <alignment vertical="center" wrapText="1"/>
    </xf>
    <xf numFmtId="0" fontId="75" fillId="0" borderId="139" xfId="4" applyBorder="1" applyAlignment="1">
      <alignment vertical="center" wrapText="1"/>
    </xf>
    <xf numFmtId="0" fontId="75" fillId="0" borderId="87" xfId="4" applyBorder="1" applyAlignment="1">
      <alignment vertical="center" wrapText="1"/>
    </xf>
    <xf numFmtId="0" fontId="58" fillId="16" borderId="57" xfId="4" applyFont="1" applyFill="1" applyBorder="1" applyAlignment="1" applyProtection="1">
      <alignment horizontal="center" vertical="center"/>
      <protection locked="0"/>
    </xf>
    <xf numFmtId="0" fontId="58" fillId="16" borderId="58" xfId="4" applyFont="1" applyFill="1" applyBorder="1" applyAlignment="1" applyProtection="1">
      <alignment horizontal="center" vertical="center"/>
      <protection locked="0"/>
    </xf>
    <xf numFmtId="0" fontId="58" fillId="16" borderId="61" xfId="4" applyFont="1" applyFill="1" applyBorder="1" applyAlignment="1" applyProtection="1">
      <alignment horizontal="center" vertical="center"/>
      <protection locked="0"/>
    </xf>
    <xf numFmtId="0" fontId="58" fillId="16" borderId="100" xfId="4" applyFont="1" applyFill="1" applyBorder="1" applyAlignment="1" applyProtection="1">
      <alignment horizontal="center" vertical="center"/>
      <protection locked="0"/>
    </xf>
    <xf numFmtId="0" fontId="58" fillId="16" borderId="139" xfId="4" applyFont="1" applyFill="1" applyBorder="1" applyAlignment="1" applyProtection="1">
      <alignment horizontal="center" vertical="center"/>
      <protection locked="0"/>
    </xf>
    <xf numFmtId="0" fontId="58" fillId="16" borderId="87" xfId="4" applyFont="1" applyFill="1" applyBorder="1" applyAlignment="1" applyProtection="1">
      <alignment horizontal="center" vertical="center"/>
      <protection locked="0"/>
    </xf>
    <xf numFmtId="0" fontId="57" fillId="0" borderId="5" xfId="4" applyFont="1" applyBorder="1" applyAlignment="1">
      <alignment horizontal="left" vertical="center" wrapText="1"/>
    </xf>
    <xf numFmtId="0" fontId="57" fillId="0" borderId="7" xfId="4" applyFont="1" applyBorder="1" applyAlignment="1">
      <alignment horizontal="left" vertical="center"/>
    </xf>
    <xf numFmtId="194" fontId="57" fillId="0" borderId="5" xfId="4" applyNumberFormat="1" applyFont="1" applyBorder="1" applyAlignment="1">
      <alignment horizontal="right" vertical="center"/>
    </xf>
    <xf numFmtId="194" fontId="57" fillId="0" borderId="7" xfId="4" applyNumberFormat="1" applyFont="1" applyBorder="1" applyAlignment="1">
      <alignment horizontal="right" vertical="center"/>
    </xf>
    <xf numFmtId="0" fontId="57" fillId="0" borderId="3" xfId="4" applyFont="1" applyBorder="1" applyAlignment="1">
      <alignment horizontal="left" vertical="center"/>
    </xf>
    <xf numFmtId="0" fontId="57" fillId="0" borderId="2" xfId="4" applyFont="1" applyBorder="1" applyAlignment="1">
      <alignment horizontal="left" vertical="center"/>
    </xf>
    <xf numFmtId="194" fontId="57" fillId="0" borderId="3" xfId="4" applyNumberFormat="1" applyFont="1" applyBorder="1" applyAlignment="1">
      <alignment horizontal="right" vertical="center"/>
    </xf>
    <xf numFmtId="194" fontId="57" fillId="0" borderId="2" xfId="4" applyNumberFormat="1" applyFont="1" applyBorder="1" applyAlignment="1">
      <alignment horizontal="right" vertical="center"/>
    </xf>
    <xf numFmtId="0" fontId="57" fillId="0" borderId="255" xfId="4" applyFont="1" applyBorder="1" applyAlignment="1">
      <alignment horizontal="left" vertical="center"/>
    </xf>
    <xf numFmtId="0" fontId="57" fillId="0" borderId="256" xfId="4" applyFont="1" applyBorder="1" applyAlignment="1">
      <alignment horizontal="left" vertical="center"/>
    </xf>
    <xf numFmtId="194" fontId="123" fillId="0" borderId="257" xfId="4" applyNumberFormat="1" applyFont="1" applyBorder="1" applyAlignment="1">
      <alignment horizontal="right" vertical="center"/>
    </xf>
    <xf numFmtId="194" fontId="123" fillId="0" borderId="256" xfId="4" applyNumberFormat="1" applyFont="1" applyBorder="1" applyAlignment="1">
      <alignment horizontal="right" vertical="center"/>
    </xf>
    <xf numFmtId="0" fontId="58" fillId="18" borderId="7" xfId="2" applyFont="1" applyFill="1" applyBorder="1" applyAlignment="1" applyProtection="1">
      <alignment horizontal="left" vertical="center" wrapText="1"/>
    </xf>
    <xf numFmtId="0" fontId="58" fillId="18" borderId="6" xfId="2" applyFont="1" applyFill="1" applyBorder="1" applyAlignment="1" applyProtection="1">
      <alignment horizontal="left" vertical="center" wrapText="1"/>
    </xf>
    <xf numFmtId="38" fontId="73" fillId="8" borderId="5" xfId="2" applyNumberFormat="1" applyFont="1" applyFill="1" applyBorder="1" applyAlignment="1" applyProtection="1">
      <alignment horizontal="right"/>
    </xf>
    <xf numFmtId="38" fontId="73" fillId="8" borderId="7" xfId="2" applyNumberFormat="1" applyFont="1" applyFill="1" applyBorder="1" applyAlignment="1" applyProtection="1">
      <alignment horizontal="right"/>
    </xf>
    <xf numFmtId="38" fontId="73" fillId="8" borderId="6" xfId="2" applyNumberFormat="1" applyFont="1" applyFill="1" applyBorder="1" applyAlignment="1" applyProtection="1">
      <alignment horizontal="right"/>
    </xf>
    <xf numFmtId="0" fontId="58" fillId="0" borderId="0" xfId="2" applyFont="1" applyAlignment="1" applyProtection="1">
      <alignment horizontal="center" vertical="center"/>
    </xf>
    <xf numFmtId="0" fontId="58" fillId="0" borderId="3" xfId="2" applyFont="1" applyBorder="1" applyAlignment="1" applyProtection="1">
      <alignment horizontal="left" vertical="center" wrapText="1"/>
    </xf>
    <xf numFmtId="0" fontId="58" fillId="0" borderId="2" xfId="2" applyFont="1" applyBorder="1" applyAlignment="1" applyProtection="1">
      <alignment horizontal="left" vertical="center" wrapText="1"/>
    </xf>
    <xf numFmtId="0" fontId="58" fillId="0" borderId="4" xfId="2" applyFont="1" applyBorder="1" applyAlignment="1" applyProtection="1">
      <alignment horizontal="left" vertical="center" wrapText="1"/>
    </xf>
    <xf numFmtId="194" fontId="73" fillId="0" borderId="7" xfId="2" applyNumberFormat="1" applyFont="1" applyBorder="1" applyAlignment="1" applyProtection="1">
      <alignment horizontal="right" vertical="center"/>
    </xf>
    <xf numFmtId="0" fontId="58" fillId="0" borderId="5" xfId="2" applyFont="1" applyBorder="1" applyAlignment="1" applyProtection="1">
      <alignment horizontal="left" vertical="center" wrapText="1"/>
    </xf>
    <xf numFmtId="0" fontId="58" fillId="0" borderId="7" xfId="2" applyFont="1" applyBorder="1" applyAlignment="1" applyProtection="1">
      <alignment horizontal="left" vertical="center" wrapText="1"/>
    </xf>
    <xf numFmtId="0" fontId="58" fillId="0" borderId="6" xfId="2" applyFont="1" applyBorder="1" applyAlignment="1" applyProtection="1">
      <alignment horizontal="left" vertical="center" wrapText="1"/>
    </xf>
    <xf numFmtId="0" fontId="57" fillId="0" borderId="7" xfId="2" applyFont="1" applyBorder="1" applyAlignment="1" applyProtection="1">
      <alignment horizontal="distributed"/>
    </xf>
    <xf numFmtId="0" fontId="62" fillId="0" borderId="0" xfId="2" applyFont="1" applyAlignment="1" applyProtection="1">
      <alignment horizontal="left" vertical="top" wrapText="1"/>
    </xf>
    <xf numFmtId="0" fontId="7" fillId="0" borderId="0" xfId="2" applyAlignment="1" applyProtection="1">
      <alignment horizontal="left" vertical="top" wrapText="1"/>
    </xf>
    <xf numFmtId="0" fontId="57" fillId="2" borderId="0" xfId="2" applyFont="1" applyFill="1" applyAlignment="1" applyProtection="1">
      <alignment horizontal="left" shrinkToFit="1"/>
      <protection locked="0"/>
    </xf>
    <xf numFmtId="0" fontId="57" fillId="0" borderId="0" xfId="2" applyFont="1" applyAlignment="1" applyProtection="1">
      <alignment horizontal="center" vertical="center"/>
    </xf>
    <xf numFmtId="0" fontId="57" fillId="0" borderId="10" xfId="2" applyFont="1" applyBorder="1" applyAlignment="1" applyProtection="1">
      <alignment horizontal="distributed"/>
    </xf>
    <xf numFmtId="0" fontId="58" fillId="2" borderId="5" xfId="2" applyFont="1" applyFill="1" applyBorder="1" applyAlignment="1" applyProtection="1">
      <alignment horizontal="center" vertical="center" wrapText="1"/>
      <protection locked="0"/>
    </xf>
    <xf numFmtId="0" fontId="58" fillId="2" borderId="7" xfId="2" applyFont="1" applyFill="1" applyBorder="1" applyAlignment="1" applyProtection="1">
      <alignment horizontal="center" vertical="center" wrapText="1"/>
      <protection locked="0"/>
    </xf>
    <xf numFmtId="0" fontId="58" fillId="2" borderId="6" xfId="2" applyFont="1" applyFill="1" applyBorder="1" applyAlignment="1" applyProtection="1">
      <alignment horizontal="center" vertical="center" wrapText="1"/>
      <protection locked="0"/>
    </xf>
    <xf numFmtId="194" fontId="73" fillId="2" borderId="7" xfId="2" applyNumberFormat="1" applyFont="1" applyFill="1" applyBorder="1" applyAlignment="1" applyProtection="1">
      <alignment horizontal="right" vertical="center"/>
      <protection locked="0"/>
    </xf>
    <xf numFmtId="0" fontId="74" fillId="9" borderId="7" xfId="2" applyFont="1" applyFill="1" applyBorder="1" applyAlignment="1" applyProtection="1">
      <alignment horizontal="left" vertical="center" wrapText="1"/>
    </xf>
    <xf numFmtId="0" fontId="74" fillId="9" borderId="6" xfId="2" applyFont="1" applyFill="1" applyBorder="1" applyAlignment="1" applyProtection="1">
      <alignment horizontal="left" vertical="center" wrapText="1"/>
    </xf>
    <xf numFmtId="0" fontId="58" fillId="18" borderId="5" xfId="2" applyFont="1" applyFill="1" applyBorder="1" applyAlignment="1" applyProtection="1">
      <alignment horizontal="left" vertical="center" wrapText="1"/>
    </xf>
    <xf numFmtId="194" fontId="73" fillId="8" borderId="7" xfId="2" applyNumberFormat="1" applyFont="1" applyFill="1" applyBorder="1" applyAlignment="1">
      <alignment horizontal="right" vertical="center"/>
    </xf>
    <xf numFmtId="194" fontId="73" fillId="8" borderId="7" xfId="2" applyNumberFormat="1" applyFont="1" applyFill="1" applyBorder="1" applyAlignment="1" applyProtection="1">
      <alignment horizontal="right" vertical="center"/>
    </xf>
    <xf numFmtId="0" fontId="57" fillId="0" borderId="197" xfId="2" applyFont="1" applyBorder="1" applyAlignment="1" applyProtection="1">
      <alignment horizontal="left" vertical="center"/>
    </xf>
    <xf numFmtId="0" fontId="57" fillId="0" borderId="111" xfId="2" applyFont="1" applyBorder="1" applyAlignment="1" applyProtection="1">
      <alignment horizontal="left" vertical="center"/>
    </xf>
    <xf numFmtId="0" fontId="57" fillId="0" borderId="196" xfId="2" applyFont="1" applyBorder="1" applyAlignment="1" applyProtection="1">
      <alignment horizontal="left" vertical="center"/>
    </xf>
    <xf numFmtId="0" fontId="58" fillId="0" borderId="8" xfId="2" applyFont="1" applyBorder="1" applyAlignment="1" applyProtection="1">
      <alignment horizontal="left" vertical="center" wrapText="1"/>
    </xf>
    <xf numFmtId="194" fontId="73" fillId="0" borderId="7" xfId="2" applyNumberFormat="1" applyFont="1" applyFill="1" applyBorder="1" applyAlignment="1" applyProtection="1">
      <alignment horizontal="right" vertical="center"/>
    </xf>
    <xf numFmtId="0" fontId="57" fillId="0" borderId="84" xfId="2" applyFont="1" applyBorder="1" applyAlignment="1" applyProtection="1">
      <alignment horizontal="left" vertical="center"/>
    </xf>
    <xf numFmtId="0" fontId="57" fillId="0" borderId="85" xfId="2" applyFont="1" applyBorder="1" applyAlignment="1" applyProtection="1">
      <alignment horizontal="left" vertical="center"/>
    </xf>
    <xf numFmtId="0" fontId="57" fillId="0" borderId="86" xfId="2" applyFont="1" applyBorder="1" applyAlignment="1" applyProtection="1">
      <alignment horizontal="left" vertical="center"/>
    </xf>
    <xf numFmtId="0" fontId="57" fillId="0" borderId="5" xfId="2" applyFont="1" applyBorder="1" applyAlignment="1" applyProtection="1">
      <alignment horizontal="center" vertical="center"/>
    </xf>
    <xf numFmtId="0" fontId="57" fillId="0" borderId="7" xfId="2" applyFont="1" applyBorder="1" applyAlignment="1" applyProtection="1">
      <alignment horizontal="center" vertical="center"/>
    </xf>
    <xf numFmtId="0" fontId="57" fillId="0" borderId="6" xfId="2" applyFont="1" applyBorder="1" applyAlignment="1" applyProtection="1">
      <alignment horizontal="center" vertical="center"/>
    </xf>
    <xf numFmtId="0" fontId="57" fillId="0" borderId="83" xfId="2" applyFont="1" applyBorder="1" applyAlignment="1" applyProtection="1">
      <alignment vertical="center" shrinkToFit="1"/>
    </xf>
    <xf numFmtId="0" fontId="57" fillId="0" borderId="139" xfId="2" applyFont="1" applyBorder="1" applyAlignment="1" applyProtection="1">
      <alignment vertical="center" shrinkToFit="1"/>
    </xf>
    <xf numFmtId="0" fontId="57" fillId="0" borderId="87" xfId="2" applyFont="1" applyBorder="1" applyAlignment="1" applyProtection="1">
      <alignment vertical="center" shrinkToFit="1"/>
    </xf>
    <xf numFmtId="0" fontId="57" fillId="0" borderId="90" xfId="2" applyFont="1" applyBorder="1" applyAlignment="1" applyProtection="1">
      <alignment vertical="center" shrinkToFit="1"/>
    </xf>
    <xf numFmtId="0" fontId="57" fillId="0" borderId="159" xfId="2" applyFont="1" applyBorder="1" applyAlignment="1" applyProtection="1">
      <alignment vertical="center" shrinkToFit="1"/>
    </xf>
    <xf numFmtId="0" fontId="57" fillId="0" borderId="168" xfId="2" applyFont="1" applyBorder="1" applyAlignment="1" applyProtection="1">
      <alignment vertical="center" shrinkToFit="1"/>
    </xf>
    <xf numFmtId="0" fontId="57" fillId="0" borderId="11" xfId="2" applyFont="1" applyBorder="1" applyAlignment="1" applyProtection="1">
      <alignment vertical="center" shrinkToFit="1"/>
    </xf>
    <xf numFmtId="0" fontId="57" fillId="0" borderId="10" xfId="2" applyFont="1" applyBorder="1" applyAlignment="1" applyProtection="1">
      <alignment vertical="center" shrinkToFit="1"/>
    </xf>
    <xf numFmtId="0" fontId="57" fillId="0" borderId="65" xfId="2" applyFont="1" applyBorder="1" applyAlignment="1" applyProtection="1">
      <alignment vertical="center" shrinkToFit="1"/>
    </xf>
    <xf numFmtId="0" fontId="81" fillId="0" borderId="9" xfId="6" applyFont="1" applyBorder="1" applyAlignment="1" applyProtection="1">
      <alignment horizontal="left" vertical="center" shrinkToFit="1"/>
      <protection locked="0"/>
    </xf>
    <xf numFmtId="0" fontId="86" fillId="9" borderId="6" xfId="7" applyFont="1" applyFill="1" applyBorder="1" applyAlignment="1">
      <alignment horizontal="center" vertical="center" wrapText="1" shrinkToFit="1"/>
    </xf>
    <xf numFmtId="0" fontId="86" fillId="9" borderId="8" xfId="7" applyFont="1" applyFill="1" applyBorder="1" applyAlignment="1">
      <alignment horizontal="center" vertical="center" wrapText="1" shrinkToFit="1"/>
    </xf>
    <xf numFmtId="0" fontId="86" fillId="9" borderId="3" xfId="7" applyFont="1" applyFill="1" applyBorder="1" applyAlignment="1">
      <alignment horizontal="center" vertical="center" wrapText="1" shrinkToFit="1"/>
    </xf>
    <xf numFmtId="0" fontId="86" fillId="9" borderId="13" xfId="7" applyFont="1" applyFill="1" applyBorder="1" applyAlignment="1">
      <alignment horizontal="center" vertical="center" wrapText="1" shrinkToFit="1"/>
    </xf>
    <xf numFmtId="0" fontId="86" fillId="9" borderId="11" xfId="7" applyFont="1" applyFill="1" applyBorder="1" applyAlignment="1">
      <alignment horizontal="center" vertical="center" wrapText="1" shrinkToFit="1"/>
    </xf>
    <xf numFmtId="0" fontId="86" fillId="11" borderId="94" xfId="7" applyFont="1" applyFill="1" applyBorder="1" applyAlignment="1">
      <alignment horizontal="center" vertical="center" wrapText="1" shrinkToFit="1"/>
    </xf>
    <xf numFmtId="0" fontId="86" fillId="9" borderId="147" xfId="7" applyFont="1" applyFill="1" applyBorder="1" applyAlignment="1">
      <alignment horizontal="center" vertical="center" wrapText="1" shrinkToFit="1"/>
    </xf>
    <xf numFmtId="0" fontId="86" fillId="9" borderId="129" xfId="7" applyFont="1" applyFill="1" applyBorder="1" applyAlignment="1">
      <alignment horizontal="center" vertical="center" wrapText="1" shrinkToFit="1"/>
    </xf>
    <xf numFmtId="0" fontId="86" fillId="9" borderId="5" xfId="7" applyFont="1" applyFill="1" applyBorder="1" applyAlignment="1">
      <alignment horizontal="center" vertical="center" shrinkToFit="1"/>
    </xf>
    <xf numFmtId="0" fontId="86" fillId="9" borderId="7" xfId="7" applyFont="1" applyFill="1" applyBorder="1" applyAlignment="1">
      <alignment horizontal="center" vertical="center" shrinkToFit="1"/>
    </xf>
    <xf numFmtId="0" fontId="86" fillId="9" borderId="1" xfId="6" applyFont="1" applyFill="1" applyBorder="1" applyAlignment="1">
      <alignment horizontal="center" vertical="center" wrapText="1"/>
    </xf>
    <xf numFmtId="0" fontId="86" fillId="9" borderId="9" xfId="6" applyFont="1" applyFill="1" applyBorder="1" applyAlignment="1">
      <alignment horizontal="center" vertical="center" wrapText="1"/>
    </xf>
    <xf numFmtId="0" fontId="81" fillId="0" borderId="8" xfId="6" applyFont="1" applyBorder="1" applyAlignment="1" applyProtection="1">
      <alignment horizontal="left" vertical="center" shrinkToFit="1"/>
      <protection locked="0"/>
    </xf>
    <xf numFmtId="0" fontId="88" fillId="9" borderId="6" xfId="6" applyNumberFormat="1" applyFont="1" applyFill="1" applyBorder="1" applyAlignment="1" applyProtection="1">
      <alignment horizontal="left" vertical="center" shrinkToFit="1"/>
      <protection locked="0"/>
    </xf>
    <xf numFmtId="0" fontId="88" fillId="9" borderId="8" xfId="6" applyNumberFormat="1" applyFont="1" applyFill="1" applyBorder="1" applyAlignment="1" applyProtection="1">
      <alignment horizontal="left" vertical="center" shrinkToFit="1"/>
      <protection locked="0"/>
    </xf>
    <xf numFmtId="0" fontId="81" fillId="0" borderId="6" xfId="6" applyNumberFormat="1" applyFont="1" applyBorder="1" applyAlignment="1" applyProtection="1">
      <alignment horizontal="left" vertical="center" shrinkToFit="1"/>
      <protection locked="0"/>
    </xf>
    <xf numFmtId="0" fontId="81" fillId="0" borderId="8" xfId="6" applyNumberFormat="1" applyFont="1" applyBorder="1" applyAlignment="1" applyProtection="1">
      <alignment horizontal="left" vertical="center" shrinkToFit="1"/>
      <protection locked="0"/>
    </xf>
    <xf numFmtId="0" fontId="81" fillId="9" borderId="199" xfId="6" applyNumberFormat="1" applyFont="1" applyFill="1" applyBorder="1" applyAlignment="1">
      <alignment horizontal="left" vertical="center" shrinkToFit="1"/>
    </xf>
    <xf numFmtId="0" fontId="81" fillId="9" borderId="198" xfId="6" applyNumberFormat="1" applyFont="1" applyFill="1" applyBorder="1" applyAlignment="1">
      <alignment horizontal="left" vertical="center" shrinkToFit="1"/>
    </xf>
    <xf numFmtId="0" fontId="86" fillId="0" borderId="5" xfId="4" applyFont="1" applyBorder="1" applyAlignment="1">
      <alignment horizontal="left" vertical="center" wrapText="1"/>
    </xf>
    <xf numFmtId="0" fontId="86" fillId="0" borderId="7" xfId="4" applyFont="1" applyBorder="1" applyAlignment="1">
      <alignment horizontal="left" vertical="center" wrapText="1"/>
    </xf>
    <xf numFmtId="0" fontId="86" fillId="0" borderId="6" xfId="4" applyFont="1" applyBorder="1" applyAlignment="1">
      <alignment horizontal="left" vertical="center" wrapText="1"/>
    </xf>
    <xf numFmtId="0" fontId="81" fillId="0" borderId="14" xfId="6" applyFont="1" applyBorder="1" applyAlignment="1" applyProtection="1">
      <alignment horizontal="left" vertical="center" shrinkToFit="1"/>
      <protection locked="0"/>
    </xf>
    <xf numFmtId="0" fontId="81" fillId="0" borderId="54" xfId="6" applyFont="1" applyBorder="1" applyAlignment="1">
      <alignment horizontal="center" vertical="center" shrinkToFit="1"/>
    </xf>
    <xf numFmtId="0" fontId="81" fillId="0" borderId="55" xfId="6" applyFont="1" applyBorder="1" applyAlignment="1">
      <alignment horizontal="center" vertical="center" shrinkToFit="1"/>
    </xf>
    <xf numFmtId="38" fontId="81" fillId="9" borderId="212" xfId="6" applyNumberFormat="1" applyFont="1" applyFill="1" applyBorder="1" applyAlignment="1">
      <alignment horizontal="center" vertical="center" shrinkToFit="1"/>
    </xf>
    <xf numFmtId="38" fontId="81" fillId="9" borderId="204" xfId="6" applyNumberFormat="1" applyFont="1" applyFill="1" applyBorder="1" applyAlignment="1">
      <alignment horizontal="center" vertical="center" shrinkToFit="1"/>
    </xf>
    <xf numFmtId="0" fontId="81" fillId="9" borderId="212" xfId="6" applyFont="1" applyFill="1" applyBorder="1" applyAlignment="1">
      <alignment horizontal="center" vertical="center" shrinkToFit="1"/>
    </xf>
    <xf numFmtId="0" fontId="81" fillId="9" borderId="204" xfId="6" applyFont="1" applyFill="1" applyBorder="1" applyAlignment="1">
      <alignment horizontal="center" vertical="center" shrinkToFit="1"/>
    </xf>
    <xf numFmtId="0" fontId="81" fillId="9" borderId="203" xfId="6" applyFont="1" applyFill="1" applyBorder="1" applyAlignment="1">
      <alignment horizontal="center" vertical="center" shrinkToFit="1"/>
    </xf>
    <xf numFmtId="38" fontId="81" fillId="0" borderId="211" xfId="6" applyNumberFormat="1" applyFont="1" applyBorder="1" applyAlignment="1">
      <alignment horizontal="center" vertical="center" shrinkToFit="1"/>
    </xf>
    <xf numFmtId="38" fontId="81" fillId="0" borderId="208" xfId="6" applyNumberFormat="1" applyFont="1" applyBorder="1" applyAlignment="1">
      <alignment horizontal="center" vertical="center" shrinkToFit="1"/>
    </xf>
    <xf numFmtId="38" fontId="81" fillId="0" borderId="202" xfId="6" applyNumberFormat="1" applyFont="1" applyBorder="1" applyAlignment="1">
      <alignment horizontal="center" vertical="center" shrinkToFit="1"/>
    </xf>
    <xf numFmtId="0" fontId="81" fillId="0" borderId="5" xfId="6" applyFont="1" applyBorder="1" applyAlignment="1" applyProtection="1">
      <alignment horizontal="left" vertical="center" shrinkToFit="1"/>
      <protection locked="0"/>
    </xf>
    <xf numFmtId="0" fontId="81" fillId="0" borderId="7" xfId="6" applyFont="1" applyBorder="1" applyAlignment="1" applyProtection="1">
      <alignment horizontal="left" vertical="center" shrinkToFit="1"/>
      <protection locked="0"/>
    </xf>
    <xf numFmtId="0" fontId="81" fillId="0" borderId="6" xfId="6" applyFont="1" applyBorder="1" applyAlignment="1" applyProtection="1">
      <alignment horizontal="left" vertical="center" shrinkToFit="1"/>
      <protection locked="0"/>
    </xf>
    <xf numFmtId="0" fontId="81" fillId="0" borderId="0" xfId="4" applyFont="1" applyAlignment="1">
      <alignment horizontal="left" vertical="top" wrapText="1"/>
    </xf>
    <xf numFmtId="0" fontId="81" fillId="0" borderId="0" xfId="4" applyFont="1" applyAlignment="1">
      <alignment horizontal="left" vertical="top"/>
    </xf>
    <xf numFmtId="0" fontId="81" fillId="0" borderId="0" xfId="6" applyFont="1" applyAlignment="1">
      <alignment horizontal="left" vertical="top" wrapText="1" shrinkToFit="1"/>
    </xf>
    <xf numFmtId="0" fontId="81" fillId="0" borderId="0" xfId="6" applyFont="1" applyAlignment="1">
      <alignment horizontal="left" vertical="top" shrinkToFit="1"/>
    </xf>
    <xf numFmtId="0" fontId="127" fillId="18" borderId="1" xfId="7" applyFont="1" applyFill="1" applyBorder="1" applyAlignment="1">
      <alignment horizontal="center" vertical="center" wrapText="1" shrinkToFit="1"/>
    </xf>
    <xf numFmtId="0" fontId="127" fillId="18" borderId="14" xfId="7" applyFont="1" applyFill="1" applyBorder="1" applyAlignment="1">
      <alignment horizontal="center" vertical="center" wrapText="1" shrinkToFit="1"/>
    </xf>
    <xf numFmtId="0" fontId="127" fillId="18" borderId="9" xfId="7" applyFont="1" applyFill="1" applyBorder="1" applyAlignment="1">
      <alignment horizontal="center" vertical="center" wrapText="1" shrinkToFit="1"/>
    </xf>
    <xf numFmtId="0" fontId="88" fillId="9" borderId="6" xfId="6" applyNumberFormat="1" applyFont="1" applyFill="1" applyBorder="1" applyAlignment="1" applyProtection="1">
      <alignment horizontal="left" vertical="center" wrapText="1" shrinkToFit="1"/>
      <protection locked="0"/>
    </xf>
    <xf numFmtId="0" fontId="88" fillId="0" borderId="6" xfId="6" applyNumberFormat="1" applyFont="1" applyBorder="1" applyAlignment="1" applyProtection="1">
      <alignment horizontal="left" vertical="center" shrinkToFit="1"/>
      <protection locked="0"/>
    </xf>
    <xf numFmtId="0" fontId="88" fillId="0" borderId="8" xfId="6" applyNumberFormat="1" applyFont="1" applyBorder="1" applyAlignment="1" applyProtection="1">
      <alignment horizontal="left" vertical="center" shrinkToFit="1"/>
      <protection locked="0"/>
    </xf>
    <xf numFmtId="38" fontId="81" fillId="0" borderId="94" xfId="6" applyNumberFormat="1" applyFont="1" applyBorder="1" applyAlignment="1">
      <alignment horizontal="center" vertical="center" shrinkToFit="1"/>
    </xf>
    <xf numFmtId="0" fontId="86" fillId="9" borderId="63" xfId="7" applyFont="1" applyFill="1" applyBorder="1" applyAlignment="1">
      <alignment horizontal="center" vertical="center" wrapText="1" shrinkToFit="1"/>
    </xf>
    <xf numFmtId="0" fontId="86" fillId="9" borderId="5" xfId="6" applyFont="1" applyFill="1" applyBorder="1" applyAlignment="1">
      <alignment horizontal="center" vertical="center" wrapText="1"/>
    </xf>
    <xf numFmtId="0" fontId="86" fillId="9" borderId="7" xfId="6" applyFont="1" applyFill="1" applyBorder="1" applyAlignment="1">
      <alignment horizontal="center" vertical="center" wrapText="1"/>
    </xf>
    <xf numFmtId="0" fontId="86" fillId="9" borderId="6" xfId="6" applyFont="1" applyFill="1" applyBorder="1" applyAlignment="1">
      <alignment horizontal="center" vertical="center" wrapText="1"/>
    </xf>
    <xf numFmtId="38" fontId="81" fillId="0" borderId="210" xfId="6" applyNumberFormat="1" applyFont="1" applyBorder="1" applyAlignment="1">
      <alignment horizontal="center" vertical="center" shrinkToFit="1"/>
    </xf>
    <xf numFmtId="38" fontId="81" fillId="0" borderId="207" xfId="6" applyNumberFormat="1" applyFont="1" applyBorder="1" applyAlignment="1">
      <alignment horizontal="center" vertical="center" shrinkToFit="1"/>
    </xf>
    <xf numFmtId="38" fontId="81" fillId="0" borderId="201" xfId="6" applyNumberFormat="1" applyFont="1" applyBorder="1" applyAlignment="1">
      <alignment horizontal="center" vertical="center" shrinkToFit="1"/>
    </xf>
    <xf numFmtId="0" fontId="127" fillId="18" borderId="1" xfId="6" applyFont="1" applyFill="1" applyBorder="1" applyAlignment="1">
      <alignment horizontal="center" vertical="center" wrapText="1"/>
    </xf>
    <xf numFmtId="0" fontId="127" fillId="18" borderId="14" xfId="6" applyFont="1" applyFill="1" applyBorder="1" applyAlignment="1">
      <alignment horizontal="center" vertical="center" wrapText="1"/>
    </xf>
    <xf numFmtId="0" fontId="127" fillId="18" borderId="9" xfId="6" applyFont="1" applyFill="1" applyBorder="1" applyAlignment="1">
      <alignment horizontal="center" vertical="center" wrapText="1"/>
    </xf>
    <xf numFmtId="0" fontId="86" fillId="11" borderId="8" xfId="7" applyFont="1" applyFill="1" applyBorder="1" applyAlignment="1">
      <alignment horizontal="center" vertical="center" wrapText="1" shrinkToFit="1"/>
    </xf>
    <xf numFmtId="0" fontId="81" fillId="0" borderId="8" xfId="6" applyFont="1" applyBorder="1" applyAlignment="1">
      <alignment horizontal="center" vertical="center" wrapText="1"/>
    </xf>
    <xf numFmtId="0" fontId="91" fillId="9" borderId="59" xfId="6" applyFont="1" applyFill="1" applyBorder="1" applyAlignment="1">
      <alignment horizontal="center" vertical="center"/>
    </xf>
    <xf numFmtId="0" fontId="91" fillId="9" borderId="53" xfId="6" applyFont="1" applyFill="1" applyBorder="1" applyAlignment="1">
      <alignment horizontal="center" vertical="center"/>
    </xf>
    <xf numFmtId="0" fontId="91" fillId="9" borderId="90" xfId="6" applyFont="1" applyFill="1" applyBorder="1" applyAlignment="1">
      <alignment horizontal="center" vertical="center"/>
    </xf>
    <xf numFmtId="0" fontId="91" fillId="9" borderId="60" xfId="6" applyFont="1" applyFill="1" applyBorder="1" applyAlignment="1">
      <alignment horizontal="center" vertical="center"/>
    </xf>
    <xf numFmtId="0" fontId="91" fillId="9" borderId="160" xfId="4" applyFont="1" applyFill="1" applyBorder="1" applyAlignment="1">
      <alignment horizontal="center" vertical="center"/>
    </xf>
    <xf numFmtId="0" fontId="91" fillId="9" borderId="58" xfId="4" applyFont="1" applyFill="1" applyBorder="1" applyAlignment="1">
      <alignment horizontal="center" vertical="center"/>
    </xf>
    <xf numFmtId="0" fontId="91" fillId="9" borderId="159" xfId="4" applyFont="1" applyFill="1" applyBorder="1" applyAlignment="1">
      <alignment horizontal="center" vertical="center"/>
    </xf>
    <xf numFmtId="0" fontId="91" fillId="9" borderId="168" xfId="4" applyFont="1" applyFill="1" applyBorder="1" applyAlignment="1">
      <alignment horizontal="center" vertical="center"/>
    </xf>
    <xf numFmtId="0" fontId="94" fillId="0" borderId="91" xfId="6" applyFont="1" applyBorder="1" applyAlignment="1">
      <alignment horizontal="center" vertical="center"/>
    </xf>
    <xf numFmtId="0" fontId="94" fillId="0" borderId="88" xfId="6" applyFont="1" applyBorder="1" applyAlignment="1">
      <alignment horizontal="center" vertical="center"/>
    </xf>
    <xf numFmtId="0" fontId="94" fillId="0" borderId="102" xfId="6" applyFont="1" applyBorder="1" applyAlignment="1">
      <alignment horizontal="center" vertical="center"/>
    </xf>
    <xf numFmtId="0" fontId="93" fillId="0" borderId="58" xfId="4" applyFont="1" applyBorder="1" applyAlignment="1">
      <alignment horizontal="center" vertical="center" wrapText="1"/>
    </xf>
    <xf numFmtId="0" fontId="93" fillId="0" borderId="61" xfId="4" applyFont="1" applyBorder="1" applyAlignment="1">
      <alignment horizontal="center" vertical="center" wrapText="1"/>
    </xf>
    <xf numFmtId="0" fontId="93" fillId="0" borderId="0" xfId="4" applyFont="1" applyAlignment="1">
      <alignment horizontal="center" vertical="center" wrapText="1"/>
    </xf>
    <xf numFmtId="0" fontId="93" fillId="0" borderId="110" xfId="4" applyFont="1" applyBorder="1" applyAlignment="1">
      <alignment horizontal="center" vertical="center" wrapText="1"/>
    </xf>
    <xf numFmtId="0" fontId="93" fillId="0" borderId="139" xfId="4" applyFont="1" applyBorder="1" applyAlignment="1">
      <alignment horizontal="center" vertical="center" wrapText="1"/>
    </xf>
    <xf numFmtId="0" fontId="93" fillId="0" borderId="87" xfId="4" applyFont="1" applyBorder="1" applyAlignment="1">
      <alignment horizontal="center" vertical="center" wrapText="1"/>
    </xf>
    <xf numFmtId="0" fontId="91" fillId="0" borderId="0" xfId="6" applyFont="1" applyAlignment="1">
      <alignment horizontal="left" vertical="center"/>
    </xf>
    <xf numFmtId="0" fontId="81" fillId="0" borderId="8" xfId="6" applyFont="1" applyBorder="1" applyAlignment="1">
      <alignment horizontal="center" vertical="center"/>
    </xf>
    <xf numFmtId="0" fontId="81" fillId="0" borderId="6" xfId="6" applyFont="1" applyBorder="1" applyAlignment="1">
      <alignment horizontal="center" vertical="center" wrapText="1" shrinkToFit="1"/>
    </xf>
    <xf numFmtId="0" fontId="81" fillId="0" borderId="8" xfId="6" applyFont="1" applyBorder="1" applyAlignment="1">
      <alignment horizontal="center" vertical="center" wrapText="1" shrinkToFit="1"/>
    </xf>
    <xf numFmtId="0" fontId="90" fillId="9" borderId="121" xfId="6" applyFont="1" applyFill="1" applyBorder="1" applyAlignment="1">
      <alignment horizontal="center" vertical="center"/>
    </xf>
    <xf numFmtId="0" fontId="90" fillId="9" borderId="65" xfId="6" applyFont="1" applyFill="1" applyBorder="1" applyAlignment="1">
      <alignment horizontal="center" vertical="center"/>
    </xf>
    <xf numFmtId="0" fontId="90" fillId="9" borderId="5" xfId="4" applyFont="1" applyFill="1" applyBorder="1" applyAlignment="1">
      <alignment horizontal="center" vertical="center"/>
    </xf>
    <xf numFmtId="0" fontId="90" fillId="9" borderId="7" xfId="4" applyFont="1" applyFill="1" applyBorder="1" applyAlignment="1">
      <alignment horizontal="center" vertical="center"/>
    </xf>
    <xf numFmtId="0" fontId="90" fillId="9" borderId="6" xfId="4" applyFont="1" applyFill="1" applyBorder="1" applyAlignment="1">
      <alignment horizontal="center" vertical="center"/>
    </xf>
    <xf numFmtId="0" fontId="86" fillId="9" borderId="103" xfId="7" applyFont="1" applyFill="1" applyBorder="1" applyAlignment="1">
      <alignment horizontal="center" vertical="center" wrapText="1" shrinkToFit="1"/>
    </xf>
    <xf numFmtId="0" fontId="57" fillId="0" borderId="213" xfId="2" applyFont="1" applyBorder="1" applyAlignment="1">
      <alignment horizontal="center" vertical="center" wrapText="1"/>
    </xf>
    <xf numFmtId="0" fontId="57" fillId="0" borderId="86" xfId="2" applyFont="1" applyBorder="1" applyAlignment="1">
      <alignment horizontal="center" vertical="center" wrapText="1"/>
    </xf>
    <xf numFmtId="0" fontId="57" fillId="0" borderId="146" xfId="2" applyFont="1" applyBorder="1" applyAlignment="1">
      <alignment horizontal="center" vertical="center"/>
    </xf>
    <xf numFmtId="0" fontId="57" fillId="0" borderId="167" xfId="2" applyFont="1" applyBorder="1" applyAlignment="1">
      <alignment horizontal="center" vertical="center"/>
    </xf>
    <xf numFmtId="0" fontId="57" fillId="0" borderId="145" xfId="2" applyFont="1" applyBorder="1" applyAlignment="1">
      <alignment horizontal="center" vertical="center"/>
    </xf>
    <xf numFmtId="0" fontId="57" fillId="0" borderId="0" xfId="2" applyFont="1" applyAlignment="1">
      <alignment vertical="top" wrapText="1"/>
    </xf>
    <xf numFmtId="0" fontId="57" fillId="0" borderId="0" xfId="2" applyFont="1" applyAlignment="1">
      <alignment vertical="top"/>
    </xf>
    <xf numFmtId="0" fontId="57" fillId="0" borderId="54" xfId="2" applyFont="1" applyBorder="1" applyAlignment="1">
      <alignment horizontal="center" vertical="center"/>
    </xf>
    <xf numFmtId="0" fontId="57" fillId="0" borderId="56" xfId="2" applyFont="1" applyBorder="1" applyAlignment="1">
      <alignment horizontal="center" vertical="center"/>
    </xf>
    <xf numFmtId="0" fontId="57" fillId="0" borderId="192" xfId="2" applyFont="1" applyBorder="1" applyAlignment="1">
      <alignment horizontal="center" vertical="center"/>
    </xf>
    <xf numFmtId="0" fontId="57" fillId="0" borderId="84" xfId="2" applyFont="1" applyBorder="1" applyAlignment="1">
      <alignment horizontal="center" vertical="center"/>
    </xf>
    <xf numFmtId="0" fontId="57" fillId="0" borderId="191" xfId="2" applyFont="1" applyBorder="1" applyAlignment="1">
      <alignment horizontal="center" vertical="center"/>
    </xf>
    <xf numFmtId="0" fontId="57" fillId="0" borderId="85" xfId="2" applyFont="1" applyBorder="1" applyAlignment="1">
      <alignment horizontal="center" vertical="center"/>
    </xf>
    <xf numFmtId="0" fontId="57" fillId="0" borderId="191" xfId="2" applyFont="1" applyBorder="1" applyAlignment="1">
      <alignment horizontal="center" vertical="center" wrapText="1"/>
    </xf>
    <xf numFmtId="0" fontId="57" fillId="0" borderId="85" xfId="2" applyFont="1" applyBorder="1" applyAlignment="1">
      <alignment horizontal="center" vertical="center" wrapText="1"/>
    </xf>
    <xf numFmtId="0" fontId="58" fillId="0" borderId="5" xfId="2" applyFont="1" applyBorder="1" applyAlignment="1" applyProtection="1">
      <alignment horizontal="center" vertical="center" wrapText="1"/>
    </xf>
    <xf numFmtId="0" fontId="58" fillId="0" borderId="7" xfId="2" applyFont="1" applyBorder="1" applyAlignment="1" applyProtection="1">
      <alignment horizontal="center" vertical="center" wrapText="1"/>
    </xf>
    <xf numFmtId="0" fontId="58" fillId="0" borderId="6" xfId="2" applyFont="1" applyBorder="1" applyAlignment="1" applyProtection="1">
      <alignment horizontal="center" vertical="center" wrapText="1"/>
    </xf>
    <xf numFmtId="0" fontId="57" fillId="0" borderId="7" xfId="2" applyFont="1" applyBorder="1" applyAlignment="1" applyProtection="1">
      <alignment horizontal="distributed" vertical="center"/>
    </xf>
    <xf numFmtId="0" fontId="57" fillId="2" borderId="0" xfId="2" applyFont="1" applyFill="1" applyAlignment="1" applyProtection="1">
      <alignment horizontal="left" vertical="center" shrinkToFit="1"/>
      <protection locked="0"/>
    </xf>
    <xf numFmtId="0" fontId="57" fillId="0" borderId="0" xfId="2" applyFont="1" applyAlignment="1" applyProtection="1">
      <alignment horizontal="left" vertical="center" wrapText="1"/>
    </xf>
    <xf numFmtId="0" fontId="62" fillId="0" borderId="0" xfId="2" applyFont="1" applyAlignment="1" applyProtection="1">
      <alignment horizontal="left" vertical="center" wrapText="1"/>
    </xf>
    <xf numFmtId="0" fontId="58" fillId="2" borderId="8" xfId="2" applyFont="1" applyFill="1" applyBorder="1" applyAlignment="1" applyProtection="1">
      <alignment horizontal="center" vertical="center"/>
      <protection locked="0"/>
    </xf>
    <xf numFmtId="0" fontId="62" fillId="0" borderId="8" xfId="2" applyFont="1" applyBorder="1" applyAlignment="1" applyProtection="1">
      <alignment horizontal="left" vertical="center" wrapText="1"/>
    </xf>
    <xf numFmtId="0" fontId="59" fillId="0" borderId="0" xfId="2" applyFont="1" applyAlignment="1" applyProtection="1">
      <alignment horizontal="left" vertical="top" wrapText="1"/>
    </xf>
    <xf numFmtId="0" fontId="57" fillId="0" borderId="10" xfId="2" applyFont="1" applyBorder="1" applyAlignment="1" applyProtection="1">
      <alignment horizontal="distributed" vertical="center"/>
    </xf>
    <xf numFmtId="0" fontId="99" fillId="2" borderId="11" xfId="2" applyFont="1" applyFill="1" applyBorder="1" applyProtection="1">
      <alignment vertical="center"/>
      <protection locked="0"/>
    </xf>
    <xf numFmtId="0" fontId="99" fillId="2" borderId="10" xfId="2" applyFont="1" applyFill="1" applyBorder="1" applyProtection="1">
      <alignment vertical="center"/>
      <protection locked="0"/>
    </xf>
    <xf numFmtId="0" fontId="99" fillId="2" borderId="12" xfId="2" applyFont="1" applyFill="1" applyBorder="1" applyProtection="1">
      <alignment vertical="center"/>
      <protection locked="0"/>
    </xf>
    <xf numFmtId="0" fontId="99" fillId="2" borderId="5" xfId="2" applyFont="1" applyFill="1" applyBorder="1" applyProtection="1">
      <alignment vertical="center"/>
      <protection locked="0"/>
    </xf>
    <xf numFmtId="0" fontId="99" fillId="2" borderId="7" xfId="2" applyFont="1" applyFill="1" applyBorder="1" applyProtection="1">
      <alignment vertical="center"/>
      <protection locked="0"/>
    </xf>
    <xf numFmtId="0" fontId="99" fillId="2" borderId="6" xfId="2" applyFont="1" applyFill="1" applyBorder="1" applyProtection="1">
      <alignment vertical="center"/>
      <protection locked="0"/>
    </xf>
    <xf numFmtId="0" fontId="99" fillId="9" borderId="3" xfId="2" applyFont="1" applyFill="1" applyBorder="1" applyAlignment="1" applyProtection="1">
      <alignment horizontal="left" vertical="center" wrapText="1"/>
    </xf>
    <xf numFmtId="0" fontId="99" fillId="9" borderId="2" xfId="2" applyFont="1" applyFill="1" applyBorder="1" applyAlignment="1" applyProtection="1">
      <alignment horizontal="left" vertical="center" wrapText="1"/>
    </xf>
    <xf numFmtId="0" fontId="99" fillId="9" borderId="4" xfId="2" applyFont="1" applyFill="1" applyBorder="1" applyAlignment="1" applyProtection="1">
      <alignment horizontal="left" vertical="center" wrapText="1"/>
    </xf>
    <xf numFmtId="0" fontId="58" fillId="9" borderId="103" xfId="2" applyFont="1" applyFill="1" applyBorder="1" applyAlignment="1" applyProtection="1">
      <alignment horizontal="center" vertical="center"/>
    </xf>
    <xf numFmtId="0" fontId="58" fillId="9" borderId="8" xfId="2" applyFont="1" applyFill="1" applyBorder="1" applyAlignment="1" applyProtection="1">
      <alignment horizontal="center" vertical="center"/>
    </xf>
    <xf numFmtId="0" fontId="57" fillId="2" borderId="12" xfId="2" applyFont="1" applyFill="1" applyBorder="1" applyAlignment="1" applyProtection="1">
      <alignment vertical="center" shrinkToFit="1"/>
      <protection locked="0"/>
    </xf>
    <xf numFmtId="0" fontId="57" fillId="2" borderId="9" xfId="2" applyFont="1" applyFill="1" applyBorder="1" applyAlignment="1" applyProtection="1">
      <alignment vertical="center" shrinkToFit="1"/>
      <protection locked="0"/>
    </xf>
    <xf numFmtId="0" fontId="57" fillId="2" borderId="214" xfId="2" applyFont="1" applyFill="1" applyBorder="1" applyAlignment="1" applyProtection="1">
      <alignment vertical="center" shrinkToFit="1"/>
      <protection locked="0"/>
    </xf>
    <xf numFmtId="0" fontId="58" fillId="9" borderId="84" xfId="2" applyFont="1" applyFill="1" applyBorder="1" applyAlignment="1" applyProtection="1">
      <alignment horizontal="center" vertical="center"/>
    </xf>
    <xf numFmtId="0" fontId="58" fillId="9" borderId="85" xfId="2" applyFont="1" applyFill="1" applyBorder="1" applyAlignment="1" applyProtection="1">
      <alignment horizontal="center" vertical="center"/>
    </xf>
    <xf numFmtId="0" fontId="102" fillId="9" borderId="0" xfId="2" applyFont="1" applyFill="1" applyAlignment="1" applyProtection="1">
      <alignment horizontal="right" vertical="center" shrinkToFit="1"/>
    </xf>
    <xf numFmtId="0" fontId="102" fillId="9" borderId="0" xfId="2" applyFont="1" applyFill="1" applyAlignment="1" applyProtection="1">
      <alignment horizontal="center" vertical="center"/>
    </xf>
    <xf numFmtId="0" fontId="99" fillId="9" borderId="16" xfId="2" applyFont="1" applyFill="1" applyBorder="1" applyAlignment="1" applyProtection="1">
      <alignment horizontal="left" vertical="center" wrapText="1"/>
    </xf>
    <xf numFmtId="0" fontId="99" fillId="9" borderId="28" xfId="2" applyFont="1" applyFill="1" applyBorder="1" applyAlignment="1" applyProtection="1">
      <alignment horizontal="left" vertical="center" wrapText="1"/>
    </xf>
    <xf numFmtId="0" fontId="99" fillId="9" borderId="17" xfId="2" applyFont="1" applyFill="1" applyBorder="1" applyAlignment="1" applyProtection="1">
      <alignment horizontal="left" vertical="center" wrapText="1"/>
    </xf>
    <xf numFmtId="0" fontId="58" fillId="9" borderId="59" xfId="2" applyFont="1" applyFill="1" applyBorder="1" applyAlignment="1" applyProtection="1">
      <alignment horizontal="center" vertical="center"/>
    </xf>
    <xf numFmtId="0" fontId="58" fillId="9" borderId="53" xfId="2" applyFont="1" applyFill="1" applyBorder="1" applyAlignment="1" applyProtection="1">
      <alignment horizontal="center" vertical="center"/>
    </xf>
    <xf numFmtId="0" fontId="57" fillId="2" borderId="101" xfId="2" applyFont="1" applyFill="1" applyBorder="1" applyAlignment="1" applyProtection="1">
      <alignment vertical="center" shrinkToFit="1"/>
      <protection locked="0"/>
    </xf>
    <xf numFmtId="0" fontId="57" fillId="2" borderId="85" xfId="2" applyFont="1" applyFill="1" applyBorder="1" applyAlignment="1" applyProtection="1">
      <alignment vertical="center" shrinkToFit="1"/>
      <protection locked="0"/>
    </xf>
    <xf numFmtId="0" fontId="57" fillId="2" borderId="86" xfId="2" applyFont="1" applyFill="1" applyBorder="1" applyAlignment="1" applyProtection="1">
      <alignment vertical="center" shrinkToFit="1"/>
      <protection locked="0"/>
    </xf>
    <xf numFmtId="0" fontId="0" fillId="20" borderId="0" xfId="0" applyFill="1" applyAlignment="1">
      <alignment vertical="center" shrinkToFit="1"/>
    </xf>
    <xf numFmtId="0" fontId="0" fillId="20" borderId="0" xfId="0" applyFill="1">
      <alignment vertical="center"/>
    </xf>
  </cellXfs>
  <cellStyles count="9">
    <cellStyle name="桁区切り" xfId="1" builtinId="6"/>
    <cellStyle name="桁区切り 2" xfId="3" xr:uid="{4924D458-1817-438F-BF4F-C1191B02641B}"/>
    <cellStyle name="標準" xfId="0" builtinId="0"/>
    <cellStyle name="標準 2 3" xfId="7" xr:uid="{38A649D8-DA90-4BE9-8E24-84562AB3E339}"/>
    <cellStyle name="標準 3" xfId="4" xr:uid="{12EB8871-29D3-4C99-8573-0218F318A8DB}"/>
    <cellStyle name="標準 3 2" xfId="5" xr:uid="{82F704A3-A234-4C35-89C8-94D2B2AC632F}"/>
    <cellStyle name="標準 4" xfId="8" xr:uid="{3E130A92-806A-4061-9B0C-090604539899}"/>
    <cellStyle name="標準 4 2" xfId="2" xr:uid="{779A6857-3F95-450B-AFA7-21CBB90FE4C2}"/>
    <cellStyle name="標準_賃金改善内訳表" xfId="6" xr:uid="{3E1F6E74-97CC-42BB-AEDE-D60F3FD1CB0C}"/>
  </cellStyles>
  <dxfs count="95">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83" formatCode="#,##0.00;&quot;▲ &quot;#,##0.0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border diagonalUp="0" diagonalDown="0">
        <left/>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border diagonalUp="0" diagonalDown="0">
        <left/>
        <right/>
        <top style="hair">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96A79575-36AF-4E3E-9120-2C714E99FCCA}"/>
            </a:ext>
          </a:extLst>
        </xdr:cNvPr>
        <xdr:cNvSpPr txBox="1"/>
      </xdr:nvSpPr>
      <xdr:spPr>
        <a:xfrm>
          <a:off x="9579910" y="136543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8BD03840-5A29-4755-A997-CA9B20B51C4D}"/>
            </a:ext>
          </a:extLst>
        </xdr:cNvPr>
        <xdr:cNvSpPr txBox="1"/>
      </xdr:nvSpPr>
      <xdr:spPr>
        <a:xfrm>
          <a:off x="9579909" y="544081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DC20C810-EECD-4BDC-9F15-AE995DAFC654}"/>
            </a:ext>
          </a:extLst>
        </xdr:cNvPr>
        <xdr:cNvSpPr txBox="1"/>
      </xdr:nvSpPr>
      <xdr:spPr>
        <a:xfrm>
          <a:off x="64674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E11300F0-2593-493A-9018-BAFC8FF36574}"/>
            </a:ext>
          </a:extLst>
        </xdr:cNvPr>
        <xdr:cNvCxnSpPr/>
      </xdr:nvCxnSpPr>
      <xdr:spPr>
        <a:xfrm flipH="1">
          <a:off x="6753225" y="2486025"/>
          <a:ext cx="281940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F4DA1A1A-AA35-49A6-BA64-4057341CD82C}"/>
            </a:ext>
          </a:extLst>
        </xdr:cNvPr>
        <xdr:cNvCxnSpPr/>
      </xdr:nvCxnSpPr>
      <xdr:spPr>
        <a:xfrm flipH="1">
          <a:off x="6753225" y="6191250"/>
          <a:ext cx="281940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15045891-7F02-4CAB-95CF-4B831F5877E3}"/>
            </a:ext>
          </a:extLst>
        </xdr:cNvPr>
        <xdr:cNvSpPr txBox="1"/>
      </xdr:nvSpPr>
      <xdr:spPr>
        <a:xfrm>
          <a:off x="9212409" y="1292802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C33D3981-635B-41E6-8AC4-359495107B65}"/>
            </a:ext>
          </a:extLst>
        </xdr:cNvPr>
        <xdr:cNvCxnSpPr/>
      </xdr:nvCxnSpPr>
      <xdr:spPr>
        <a:xfrm flipH="1" flipV="1">
          <a:off x="8339571" y="10460182"/>
          <a:ext cx="1115293" cy="2444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17</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0F4EE3B7-6134-4887-9063-24C8E7B06D86}"/>
            </a:ext>
          </a:extLst>
        </xdr:cNvPr>
        <xdr:cNvSpPr txBox="1"/>
      </xdr:nvSpPr>
      <xdr:spPr>
        <a:xfrm>
          <a:off x="11402293" y="1292496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「基準年度における賃金の総額</a:t>
          </a:r>
          <a:r>
            <a:rPr lang="ja-JP" altLang="ja-JP" sz="1100">
              <a:solidFill>
                <a:schemeClr val="lt1"/>
              </a:solidFill>
              <a:effectLst/>
              <a:latin typeface="+mn-lt"/>
              <a:ea typeface="+mn-ea"/>
              <a:cs typeface="+mn-cs"/>
            </a:rPr>
            <a:t>及び法定福利費等の事業主負担分の総額の合計額</a:t>
          </a:r>
          <a:r>
            <a:rPr kumimoji="1" lang="ja-JP" altLang="ja-JP" sz="1100">
              <a:solidFill>
                <a:schemeClr val="lt1"/>
              </a:solidFill>
              <a:effectLst/>
              <a:latin typeface="+mn-lt"/>
              <a:ea typeface="+mn-ea"/>
              <a:cs typeface="+mn-cs"/>
            </a:rPr>
            <a:t>」</a:t>
          </a:r>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17</xdr:col>
      <xdr:colOff>519548</xdr:colOff>
      <xdr:row>75</xdr:row>
      <xdr:rowOff>43126</xdr:rowOff>
    </xdr:to>
    <xdr:cxnSp macro="">
      <xdr:nvCxnSpPr>
        <xdr:cNvPr id="5" name="直線矢印コネクタ 4">
          <a:extLst>
            <a:ext uri="{FF2B5EF4-FFF2-40B4-BE49-F238E27FC236}">
              <a16:creationId xmlns:a16="http://schemas.microsoft.com/office/drawing/2014/main" id="{9CEEDC61-6C50-4FCA-BC05-2C2ED914FD56}"/>
            </a:ext>
          </a:extLst>
        </xdr:cNvPr>
        <xdr:cNvCxnSpPr/>
      </xdr:nvCxnSpPr>
      <xdr:spPr>
        <a:xfrm flipH="1" flipV="1">
          <a:off x="9040601" y="10454019"/>
          <a:ext cx="2604147" cy="244785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oneCellAnchor>
    <xdr:from>
      <xdr:col>30</xdr:col>
      <xdr:colOff>132954</xdr:colOff>
      <xdr:row>9</xdr:row>
      <xdr:rowOff>277813</xdr:rowOff>
    </xdr:from>
    <xdr:ext cx="4762499" cy="1061640"/>
    <xdr:sp macro="" textlink="">
      <xdr:nvSpPr>
        <xdr:cNvPr id="2" name="テキスト ボックス 1">
          <a:extLst>
            <a:ext uri="{FF2B5EF4-FFF2-40B4-BE49-F238E27FC236}">
              <a16:creationId xmlns:a16="http://schemas.microsoft.com/office/drawing/2014/main" id="{DC3AFF2A-ADAC-4553-A94A-2E619562338A}"/>
            </a:ext>
          </a:extLst>
        </xdr:cNvPr>
        <xdr:cNvSpPr txBox="1"/>
      </xdr:nvSpPr>
      <xdr:spPr>
        <a:xfrm>
          <a:off x="20706954" y="188753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9</xdr:row>
      <xdr:rowOff>337343</xdr:rowOff>
    </xdr:from>
    <xdr:to>
      <xdr:col>30</xdr:col>
      <xdr:colOff>138906</xdr:colOff>
      <xdr:row>11</xdr:row>
      <xdr:rowOff>228203</xdr:rowOff>
    </xdr:to>
    <xdr:cxnSp macro="">
      <xdr:nvCxnSpPr>
        <xdr:cNvPr id="3" name="直線矢印コネクタ 2">
          <a:extLst>
            <a:ext uri="{FF2B5EF4-FFF2-40B4-BE49-F238E27FC236}">
              <a16:creationId xmlns:a16="http://schemas.microsoft.com/office/drawing/2014/main" id="{A1168A8E-0572-446E-AEAA-48766AD5F6E8}"/>
            </a:ext>
          </a:extLst>
        </xdr:cNvPr>
        <xdr:cNvCxnSpPr/>
      </xdr:nvCxnSpPr>
      <xdr:spPr>
        <a:xfrm flipH="1" flipV="1">
          <a:off x="11857038" y="1889918"/>
          <a:ext cx="8855868" cy="3385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26</xdr:row>
      <xdr:rowOff>42585</xdr:rowOff>
    </xdr:from>
    <xdr:to>
      <xdr:col>10</xdr:col>
      <xdr:colOff>206565</xdr:colOff>
      <xdr:row>27</xdr:row>
      <xdr:rowOff>190500</xdr:rowOff>
    </xdr:to>
    <xdr:sp macro="" textlink="">
      <xdr:nvSpPr>
        <xdr:cNvPr id="2" name="下矢印 1">
          <a:extLst>
            <a:ext uri="{FF2B5EF4-FFF2-40B4-BE49-F238E27FC236}">
              <a16:creationId xmlns:a16="http://schemas.microsoft.com/office/drawing/2014/main" id="{EFE70879-57E6-48E7-A221-845227B35F64}"/>
            </a:ext>
          </a:extLst>
        </xdr:cNvPr>
        <xdr:cNvSpPr/>
      </xdr:nvSpPr>
      <xdr:spPr>
        <a:xfrm>
          <a:off x="4707990" y="52337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42</xdr:row>
      <xdr:rowOff>161924</xdr:rowOff>
    </xdr:from>
    <xdr:to>
      <xdr:col>10</xdr:col>
      <xdr:colOff>245305</xdr:colOff>
      <xdr:row>43</xdr:row>
      <xdr:rowOff>180094</xdr:rowOff>
    </xdr:to>
    <xdr:sp macro="" textlink="">
      <xdr:nvSpPr>
        <xdr:cNvPr id="3" name="下矢印 2">
          <a:extLst>
            <a:ext uri="{FF2B5EF4-FFF2-40B4-BE49-F238E27FC236}">
              <a16:creationId xmlns:a16="http://schemas.microsoft.com/office/drawing/2014/main" id="{0DB0DACB-FB25-4428-83CF-ACA75A6FAF4C}"/>
            </a:ext>
          </a:extLst>
        </xdr:cNvPr>
        <xdr:cNvSpPr/>
      </xdr:nvSpPr>
      <xdr:spPr>
        <a:xfrm>
          <a:off x="4727680" y="8524874"/>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40</xdr:row>
      <xdr:rowOff>65312</xdr:rowOff>
    </xdr:from>
    <xdr:to>
      <xdr:col>15</xdr:col>
      <xdr:colOff>304799</xdr:colOff>
      <xdr:row>42</xdr:row>
      <xdr:rowOff>133349</xdr:rowOff>
    </xdr:to>
    <xdr:sp macro="" textlink="">
      <xdr:nvSpPr>
        <xdr:cNvPr id="4" name="テキスト ボックス 3">
          <a:extLst>
            <a:ext uri="{FF2B5EF4-FFF2-40B4-BE49-F238E27FC236}">
              <a16:creationId xmlns:a16="http://schemas.microsoft.com/office/drawing/2014/main" id="{090FA117-FD68-4CA1-BBB6-FFC9D7BDB174}"/>
            </a:ext>
          </a:extLst>
        </xdr:cNvPr>
        <xdr:cNvSpPr txBox="1"/>
      </xdr:nvSpPr>
      <xdr:spPr>
        <a:xfrm>
          <a:off x="2062843" y="7990112"/>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oneCellAnchor>
    <xdr:from>
      <xdr:col>17</xdr:col>
      <xdr:colOff>66675</xdr:colOff>
      <xdr:row>0</xdr:row>
      <xdr:rowOff>57150</xdr:rowOff>
    </xdr:from>
    <xdr:ext cx="2300630" cy="800604"/>
    <xdr:sp macro="" textlink="">
      <xdr:nvSpPr>
        <xdr:cNvPr id="5" name="テキスト ボックス 4">
          <a:extLst>
            <a:ext uri="{FF2B5EF4-FFF2-40B4-BE49-F238E27FC236}">
              <a16:creationId xmlns:a16="http://schemas.microsoft.com/office/drawing/2014/main" id="{05896885-AFBF-1A0E-913C-83A436D23025}"/>
            </a:ext>
          </a:extLst>
        </xdr:cNvPr>
        <xdr:cNvSpPr txBox="1"/>
      </xdr:nvSpPr>
      <xdr:spPr>
        <a:xfrm>
          <a:off x="8601075" y="57150"/>
          <a:ext cx="2300630" cy="800604"/>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none" rtlCol="0" anchor="t">
          <a:spAutoFit/>
        </a:bodyPr>
        <a:lstStyle/>
        <a:p>
          <a:r>
            <a:rPr kumimoji="1" lang="ja-JP" altLang="en-US" sz="1100"/>
            <a:t>分園を設置している場合、本園分</a:t>
          </a:r>
          <a:endParaRPr kumimoji="1" lang="en-US" altLang="ja-JP" sz="1100"/>
        </a:p>
        <a:p>
          <a:r>
            <a:rPr kumimoji="1" lang="ja-JP" altLang="en-US" sz="1100"/>
            <a:t>のみ入力してください。</a:t>
          </a:r>
          <a:endParaRPr kumimoji="1" lang="en-US" altLang="ja-JP" sz="1100"/>
        </a:p>
        <a:p>
          <a:r>
            <a:rPr kumimoji="1" lang="ja-JP" altLang="en-US" sz="1100"/>
            <a:t>（分園は次のシートで入力）</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9</xdr:col>
      <xdr:colOff>278865</xdr:colOff>
      <xdr:row>26</xdr:row>
      <xdr:rowOff>42585</xdr:rowOff>
    </xdr:from>
    <xdr:to>
      <xdr:col>10</xdr:col>
      <xdr:colOff>206565</xdr:colOff>
      <xdr:row>27</xdr:row>
      <xdr:rowOff>190500</xdr:rowOff>
    </xdr:to>
    <xdr:sp macro="" textlink="">
      <xdr:nvSpPr>
        <xdr:cNvPr id="2" name="下矢印 1">
          <a:extLst>
            <a:ext uri="{FF2B5EF4-FFF2-40B4-BE49-F238E27FC236}">
              <a16:creationId xmlns:a16="http://schemas.microsoft.com/office/drawing/2014/main" id="{51B51067-ACF8-4F33-8820-B81C70083AA8}"/>
            </a:ext>
          </a:extLst>
        </xdr:cNvPr>
        <xdr:cNvSpPr/>
      </xdr:nvSpPr>
      <xdr:spPr>
        <a:xfrm>
          <a:off x="4707990" y="61100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42</xdr:row>
      <xdr:rowOff>161924</xdr:rowOff>
    </xdr:from>
    <xdr:to>
      <xdr:col>10</xdr:col>
      <xdr:colOff>245305</xdr:colOff>
      <xdr:row>43</xdr:row>
      <xdr:rowOff>180094</xdr:rowOff>
    </xdr:to>
    <xdr:sp macro="" textlink="">
      <xdr:nvSpPr>
        <xdr:cNvPr id="3" name="下矢印 2">
          <a:extLst>
            <a:ext uri="{FF2B5EF4-FFF2-40B4-BE49-F238E27FC236}">
              <a16:creationId xmlns:a16="http://schemas.microsoft.com/office/drawing/2014/main" id="{2654114A-B488-4EBD-8E68-E12578510701}"/>
            </a:ext>
          </a:extLst>
        </xdr:cNvPr>
        <xdr:cNvSpPr/>
      </xdr:nvSpPr>
      <xdr:spPr>
        <a:xfrm>
          <a:off x="4727680" y="981074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40</xdr:row>
      <xdr:rowOff>65312</xdr:rowOff>
    </xdr:from>
    <xdr:to>
      <xdr:col>15</xdr:col>
      <xdr:colOff>304799</xdr:colOff>
      <xdr:row>42</xdr:row>
      <xdr:rowOff>133349</xdr:rowOff>
    </xdr:to>
    <xdr:sp macro="" textlink="">
      <xdr:nvSpPr>
        <xdr:cNvPr id="4" name="テキスト ボックス 3">
          <a:extLst>
            <a:ext uri="{FF2B5EF4-FFF2-40B4-BE49-F238E27FC236}">
              <a16:creationId xmlns:a16="http://schemas.microsoft.com/office/drawing/2014/main" id="{077CB3BA-1B89-44ED-88FA-C3ABC227A18A}"/>
            </a:ext>
          </a:extLst>
        </xdr:cNvPr>
        <xdr:cNvSpPr txBox="1"/>
      </xdr:nvSpPr>
      <xdr:spPr>
        <a:xfrm>
          <a:off x="2062843" y="927598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oneCellAnchor>
    <xdr:from>
      <xdr:col>17</xdr:col>
      <xdr:colOff>76200</xdr:colOff>
      <xdr:row>0</xdr:row>
      <xdr:rowOff>66675</xdr:rowOff>
    </xdr:from>
    <xdr:ext cx="2441694" cy="800604"/>
    <xdr:sp macro="" textlink="">
      <xdr:nvSpPr>
        <xdr:cNvPr id="5" name="テキスト ボックス 4">
          <a:extLst>
            <a:ext uri="{FF2B5EF4-FFF2-40B4-BE49-F238E27FC236}">
              <a16:creationId xmlns:a16="http://schemas.microsoft.com/office/drawing/2014/main" id="{9C06602E-0DBA-4BF2-8349-7F6D6EDB50DF}"/>
            </a:ext>
          </a:extLst>
        </xdr:cNvPr>
        <xdr:cNvSpPr txBox="1"/>
      </xdr:nvSpPr>
      <xdr:spPr>
        <a:xfrm>
          <a:off x="8610600" y="66675"/>
          <a:ext cx="2441694" cy="800604"/>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none" rtlCol="0" anchor="t">
          <a:spAutoFit/>
        </a:bodyPr>
        <a:lstStyle/>
        <a:p>
          <a:r>
            <a:rPr kumimoji="1" lang="ja-JP" altLang="en-US" sz="1100"/>
            <a:t>分園がない場合は記入は不要です。</a:t>
          </a:r>
          <a:endParaRPr kumimoji="1" lang="en-US" altLang="ja-JP" sz="1100"/>
        </a:p>
        <a:p>
          <a:r>
            <a:rPr kumimoji="1" lang="ja-JP" altLang="en-US" sz="1100"/>
            <a:t>（分園がある場合、分園の情報のみ</a:t>
          </a:r>
          <a:endParaRPr kumimoji="1" lang="en-US" altLang="ja-JP" sz="1100"/>
        </a:p>
        <a:p>
          <a:r>
            <a:rPr kumimoji="1" lang="ja-JP" altLang="en-US" sz="1100"/>
            <a:t>記入してください。）</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9</xdr:col>
      <xdr:colOff>278865</xdr:colOff>
      <xdr:row>26</xdr:row>
      <xdr:rowOff>42585</xdr:rowOff>
    </xdr:from>
    <xdr:to>
      <xdr:col>10</xdr:col>
      <xdr:colOff>206565</xdr:colOff>
      <xdr:row>27</xdr:row>
      <xdr:rowOff>190500</xdr:rowOff>
    </xdr:to>
    <xdr:sp macro="" textlink="">
      <xdr:nvSpPr>
        <xdr:cNvPr id="2" name="下矢印 1">
          <a:extLst>
            <a:ext uri="{FF2B5EF4-FFF2-40B4-BE49-F238E27FC236}">
              <a16:creationId xmlns:a16="http://schemas.microsoft.com/office/drawing/2014/main" id="{25DACC8F-D025-4BBD-B245-4E3A896D5521}"/>
            </a:ext>
          </a:extLst>
        </xdr:cNvPr>
        <xdr:cNvSpPr/>
      </xdr:nvSpPr>
      <xdr:spPr>
        <a:xfrm>
          <a:off x="4707990" y="61100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42</xdr:row>
      <xdr:rowOff>161924</xdr:rowOff>
    </xdr:from>
    <xdr:to>
      <xdr:col>10</xdr:col>
      <xdr:colOff>245305</xdr:colOff>
      <xdr:row>43</xdr:row>
      <xdr:rowOff>180094</xdr:rowOff>
    </xdr:to>
    <xdr:sp macro="" textlink="">
      <xdr:nvSpPr>
        <xdr:cNvPr id="3" name="下矢印 2">
          <a:extLst>
            <a:ext uri="{FF2B5EF4-FFF2-40B4-BE49-F238E27FC236}">
              <a16:creationId xmlns:a16="http://schemas.microsoft.com/office/drawing/2014/main" id="{7B7BEF34-A961-41B1-BDFA-2EFC2BEDF062}"/>
            </a:ext>
          </a:extLst>
        </xdr:cNvPr>
        <xdr:cNvSpPr/>
      </xdr:nvSpPr>
      <xdr:spPr>
        <a:xfrm>
          <a:off x="4727680" y="981074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40</xdr:row>
      <xdr:rowOff>65312</xdr:rowOff>
    </xdr:from>
    <xdr:to>
      <xdr:col>15</xdr:col>
      <xdr:colOff>304799</xdr:colOff>
      <xdr:row>42</xdr:row>
      <xdr:rowOff>133349</xdr:rowOff>
    </xdr:to>
    <xdr:sp macro="" textlink="">
      <xdr:nvSpPr>
        <xdr:cNvPr id="4" name="テキスト ボックス 3">
          <a:extLst>
            <a:ext uri="{FF2B5EF4-FFF2-40B4-BE49-F238E27FC236}">
              <a16:creationId xmlns:a16="http://schemas.microsoft.com/office/drawing/2014/main" id="{CF13D355-13A6-483C-A1A5-94F9F3230529}"/>
            </a:ext>
          </a:extLst>
        </xdr:cNvPr>
        <xdr:cNvSpPr txBox="1"/>
      </xdr:nvSpPr>
      <xdr:spPr>
        <a:xfrm>
          <a:off x="2062843" y="927598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oneCellAnchor>
    <xdr:from>
      <xdr:col>17</xdr:col>
      <xdr:colOff>76200</xdr:colOff>
      <xdr:row>0</xdr:row>
      <xdr:rowOff>66675</xdr:rowOff>
    </xdr:from>
    <xdr:ext cx="2441694" cy="800604"/>
    <xdr:sp macro="" textlink="">
      <xdr:nvSpPr>
        <xdr:cNvPr id="5" name="テキスト ボックス 4">
          <a:extLst>
            <a:ext uri="{FF2B5EF4-FFF2-40B4-BE49-F238E27FC236}">
              <a16:creationId xmlns:a16="http://schemas.microsoft.com/office/drawing/2014/main" id="{45E737C2-9A05-45AE-8132-61CA5E3C791E}"/>
            </a:ext>
          </a:extLst>
        </xdr:cNvPr>
        <xdr:cNvSpPr txBox="1"/>
      </xdr:nvSpPr>
      <xdr:spPr>
        <a:xfrm>
          <a:off x="8610600" y="66675"/>
          <a:ext cx="2441694" cy="800604"/>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none" rtlCol="0" anchor="t">
          <a:spAutoFit/>
        </a:bodyPr>
        <a:lstStyle/>
        <a:p>
          <a:r>
            <a:rPr kumimoji="1" lang="ja-JP" altLang="en-US" sz="1100"/>
            <a:t>分園がない場合は記入は不要です。</a:t>
          </a:r>
          <a:endParaRPr kumimoji="1" lang="en-US" altLang="ja-JP" sz="1100"/>
        </a:p>
        <a:p>
          <a:r>
            <a:rPr kumimoji="1" lang="ja-JP" altLang="en-US" sz="1100"/>
            <a:t>（分園がある場合、分園の情報のみ</a:t>
          </a:r>
          <a:endParaRPr kumimoji="1" lang="en-US" altLang="ja-JP" sz="1100"/>
        </a:p>
        <a:p>
          <a:r>
            <a:rPr kumimoji="1" lang="ja-JP" altLang="en-US" sz="1100"/>
            <a:t>記入してください。）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13</xdr:col>
      <xdr:colOff>224117</xdr:colOff>
      <xdr:row>0</xdr:row>
      <xdr:rowOff>403412</xdr:rowOff>
    </xdr:from>
    <xdr:ext cx="5020236" cy="1567417"/>
    <xdr:sp macro="" textlink="">
      <xdr:nvSpPr>
        <xdr:cNvPr id="2" name="テキスト ボックス 1">
          <a:extLst>
            <a:ext uri="{FF2B5EF4-FFF2-40B4-BE49-F238E27FC236}">
              <a16:creationId xmlns:a16="http://schemas.microsoft.com/office/drawing/2014/main" id="{C429D2E6-92FD-4C2E-A5C8-977F8599F9EE}"/>
            </a:ext>
          </a:extLst>
        </xdr:cNvPr>
        <xdr:cNvSpPr txBox="1"/>
      </xdr:nvSpPr>
      <xdr:spPr>
        <a:xfrm>
          <a:off x="9592235" y="403412"/>
          <a:ext cx="5020236" cy="156741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a:p>
          <a:endParaRPr kumimoji="1" lang="en-US" altLang="ja-JP" sz="1200"/>
        </a:p>
        <a:p>
          <a:r>
            <a:rPr kumimoji="1" lang="en-US" altLang="ja-JP" sz="1200"/>
            <a:t>※</a:t>
          </a:r>
          <a:r>
            <a:rPr kumimoji="1" lang="ja-JP" altLang="en-US" sz="1200"/>
            <a:t>「児童数計算表」シートでは、教育・保育の別や標準時間・短時間など認定内容の違いは考慮していませんのでご注意ください。</a:t>
          </a:r>
          <a:endParaRPr kumimoji="1" lang="en-US" altLang="ja-JP" sz="12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17</xdr:col>
      <xdr:colOff>181695</xdr:colOff>
      <xdr:row>0</xdr:row>
      <xdr:rowOff>350584</xdr:rowOff>
    </xdr:from>
    <xdr:ext cx="5020236" cy="864660"/>
    <xdr:sp macro="" textlink="">
      <xdr:nvSpPr>
        <xdr:cNvPr id="2" name="テキスト ボックス 1">
          <a:extLst>
            <a:ext uri="{FF2B5EF4-FFF2-40B4-BE49-F238E27FC236}">
              <a16:creationId xmlns:a16="http://schemas.microsoft.com/office/drawing/2014/main" id="{E8CD9616-7B0F-4B28-94D7-74304B6B3560}"/>
            </a:ext>
          </a:extLst>
        </xdr:cNvPr>
        <xdr:cNvSpPr txBox="1"/>
      </xdr:nvSpPr>
      <xdr:spPr>
        <a:xfrm>
          <a:off x="10704019" y="350584"/>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48</xdr:col>
      <xdr:colOff>66675</xdr:colOff>
      <xdr:row>46</xdr:row>
      <xdr:rowOff>152400</xdr:rowOff>
    </xdr:from>
    <xdr:to>
      <xdr:col>51</xdr:col>
      <xdr:colOff>352425</xdr:colOff>
      <xdr:row>53</xdr:row>
      <xdr:rowOff>19050</xdr:rowOff>
    </xdr:to>
    <xdr:sp macro="" textlink="">
      <xdr:nvSpPr>
        <xdr:cNvPr id="2" name="テキスト ボックス 1">
          <a:extLst>
            <a:ext uri="{FF2B5EF4-FFF2-40B4-BE49-F238E27FC236}">
              <a16:creationId xmlns:a16="http://schemas.microsoft.com/office/drawing/2014/main" id="{04C40015-2EC0-4142-AFD2-057E9F9BF127}"/>
            </a:ext>
          </a:extLst>
        </xdr:cNvPr>
        <xdr:cNvSpPr txBox="1"/>
      </xdr:nvSpPr>
      <xdr:spPr>
        <a:xfrm>
          <a:off x="31613475" y="11106150"/>
          <a:ext cx="2343150"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対象職員全員を記入できない場合、子育て支援課にご連絡ください。</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40</xdr:col>
      <xdr:colOff>190500</xdr:colOff>
      <xdr:row>14</xdr:row>
      <xdr:rowOff>19050</xdr:rowOff>
    </xdr:from>
    <xdr:ext cx="5372100" cy="857249"/>
    <xdr:sp macro="" textlink="">
      <xdr:nvSpPr>
        <xdr:cNvPr id="2" name="テキスト ボックス 1">
          <a:extLst>
            <a:ext uri="{FF2B5EF4-FFF2-40B4-BE49-F238E27FC236}">
              <a16:creationId xmlns:a16="http://schemas.microsoft.com/office/drawing/2014/main" id="{30ED8F7F-E8F3-42BA-92AE-2990B247467B}"/>
            </a:ext>
          </a:extLst>
        </xdr:cNvPr>
        <xdr:cNvSpPr txBox="1"/>
      </xdr:nvSpPr>
      <xdr:spPr>
        <a:xfrm>
          <a:off x="27622500" y="25908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39</xdr:col>
      <xdr:colOff>422228</xdr:colOff>
      <xdr:row>37</xdr:row>
      <xdr:rowOff>105973</xdr:rowOff>
    </xdr:from>
    <xdr:ext cx="4448735" cy="264560"/>
    <xdr:sp macro="" textlink="">
      <xdr:nvSpPr>
        <xdr:cNvPr id="2" name="テキスト ボックス 1">
          <a:extLst>
            <a:ext uri="{FF2B5EF4-FFF2-40B4-BE49-F238E27FC236}">
              <a16:creationId xmlns:a16="http://schemas.microsoft.com/office/drawing/2014/main" id="{7759E869-B972-4C8E-9DB8-ABF11BC4A132}"/>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4</xdr:row>
      <xdr:rowOff>176893</xdr:rowOff>
    </xdr:from>
    <xdr:ext cx="4762499" cy="3215067"/>
    <xdr:sp macro="" textlink="">
      <xdr:nvSpPr>
        <xdr:cNvPr id="3" name="テキスト ボックス 2">
          <a:extLst>
            <a:ext uri="{FF2B5EF4-FFF2-40B4-BE49-F238E27FC236}">
              <a16:creationId xmlns:a16="http://schemas.microsoft.com/office/drawing/2014/main" id="{C9C90096-4534-493B-B7D1-A7A2821E1360}"/>
            </a:ext>
          </a:extLst>
        </xdr:cNvPr>
        <xdr:cNvSpPr txBox="1"/>
      </xdr:nvSpPr>
      <xdr:spPr>
        <a:xfrm>
          <a:off x="9744226" y="1551214"/>
          <a:ext cx="4762499" cy="321506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13</xdr:row>
      <xdr:rowOff>190500</xdr:rowOff>
    </xdr:from>
    <xdr:to>
      <xdr:col>42</xdr:col>
      <xdr:colOff>137583</xdr:colOff>
      <xdr:row>13</xdr:row>
      <xdr:rowOff>201083</xdr:rowOff>
    </xdr:to>
    <xdr:cxnSp macro="">
      <xdr:nvCxnSpPr>
        <xdr:cNvPr id="4" name="直線矢印コネクタ 3">
          <a:extLst>
            <a:ext uri="{FF2B5EF4-FFF2-40B4-BE49-F238E27FC236}">
              <a16:creationId xmlns:a16="http://schemas.microsoft.com/office/drawing/2014/main" id="{A03855AE-5B7E-4026-9D36-9E982A151508}"/>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151215\Desktop\01&#65288;&#26045;&#35373;&#21517;&#65289;&#20445;&#32946;&#25152;&#20966;&#36935;&#25913;&#21892;&#30003;&#35531;&#27096;&#24335;.xlsx" TargetMode="External"/><Relationship Id="rId1" Type="http://schemas.openxmlformats.org/officeDocument/2006/relationships/externalLinkPath" Target="file:///C:\Users\1151215\Desktop\01&#65288;&#26045;&#35373;&#21517;&#65289;&#20445;&#32946;&#25152;&#20966;&#36935;&#25913;&#21892;&#30003;&#35531;&#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110341\&#36939;&#21942;&#25351;&#23566;&#20418;\Documents%20and%20Settings\Takayuki%20Inagaki\Local%20Settings\Temporary%20Internet%20Files\Content.IE5\2HHS45RT\&#20445;&#32946;&#25152;&#36939;&#21942;&#36027;&#20107;&#26989;00&#65288;&#26368;&#32066;&#21407;&#26696;&#12381;&#12398;&#65299;&#65289;&#973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7&#24180;&#24230;&#20104;&#31639;&#35201;&#27714;\&#9328;&#20107;&#26989;&#35336;&#30011;&#26360;&#65288;&#37197;&#20998;&#38989;&#31684;&#22258;&#20869;&#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8&#24180;&#24230;&#20104;&#31639;&#35201;&#27714;\&#20107;&#26989;&#35336;&#30011;&#26360;\&#20445;&#32946;&#25152;&#36939;&#21942;&#36027;&#20107;&#26989;(&#35506;&#21407;&#26696;&#12539;&#21336;&#20385;&#35336;&#31639;&#20462;&#27491;&#24460;&#65289;20050929&#97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_基本情報"/>
      <sheetName val="1-1_児童数計算表"/>
      <sheetName val="1-2_児童数計算表_分園"/>
      <sheetName val="2_区分12加算額計算表"/>
      <sheetName val="処遇改善等加算に係る経験年数算定表"/>
      <sheetName val="3_区分3計算表"/>
      <sheetName val="【参考】計算結果"/>
      <sheetName val="様式1"/>
      <sheetName val="様式2"/>
      <sheetName val="様式3"/>
      <sheetName val="様式4"/>
      <sheetName val="様式4別添1"/>
      <sheetName val="様式4別添2"/>
      <sheetName val="様式5"/>
      <sheetName val="様式7"/>
      <sheetName val="区分12計算"/>
      <sheetName val="保育所単価"/>
      <sheetName val="【リスト】 (2)"/>
      <sheetName val="【リスト】"/>
    </sheetNames>
    <sheetDataSet>
      <sheetData sheetId="0"/>
      <sheetData sheetId="1"/>
      <sheetData sheetId="2"/>
      <sheetData sheetId="3">
        <row r="37">
          <cell r="F37" t="e">
            <v>#N/A</v>
          </cell>
        </row>
        <row r="38">
          <cell r="F38" t="e">
            <v>#N/A</v>
          </cell>
        </row>
        <row r="41">
          <cell r="C41">
            <v>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⑰予算）"/>
      <sheetName val="機能強化分（⑰予算）"/>
      <sheetName val="定員の状況（⑰予算）"/>
      <sheetName val="保育所の状況(⑰予算）"/>
      <sheetName val="保育単価（⑯当初）"/>
      <sheetName val="運営費・法外積算（民設）"/>
      <sheetName val="運営費・法外積算（公設）"/>
      <sheetName val="児童数予測表⑯予算"/>
      <sheetName val="利用率の推移⑯予算"/>
      <sheetName val="入所人数と運営費の実績⑯予算"/>
      <sheetName val="未設置単価児童数 ⑰予算"/>
    </sheetNames>
    <sheetDataSet>
      <sheetData sheetId="0" refreshError="1">
        <row r="4">
          <cell r="F4">
            <v>1</v>
          </cell>
        </row>
        <row r="5">
          <cell r="B5" t="str">
            <v>保育所運営費</v>
          </cell>
        </row>
        <row r="11">
          <cell r="M11" t="str">
            <v>14款1項1目1節</v>
          </cell>
          <cell r="Y11" t="str">
            <v>12款1項1目2節</v>
          </cell>
        </row>
        <row r="12">
          <cell r="G12">
            <v>25817669</v>
          </cell>
          <cell r="M12">
            <v>5117487</v>
          </cell>
          <cell r="Y12">
            <v>8482004</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25792086</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10250</v>
          </cell>
          <cell r="R31" t="str">
            <v>人</v>
          </cell>
          <cell r="U31" t="str">
            <v>公立</v>
          </cell>
          <cell r="X31">
            <v>123</v>
          </cell>
          <cell r="Z31" t="str">
            <v>か所</v>
          </cell>
          <cell r="AB31">
            <v>10339</v>
          </cell>
          <cell r="AE31" t="str">
            <v>人</v>
          </cell>
          <cell r="AG31">
            <v>10342</v>
          </cell>
          <cell r="AJ31" t="str">
            <v>人</v>
          </cell>
        </row>
        <row r="32">
          <cell r="C32" t="str">
            <v>私立</v>
          </cell>
          <cell r="F32">
            <v>212</v>
          </cell>
          <cell r="H32" t="str">
            <v>か所</v>
          </cell>
          <cell r="J32">
            <v>19947</v>
          </cell>
          <cell r="M32" t="str">
            <v>人</v>
          </cell>
          <cell r="O32">
            <v>20804</v>
          </cell>
          <cell r="R32" t="str">
            <v>人</v>
          </cell>
          <cell r="U32" t="str">
            <v>私立</v>
          </cell>
          <cell r="X32">
            <v>166</v>
          </cell>
          <cell r="Z32" t="str">
            <v>か所</v>
          </cell>
          <cell r="AB32">
            <v>16348</v>
          </cell>
          <cell r="AE32" t="str">
            <v>人</v>
          </cell>
          <cell r="AG32">
            <v>17049</v>
          </cell>
          <cell r="AJ32" t="str">
            <v>人</v>
          </cell>
        </row>
        <row r="33">
          <cell r="C33" t="str">
            <v>計</v>
          </cell>
          <cell r="F33">
            <v>330</v>
          </cell>
          <cell r="H33" t="str">
            <v>か所</v>
          </cell>
          <cell r="J33">
            <v>29948</v>
          </cell>
          <cell r="M33" t="str">
            <v>人</v>
          </cell>
          <cell r="O33">
            <v>31054</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
※施設数、定員は7月・10月開所見込みの私立4か所・300人を除きます。</v>
          </cell>
        </row>
        <row r="36">
          <cell r="C36" t="str">
            <v>２　処遇加算分</v>
          </cell>
          <cell r="J36">
            <v>15383</v>
          </cell>
          <cell r="O36" t="str">
            <v>千円</v>
          </cell>
          <cell r="U36" t="str">
            <v>２　処遇加算分</v>
          </cell>
          <cell r="AB36">
            <v>11641</v>
          </cell>
          <cell r="AG36" t="str">
            <v>千円</v>
          </cell>
        </row>
        <row r="37">
          <cell r="C37" t="str">
            <v>私立</v>
          </cell>
          <cell r="F37">
            <v>20</v>
          </cell>
          <cell r="H37" t="str">
            <v>か所</v>
          </cell>
          <cell r="U37" t="str">
            <v>私立</v>
          </cell>
          <cell r="X37">
            <v>15</v>
          </cell>
          <cell r="Z37" t="str">
            <v>か所</v>
          </cell>
        </row>
        <row r="38">
          <cell r="C38" t="str">
            <v>３　機能強化分</v>
          </cell>
          <cell r="J38">
            <v>10200</v>
          </cell>
          <cell r="O38" t="str">
            <v>千円</v>
          </cell>
          <cell r="U38" t="str">
            <v>３　機能強化分</v>
          </cell>
          <cell r="AB38">
            <v>22050</v>
          </cell>
          <cell r="AG38" t="str">
            <v>千円</v>
          </cell>
        </row>
        <row r="39">
          <cell r="C39" t="str">
            <v>私立</v>
          </cell>
          <cell r="F39">
            <v>68</v>
          </cell>
          <cell r="H39" t="str">
            <v>か所</v>
          </cell>
          <cell r="U39" t="str">
            <v>私立</v>
          </cell>
          <cell r="X39">
            <v>166</v>
          </cell>
          <cell r="Z39" t="str">
            <v>か所</v>
          </cell>
        </row>
        <row r="40">
          <cell r="B40" t="str">
            <v>【根拠法例】</v>
          </cell>
        </row>
        <row r="41">
          <cell r="B41" t="str">
            <v>　児童福祉法第24条（保育所への保育の実施)</v>
          </cell>
        </row>
        <row r="42">
          <cell r="B42"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25792086</v>
          </cell>
          <cell r="Q6" t="str">
            <v>一般分</v>
          </cell>
          <cell r="V6">
            <v>21799083</v>
          </cell>
          <cell r="AA6">
            <v>3993003</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18531166</v>
          </cell>
          <cell r="Q8" t="str">
            <v>私立計</v>
          </cell>
          <cell r="V8">
            <v>14476691</v>
          </cell>
          <cell r="AA8">
            <v>4054475</v>
          </cell>
          <cell r="AF8" t="str">
            <v>◎入所予定人数見込みの減</v>
          </cell>
          <cell r="AG8">
            <v>0</v>
          </cell>
          <cell r="AH8">
            <v>0</v>
          </cell>
          <cell r="AI8">
            <v>0</v>
          </cell>
          <cell r="AJ8">
            <v>0</v>
          </cell>
          <cell r="AK8">
            <v>0</v>
          </cell>
          <cell r="AL8">
            <v>0</v>
          </cell>
        </row>
        <row r="9">
          <cell r="G9" t="str">
            <v>運営費・法外積算（民設）参照</v>
          </cell>
          <cell r="Q9" t="str">
            <v>（設置）</v>
          </cell>
        </row>
        <row r="10">
          <cell r="G10" t="str">
            <v>乳児</v>
          </cell>
          <cell r="Q10" t="str">
            <v>乳児</v>
          </cell>
          <cell r="AF10" t="str">
            <v>（内容）</v>
          </cell>
          <cell r="AG10">
            <v>0</v>
          </cell>
          <cell r="AH10">
            <v>0</v>
          </cell>
          <cell r="AI10">
            <v>0</v>
          </cell>
          <cell r="AJ10">
            <v>0</v>
          </cell>
          <cell r="AK10">
            <v>0</v>
          </cell>
          <cell r="AL10">
            <v>0</v>
          </cell>
        </row>
        <row r="11">
          <cell r="K11">
            <v>26653</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J12">
            <v>4593537278</v>
          </cell>
          <cell r="O12" t="str">
            <v>円</v>
          </cell>
          <cell r="U12" t="str">
            <v>＝</v>
          </cell>
          <cell r="V12">
            <v>2763479</v>
          </cell>
          <cell r="AF12">
            <v>31054</v>
          </cell>
          <cell r="AG12">
            <v>0</v>
          </cell>
          <cell r="AH12">
            <v>0</v>
          </cell>
          <cell r="AI12" t="str">
            <v>人／月</v>
          </cell>
          <cell r="AJ12">
            <v>0</v>
          </cell>
          <cell r="AK12">
            <v>0</v>
          </cell>
          <cell r="AL12">
            <v>0</v>
          </cell>
        </row>
        <row r="13">
          <cell r="G13" t="str">
            <v>１・２歳児</v>
          </cell>
          <cell r="Q13" t="str">
            <v>１・２歳児</v>
          </cell>
          <cell r="AF13" t="str">
            <v>◎施設数には年度途中
　開所施設(４か所)を
　除きます。
◎定員に対する入所率
　公立：102.49%
　私立：103.21%</v>
          </cell>
          <cell r="AG13">
            <v>0</v>
          </cell>
          <cell r="AH13">
            <v>0</v>
          </cell>
          <cell r="AI13">
            <v>0</v>
          </cell>
          <cell r="AJ13">
            <v>0</v>
          </cell>
          <cell r="AK13">
            <v>0</v>
          </cell>
          <cell r="AL13">
            <v>0</v>
          </cell>
        </row>
        <row r="14">
          <cell r="K14">
            <v>77318</v>
          </cell>
          <cell r="O14" t="str">
            <v>人</v>
          </cell>
          <cell r="R14">
            <v>101056</v>
          </cell>
          <cell r="U14" t="str">
            <v>×</v>
          </cell>
          <cell r="V14">
            <v>64430</v>
          </cell>
          <cell r="Y14" t="str">
            <v>人</v>
          </cell>
        </row>
        <row r="15">
          <cell r="J15">
            <v>7794554018</v>
          </cell>
          <cell r="O15" t="str">
            <v>円</v>
          </cell>
          <cell r="U15" t="str">
            <v>＝</v>
          </cell>
          <cell r="V15">
            <v>6511038</v>
          </cell>
        </row>
        <row r="16">
          <cell r="G16" t="str">
            <v>３歳児</v>
          </cell>
          <cell r="Q16" t="str">
            <v>３歳児</v>
          </cell>
        </row>
        <row r="17">
          <cell r="K17">
            <v>47451</v>
          </cell>
          <cell r="O17" t="str">
            <v>人</v>
          </cell>
          <cell r="R17">
            <v>47137</v>
          </cell>
          <cell r="U17" t="str">
            <v>×</v>
          </cell>
          <cell r="V17">
            <v>40323</v>
          </cell>
          <cell r="Y17" t="str">
            <v>人</v>
          </cell>
        </row>
        <row r="18">
          <cell r="J18">
            <v>2231520582</v>
          </cell>
          <cell r="O18" t="str">
            <v>円</v>
          </cell>
          <cell r="U18" t="str">
            <v>＝</v>
          </cell>
          <cell r="V18">
            <v>1900705</v>
          </cell>
        </row>
        <row r="19">
          <cell r="G19" t="str">
            <v>４歳以上児</v>
          </cell>
          <cell r="Q19" t="str">
            <v>４歳以上児</v>
          </cell>
        </row>
        <row r="20">
          <cell r="K20">
            <v>98223</v>
          </cell>
          <cell r="O20" t="str">
            <v>人</v>
          </cell>
          <cell r="R20">
            <v>39421</v>
          </cell>
          <cell r="U20" t="str">
            <v>×</v>
          </cell>
          <cell r="V20">
            <v>83749</v>
          </cell>
          <cell r="Y20" t="str">
            <v>人</v>
          </cell>
        </row>
        <row r="21">
          <cell r="J21">
            <v>3911553526</v>
          </cell>
          <cell r="O21" t="str">
            <v>円</v>
          </cell>
          <cell r="U21" t="str">
            <v>＝</v>
          </cell>
          <cell r="V21">
            <v>3301469</v>
          </cell>
        </row>
        <row r="23">
          <cell r="G23" t="str">
            <v>市立計</v>
          </cell>
          <cell r="L23">
            <v>7260920</v>
          </cell>
          <cell r="Q23" t="str">
            <v>市立計</v>
          </cell>
          <cell r="V23">
            <v>7322392</v>
          </cell>
          <cell r="AA23">
            <v>-61472</v>
          </cell>
        </row>
        <row r="24">
          <cell r="B24" t="str">
            <v>市立保育所運営費
(従来の積算方法による)</v>
          </cell>
          <cell r="G24" t="str">
            <v>運営費・法外積算（公設）参照</v>
          </cell>
          <cell r="Q24" t="str">
            <v>（設置）</v>
          </cell>
        </row>
        <row r="25">
          <cell r="G25" t="str">
            <v>乳児</v>
          </cell>
          <cell r="Q25" t="str">
            <v>乳児</v>
          </cell>
        </row>
        <row r="26">
          <cell r="K26">
            <v>6553</v>
          </cell>
          <cell r="O26" t="str">
            <v>人</v>
          </cell>
          <cell r="R26">
            <v>157398</v>
          </cell>
          <cell r="U26" t="str">
            <v>×</v>
          </cell>
          <cell r="V26">
            <v>5918</v>
          </cell>
          <cell r="Y26" t="str">
            <v>人</v>
          </cell>
        </row>
        <row r="27">
          <cell r="J27">
            <v>1036352198</v>
          </cell>
          <cell r="O27" t="str">
            <v>円</v>
          </cell>
          <cell r="U27" t="str">
            <v>＝</v>
          </cell>
          <cell r="V27">
            <v>931481</v>
          </cell>
        </row>
        <row r="28">
          <cell r="G28" t="str">
            <v>１・２歳児</v>
          </cell>
          <cell r="Q28" t="str">
            <v>１・２歳児</v>
          </cell>
        </row>
        <row r="29">
          <cell r="K29">
            <v>29379</v>
          </cell>
          <cell r="O29" t="str">
            <v>人</v>
          </cell>
          <cell r="R29">
            <v>93898</v>
          </cell>
          <cell r="U29" t="str">
            <v>×</v>
          </cell>
          <cell r="V29">
            <v>30255</v>
          </cell>
          <cell r="Y29" t="str">
            <v>人</v>
          </cell>
        </row>
        <row r="30">
          <cell r="J30">
            <v>2740730054</v>
          </cell>
          <cell r="O30" t="str">
            <v>円</v>
          </cell>
          <cell r="U30" t="str">
            <v>＝</v>
          </cell>
          <cell r="V30">
            <v>2840884</v>
          </cell>
        </row>
        <row r="31">
          <cell r="G31" t="str">
            <v>３歳児</v>
          </cell>
          <cell r="Q31" t="str">
            <v>３歳児</v>
          </cell>
        </row>
        <row r="32">
          <cell r="K32">
            <v>25430</v>
          </cell>
          <cell r="O32" t="str">
            <v>人</v>
          </cell>
          <cell r="R32">
            <v>45065</v>
          </cell>
          <cell r="U32" t="str">
            <v>×</v>
          </cell>
          <cell r="V32">
            <v>25927</v>
          </cell>
          <cell r="Y32" t="str">
            <v>人</v>
          </cell>
        </row>
        <row r="33">
          <cell r="J33">
            <v>1140942480</v>
          </cell>
          <cell r="O33" t="str">
            <v>円</v>
          </cell>
          <cell r="U33" t="str">
            <v>＝</v>
          </cell>
          <cell r="V33">
            <v>1168400</v>
          </cell>
        </row>
        <row r="34">
          <cell r="G34" t="str">
            <v>４歳以上児</v>
          </cell>
          <cell r="Q34" t="str">
            <v>４歳以上児</v>
          </cell>
        </row>
        <row r="35">
          <cell r="K35">
            <v>61636</v>
          </cell>
          <cell r="O35" t="str">
            <v>人</v>
          </cell>
          <cell r="R35">
            <v>38409</v>
          </cell>
          <cell r="U35" t="str">
            <v>×</v>
          </cell>
          <cell r="V35">
            <v>62007</v>
          </cell>
          <cell r="Y35" t="str">
            <v>人</v>
          </cell>
        </row>
        <row r="36">
          <cell r="J36">
            <v>2342894472</v>
          </cell>
          <cell r="O36" t="str">
            <v>円</v>
          </cell>
          <cell r="U36" t="str">
            <v>＝</v>
          </cell>
          <cell r="V36">
            <v>2381627</v>
          </cell>
        </row>
        <row r="40">
          <cell r="G40" t="str">
            <v>処遇加算分</v>
          </cell>
          <cell r="L40">
            <v>15383</v>
          </cell>
          <cell r="Q40" t="str">
            <v>処遇加算分</v>
          </cell>
          <cell r="V40">
            <v>11641</v>
          </cell>
          <cell r="AB40">
            <v>3742</v>
          </cell>
          <cell r="AF40" t="str">
            <v>◎対象施設数の増</v>
          </cell>
          <cell r="AG40">
            <v>0</v>
          </cell>
          <cell r="AH40">
            <v>0</v>
          </cell>
          <cell r="AI40">
            <v>0</v>
          </cell>
          <cell r="AJ40">
            <v>0</v>
          </cell>
          <cell r="AK40">
            <v>0</v>
          </cell>
          <cell r="AL40">
            <v>0</v>
          </cell>
        </row>
        <row r="42">
          <cell r="G42">
            <v>435000</v>
          </cell>
          <cell r="K42" t="str">
            <v>円</v>
          </cell>
          <cell r="L42" t="str">
            <v>×</v>
          </cell>
          <cell r="M42">
            <v>7</v>
          </cell>
          <cell r="O42" t="str">
            <v>か所</v>
          </cell>
          <cell r="Q42">
            <v>431000</v>
          </cell>
          <cell r="U42" t="str">
            <v>円</v>
          </cell>
          <cell r="V42" t="str">
            <v>×</v>
          </cell>
          <cell r="W42">
            <v>5</v>
          </cell>
          <cell r="Y42" t="str">
            <v>か所</v>
          </cell>
        </row>
        <row r="43">
          <cell r="L43" t="str">
            <v>＝</v>
          </cell>
          <cell r="M43">
            <v>3045</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◎対象施設数見込みの減</v>
          </cell>
          <cell r="AG51">
            <v>0</v>
          </cell>
          <cell r="AH51">
            <v>0</v>
          </cell>
          <cell r="AI51">
            <v>0</v>
          </cell>
          <cell r="AJ51">
            <v>0</v>
          </cell>
          <cell r="AK51">
            <v>0</v>
          </cell>
          <cell r="AL51">
            <v>0</v>
          </cell>
        </row>
        <row r="52">
          <cell r="AF52" t="str">
            <v>　今年度から、加算実績を反映するよう積算方法を変更したため</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25817669</v>
          </cell>
          <cell r="Q65">
            <v>21835624</v>
          </cell>
        </row>
      </sheetData>
      <sheetData sheetId="2" refreshError="1">
        <row r="3">
          <cell r="AG3" t="str">
            <v>稲垣</v>
          </cell>
          <cell r="AK3">
            <v>3564</v>
          </cell>
        </row>
        <row r="6">
          <cell r="B6" t="str">
            <v>12款1項1目2節</v>
          </cell>
          <cell r="G6" t="str">
            <v>保育所費
負担金</v>
          </cell>
          <cell r="L6">
            <v>8482004</v>
          </cell>
          <cell r="Q6" t="str">
            <v>保育所費
負担金</v>
          </cell>
          <cell r="V6">
            <v>7466288</v>
          </cell>
          <cell r="AA6">
            <v>1015716</v>
          </cell>
          <cell r="AF6" t="str">
            <v>（</v>
          </cell>
          <cell r="AG6">
            <v>15</v>
          </cell>
          <cell r="AH6" t="str">
            <v>年度決算）</v>
          </cell>
          <cell r="AI6">
            <v>0</v>
          </cell>
          <cell r="AJ6">
            <v>0</v>
          </cell>
          <cell r="AK6">
            <v>0</v>
          </cell>
          <cell r="AL6">
            <v>0</v>
          </cell>
        </row>
        <row r="7">
          <cell r="B7" t="str">
            <v>保育所費負担金</v>
          </cell>
        </row>
        <row r="8">
          <cell r="AF8">
            <v>5280414385</v>
          </cell>
          <cell r="AK8" t="str">
            <v>千円</v>
          </cell>
        </row>
        <row r="9">
          <cell r="G9" t="str">
            <v>私立保育所分</v>
          </cell>
          <cell r="L9">
            <v>5817813</v>
          </cell>
          <cell r="V9">
            <v>7466288</v>
          </cell>
        </row>
        <row r="11">
          <cell r="G11">
            <v>17</v>
          </cell>
          <cell r="H11" t="str">
            <v>年度国徴収金</v>
          </cell>
          <cell r="L11" t="str">
            <v>×</v>
          </cell>
          <cell r="M11">
            <v>0.65</v>
          </cell>
          <cell r="Q11">
            <v>16</v>
          </cell>
          <cell r="R11" t="str">
            <v>年度国徴収金</v>
          </cell>
          <cell r="V11" t="str">
            <v>×</v>
          </cell>
          <cell r="W11">
            <v>0.65</v>
          </cell>
        </row>
        <row r="12">
          <cell r="G12">
            <v>8296190650</v>
          </cell>
          <cell r="L12" t="str">
            <v>×</v>
          </cell>
          <cell r="M12">
            <v>0.65</v>
          </cell>
          <cell r="Q12">
            <v>10638404720</v>
          </cell>
          <cell r="V12" t="str">
            <v>×</v>
          </cell>
          <cell r="W12">
            <v>0.65</v>
          </cell>
        </row>
        <row r="13">
          <cell r="G13" t="str">
            <v>過年度保育料徴収</v>
          </cell>
          <cell r="Q13" t="str">
            <v>過年度保育料徴収</v>
          </cell>
        </row>
        <row r="14">
          <cell r="G14">
            <v>425288781</v>
          </cell>
          <cell r="L14" t="str">
            <v>円</v>
          </cell>
          <cell r="Q14">
            <v>551325190</v>
          </cell>
        </row>
        <row r="17">
          <cell r="G17" t="str">
            <v>公立保育所分</v>
          </cell>
          <cell r="L17">
            <v>2664191</v>
          </cell>
        </row>
        <row r="18">
          <cell r="G18">
            <v>17</v>
          </cell>
          <cell r="H18" t="str">
            <v>年度国徴収金</v>
          </cell>
          <cell r="L18" t="str">
            <v>×</v>
          </cell>
          <cell r="M18">
            <v>0.65</v>
          </cell>
          <cell r="Q18">
            <v>16</v>
          </cell>
          <cell r="R18" t="str">
            <v>年度国徴収金</v>
          </cell>
          <cell r="V18" t="str">
            <v>×</v>
          </cell>
          <cell r="W18">
            <v>0.65</v>
          </cell>
        </row>
        <row r="19">
          <cell r="G19">
            <v>3776391530</v>
          </cell>
          <cell r="L19" t="str">
            <v>×</v>
          </cell>
          <cell r="M19">
            <v>0.65</v>
          </cell>
        </row>
        <row r="20">
          <cell r="G20" t="str">
            <v>過年度保育料徴収</v>
          </cell>
        </row>
        <row r="21">
          <cell r="G21">
            <v>209536219</v>
          </cell>
          <cell r="L21" t="str">
            <v>円</v>
          </cell>
        </row>
        <row r="24">
          <cell r="B24" t="str">
            <v>14款1項1目1節</v>
          </cell>
          <cell r="L24">
            <v>5117487</v>
          </cell>
          <cell r="V24">
            <v>3721163</v>
          </cell>
          <cell r="AA24">
            <v>1396324</v>
          </cell>
          <cell r="AF24" t="str">
            <v>（</v>
          </cell>
          <cell r="AG24">
            <v>15</v>
          </cell>
          <cell r="AH24" t="str">
            <v>年度決算）</v>
          </cell>
          <cell r="AI24">
            <v>0</v>
          </cell>
          <cell r="AJ24">
            <v>0</v>
          </cell>
          <cell r="AK24">
            <v>0</v>
          </cell>
          <cell r="AL24">
            <v>0</v>
          </cell>
        </row>
        <row r="25">
          <cell r="B25" t="str">
            <v>児童福祉費</v>
          </cell>
        </row>
        <row r="26">
          <cell r="G26" t="str">
            <v>（</v>
          </cell>
          <cell r="H26">
            <v>17</v>
          </cell>
          <cell r="I26" t="str">
            <v>年度運営費総額</v>
          </cell>
          <cell r="N26" t="str">
            <v>－</v>
          </cell>
          <cell r="Q26" t="str">
            <v>（</v>
          </cell>
          <cell r="R26">
            <v>16</v>
          </cell>
          <cell r="S26" t="str">
            <v>年度運営費総額</v>
          </cell>
          <cell r="X26" t="str">
            <v>－</v>
          </cell>
          <cell r="AF26">
            <v>6964982960</v>
          </cell>
          <cell r="AG26">
            <v>0</v>
          </cell>
          <cell r="AH26">
            <v>0</v>
          </cell>
          <cell r="AI26">
            <v>0</v>
          </cell>
          <cell r="AJ26">
            <v>0</v>
          </cell>
          <cell r="AK26" t="str">
            <v>千円</v>
          </cell>
          <cell r="AL26">
            <v>0</v>
          </cell>
        </row>
        <row r="27">
          <cell r="G27">
            <v>17</v>
          </cell>
          <cell r="H27" t="str">
            <v>年度国徴収金総額）</v>
          </cell>
          <cell r="N27" t="str">
            <v>×</v>
          </cell>
          <cell r="O27" t="str">
            <v>1/2</v>
          </cell>
          <cell r="Q27">
            <v>16</v>
          </cell>
          <cell r="R27" t="str">
            <v>年度国徴収金総額）</v>
          </cell>
          <cell r="X27" t="str">
            <v>×</v>
          </cell>
          <cell r="Y27" t="str">
            <v>1/2</v>
          </cell>
        </row>
        <row r="29">
          <cell r="G29" t="str">
            <v>（</v>
          </cell>
          <cell r="H29">
            <v>18531165404</v>
          </cell>
          <cell r="N29" t="str">
            <v>－</v>
          </cell>
          <cell r="Q29" t="str">
            <v>（</v>
          </cell>
          <cell r="R29">
            <v>21835624950</v>
          </cell>
          <cell r="X29" t="str">
            <v>－</v>
          </cell>
        </row>
        <row r="30">
          <cell r="G30">
            <v>8296190650</v>
          </cell>
          <cell r="M30" t="str">
            <v>）</v>
          </cell>
          <cell r="N30" t="str">
            <v>×</v>
          </cell>
          <cell r="O30" t="str">
            <v>1/2</v>
          </cell>
          <cell r="Q30">
            <v>10638404720</v>
          </cell>
          <cell r="W30" t="str">
            <v>）</v>
          </cell>
          <cell r="X30" t="str">
            <v>×</v>
          </cell>
          <cell r="Y30" t="str">
            <v>1/2</v>
          </cell>
        </row>
        <row r="32">
          <cell r="Q32" t="str">
            <v>公立保育所運営費の一般財源化影響額</v>
          </cell>
          <cell r="V32">
            <v>-1877447</v>
          </cell>
        </row>
        <row r="65">
          <cell r="G65">
            <v>13599491</v>
          </cell>
          <cell r="Q65">
            <v>9310004</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⑯予算"/>
      <sheetName val="機能強化分⑯予算"/>
      <sheetName val="児童数予測表⑯予算"/>
      <sheetName val="利用率の推移⑯予算"/>
      <sheetName val="単価見込み⑯予算"/>
      <sheetName val="入所人数と運営費の実績⑯予算"/>
      <sheetName val="未設置単価児童数 ⑰予算"/>
      <sheetName val="民改費の平均値⑰予算"/>
      <sheetName val="定員の状況⑯予算"/>
      <sheetName val="保育所の状況(⑯予算）"/>
    </sheetNames>
    <sheetDataSet>
      <sheetData sheetId="0" refreshError="1">
        <row r="4">
          <cell r="F4">
            <v>1</v>
          </cell>
        </row>
        <row r="5">
          <cell r="B5" t="str">
            <v>保育所運営費</v>
          </cell>
        </row>
        <row r="11">
          <cell r="M11" t="str">
            <v>14款1項1目1節</v>
          </cell>
          <cell r="Y11" t="str">
            <v>12款1項1目2節</v>
          </cell>
        </row>
        <row r="12">
          <cell r="G12">
            <v>18900369</v>
          </cell>
          <cell r="M12">
            <v>3794887</v>
          </cell>
          <cell r="Y12">
            <v>4370771</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18875221</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7415.75</v>
          </cell>
          <cell r="R31" t="str">
            <v>人</v>
          </cell>
          <cell r="U31" t="str">
            <v>公立</v>
          </cell>
          <cell r="X31">
            <v>123</v>
          </cell>
          <cell r="Z31" t="str">
            <v>か所</v>
          </cell>
          <cell r="AB31">
            <v>10339</v>
          </cell>
          <cell r="AE31" t="str">
            <v>人</v>
          </cell>
          <cell r="AG31">
            <v>10342</v>
          </cell>
          <cell r="AJ31" t="str">
            <v>人</v>
          </cell>
        </row>
        <row r="32">
          <cell r="C32" t="str">
            <v>私立</v>
          </cell>
          <cell r="F32">
            <v>210</v>
          </cell>
          <cell r="H32" t="str">
            <v>か所</v>
          </cell>
          <cell r="J32">
            <v>19815</v>
          </cell>
          <cell r="M32" t="str">
            <v>人</v>
          </cell>
          <cell r="O32">
            <v>15379.5</v>
          </cell>
          <cell r="R32" t="str">
            <v>人</v>
          </cell>
          <cell r="U32" t="str">
            <v>私立</v>
          </cell>
          <cell r="X32">
            <v>166</v>
          </cell>
          <cell r="Z32" t="str">
            <v>か所</v>
          </cell>
          <cell r="AB32">
            <v>16348</v>
          </cell>
          <cell r="AE32" t="str">
            <v>人</v>
          </cell>
          <cell r="AG32">
            <v>17049</v>
          </cell>
          <cell r="AJ32" t="str">
            <v>人</v>
          </cell>
        </row>
        <row r="33">
          <cell r="C33" t="str">
            <v>計</v>
          </cell>
          <cell r="F33">
            <v>328</v>
          </cell>
          <cell r="H33" t="str">
            <v>か所</v>
          </cell>
          <cell r="J33">
            <v>29816</v>
          </cell>
          <cell r="M33" t="str">
            <v>人</v>
          </cell>
          <cell r="O33">
            <v>22795.25</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v>
          </cell>
        </row>
        <row r="35">
          <cell r="C35" t="str">
            <v>２　処遇加算分</v>
          </cell>
          <cell r="J35">
            <v>14948</v>
          </cell>
          <cell r="O35" t="str">
            <v>千円</v>
          </cell>
          <cell r="U35" t="str">
            <v>２　処遇加算分</v>
          </cell>
          <cell r="AB35">
            <v>11641</v>
          </cell>
          <cell r="AG35" t="str">
            <v>千円</v>
          </cell>
        </row>
        <row r="36">
          <cell r="C36" t="str">
            <v>私立</v>
          </cell>
          <cell r="F36">
            <v>19</v>
          </cell>
          <cell r="H36" t="str">
            <v>か所</v>
          </cell>
          <cell r="U36" t="str">
            <v>私立</v>
          </cell>
          <cell r="X36">
            <v>15</v>
          </cell>
          <cell r="Z36" t="str">
            <v>か所</v>
          </cell>
        </row>
        <row r="37">
          <cell r="C37" t="str">
            <v>３　機能強化分</v>
          </cell>
          <cell r="J37">
            <v>10200</v>
          </cell>
          <cell r="O37" t="str">
            <v>千円</v>
          </cell>
          <cell r="U37" t="str">
            <v>３　機能強化分</v>
          </cell>
          <cell r="AB37">
            <v>22050</v>
          </cell>
          <cell r="AG37" t="str">
            <v>千円</v>
          </cell>
        </row>
        <row r="38">
          <cell r="C38" t="str">
            <v>私立</v>
          </cell>
          <cell r="F38">
            <v>68</v>
          </cell>
          <cell r="H38" t="str">
            <v>か所</v>
          </cell>
          <cell r="U38" t="str">
            <v>私立</v>
          </cell>
          <cell r="X38">
            <v>166</v>
          </cell>
          <cell r="Z38" t="str">
            <v>か所</v>
          </cell>
        </row>
        <row r="39">
          <cell r="B39" t="str">
            <v>【根拠法例】</v>
          </cell>
        </row>
        <row r="40">
          <cell r="B40" t="str">
            <v>　児童福祉法第24条（保育所への保育の実施)</v>
          </cell>
        </row>
        <row r="41">
          <cell r="B41"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18875221</v>
          </cell>
          <cell r="Q6" t="str">
            <v>一般分</v>
          </cell>
          <cell r="V6">
            <v>21799083</v>
          </cell>
          <cell r="AA6">
            <v>-2923862</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13629958</v>
          </cell>
          <cell r="Q8" t="str">
            <v>私立計</v>
          </cell>
          <cell r="V8">
            <v>14476691</v>
          </cell>
          <cell r="AA8">
            <v>-846733</v>
          </cell>
          <cell r="AF8" t="str">
            <v>◎入所予定人数見込みの減</v>
          </cell>
          <cell r="AG8">
            <v>0</v>
          </cell>
          <cell r="AH8">
            <v>0</v>
          </cell>
          <cell r="AI8">
            <v>0</v>
          </cell>
          <cell r="AJ8">
            <v>0</v>
          </cell>
          <cell r="AK8">
            <v>0</v>
          </cell>
          <cell r="AL8">
            <v>0</v>
          </cell>
        </row>
        <row r="9">
          <cell r="G9" t="str">
            <v>（設置）</v>
          </cell>
          <cell r="Q9" t="str">
            <v>（設置）</v>
          </cell>
        </row>
        <row r="10">
          <cell r="G10" t="str">
            <v>乳児</v>
          </cell>
          <cell r="Q10" t="str">
            <v>乳児</v>
          </cell>
          <cell r="AF10" t="str">
            <v>（内容）</v>
          </cell>
          <cell r="AG10">
            <v>0</v>
          </cell>
          <cell r="AH10">
            <v>0</v>
          </cell>
          <cell r="AI10">
            <v>0</v>
          </cell>
          <cell r="AJ10">
            <v>0</v>
          </cell>
          <cell r="AK10">
            <v>0</v>
          </cell>
          <cell r="AL10">
            <v>0</v>
          </cell>
        </row>
        <row r="11">
          <cell r="H11">
            <v>182463</v>
          </cell>
          <cell r="K11" t="str">
            <v>×</v>
          </cell>
          <cell r="L11">
            <v>14635</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K12" t="str">
            <v>＝</v>
          </cell>
          <cell r="L12">
            <v>2670346</v>
          </cell>
          <cell r="U12" t="str">
            <v>＝</v>
          </cell>
          <cell r="V12">
            <v>2763479</v>
          </cell>
          <cell r="AF12">
            <v>24531</v>
          </cell>
          <cell r="AG12">
            <v>0</v>
          </cell>
          <cell r="AH12">
            <v>0</v>
          </cell>
          <cell r="AI12" t="str">
            <v>人／月</v>
          </cell>
          <cell r="AJ12">
            <v>0</v>
          </cell>
          <cell r="AK12">
            <v>0</v>
          </cell>
          <cell r="AL12">
            <v>0</v>
          </cell>
        </row>
        <row r="13">
          <cell r="G13" t="str">
            <v>１・２歳児</v>
          </cell>
          <cell r="Q13" t="str">
            <v>１・２歳児</v>
          </cell>
          <cell r="AF13" t="str">
            <v>◎施設数には年度途中
　開所施設(１か所)を
　含みます。
◎定員に対する入所率
　公立：74.15％
　私立：77.26％</v>
          </cell>
          <cell r="AG13">
            <v>0</v>
          </cell>
          <cell r="AH13">
            <v>0</v>
          </cell>
          <cell r="AI13">
            <v>0</v>
          </cell>
          <cell r="AJ13">
            <v>0</v>
          </cell>
          <cell r="AK13">
            <v>0</v>
          </cell>
          <cell r="AL13">
            <v>0</v>
          </cell>
        </row>
        <row r="14">
          <cell r="H14">
            <v>104905</v>
          </cell>
          <cell r="K14" t="str">
            <v>×</v>
          </cell>
          <cell r="L14">
            <v>58799</v>
          </cell>
          <cell r="O14" t="str">
            <v>人</v>
          </cell>
          <cell r="R14">
            <v>101056</v>
          </cell>
          <cell r="U14" t="str">
            <v>×</v>
          </cell>
          <cell r="V14">
            <v>64430</v>
          </cell>
          <cell r="Y14" t="str">
            <v>人</v>
          </cell>
        </row>
        <row r="15">
          <cell r="K15" t="str">
            <v>＝</v>
          </cell>
          <cell r="L15">
            <v>6168309</v>
          </cell>
          <cell r="U15" t="str">
            <v>＝</v>
          </cell>
          <cell r="V15">
            <v>6511038</v>
          </cell>
        </row>
        <row r="16">
          <cell r="G16" t="str">
            <v>３歳児</v>
          </cell>
          <cell r="Q16" t="str">
            <v>３歳児</v>
          </cell>
        </row>
        <row r="17">
          <cell r="H17">
            <v>48470</v>
          </cell>
          <cell r="K17" t="str">
            <v>×</v>
          </cell>
          <cell r="L17">
            <v>37228</v>
          </cell>
          <cell r="O17" t="str">
            <v>人</v>
          </cell>
          <cell r="R17">
            <v>47137</v>
          </cell>
          <cell r="U17" t="str">
            <v>×</v>
          </cell>
          <cell r="V17">
            <v>40323</v>
          </cell>
          <cell r="Y17" t="str">
            <v>人</v>
          </cell>
        </row>
        <row r="18">
          <cell r="K18" t="str">
            <v>＝</v>
          </cell>
          <cell r="L18">
            <v>1804441</v>
          </cell>
          <cell r="U18" t="str">
            <v>＝</v>
          </cell>
          <cell r="V18">
            <v>1900705</v>
          </cell>
        </row>
        <row r="19">
          <cell r="G19" t="str">
            <v>４歳以上児</v>
          </cell>
          <cell r="Q19" t="str">
            <v>４歳以上児</v>
          </cell>
        </row>
        <row r="20">
          <cell r="H20">
            <v>40422</v>
          </cell>
          <cell r="K20" t="str">
            <v>×</v>
          </cell>
          <cell r="L20">
            <v>73892</v>
          </cell>
          <cell r="O20" t="str">
            <v>人</v>
          </cell>
          <cell r="R20">
            <v>39421</v>
          </cell>
          <cell r="U20" t="str">
            <v>×</v>
          </cell>
          <cell r="V20">
            <v>83749</v>
          </cell>
          <cell r="Y20" t="str">
            <v>人</v>
          </cell>
        </row>
        <row r="21">
          <cell r="K21" t="str">
            <v>＝</v>
          </cell>
          <cell r="L21">
            <v>2986862</v>
          </cell>
          <cell r="U21" t="str">
            <v>＝</v>
          </cell>
          <cell r="V21">
            <v>3301469</v>
          </cell>
        </row>
        <row r="23">
          <cell r="B23" t="str">
            <v>＜参考＞</v>
          </cell>
          <cell r="G23" t="str">
            <v>市立計</v>
          </cell>
          <cell r="L23">
            <v>5245263</v>
          </cell>
          <cell r="Q23" t="str">
            <v>市立計</v>
          </cell>
          <cell r="V23">
            <v>7322392</v>
          </cell>
          <cell r="AA23">
            <v>-2077129</v>
          </cell>
        </row>
        <row r="24">
          <cell r="B24" t="str">
            <v>市立保育所運営費
(従来の積算方法による)</v>
          </cell>
          <cell r="G24" t="str">
            <v>（設置）</v>
          </cell>
          <cell r="Q24" t="str">
            <v>（設置）</v>
          </cell>
        </row>
        <row r="25">
          <cell r="G25" t="str">
            <v>乳児</v>
          </cell>
          <cell r="Q25" t="str">
            <v>乳児</v>
          </cell>
        </row>
        <row r="26">
          <cell r="H26">
            <v>158349</v>
          </cell>
          <cell r="K26" t="str">
            <v>×</v>
          </cell>
          <cell r="L26">
            <v>4191</v>
          </cell>
          <cell r="O26" t="str">
            <v>人</v>
          </cell>
          <cell r="R26">
            <v>157398</v>
          </cell>
          <cell r="U26" t="str">
            <v>×</v>
          </cell>
          <cell r="V26">
            <v>5918</v>
          </cell>
          <cell r="Y26" t="str">
            <v>人</v>
          </cell>
        </row>
        <row r="27">
          <cell r="K27" t="str">
            <v>＝</v>
          </cell>
          <cell r="L27">
            <v>663641</v>
          </cell>
          <cell r="U27" t="str">
            <v>＝</v>
          </cell>
          <cell r="V27">
            <v>931481</v>
          </cell>
        </row>
        <row r="28">
          <cell r="G28" t="str">
            <v>１・２歳児</v>
          </cell>
          <cell r="Q28" t="str">
            <v>１・２歳児</v>
          </cell>
        </row>
        <row r="29">
          <cell r="H29">
            <v>93634</v>
          </cell>
          <cell r="K29" t="str">
            <v>×</v>
          </cell>
          <cell r="L29">
            <v>21814</v>
          </cell>
          <cell r="O29" t="str">
            <v>人</v>
          </cell>
          <cell r="R29">
            <v>93898</v>
          </cell>
          <cell r="U29" t="str">
            <v>×</v>
          </cell>
          <cell r="V29">
            <v>30255</v>
          </cell>
          <cell r="Y29" t="str">
            <v>人</v>
          </cell>
        </row>
        <row r="30">
          <cell r="K30" t="str">
            <v>＝</v>
          </cell>
          <cell r="L30">
            <v>2042532</v>
          </cell>
          <cell r="U30" t="str">
            <v>＝</v>
          </cell>
          <cell r="V30">
            <v>2840884</v>
          </cell>
        </row>
        <row r="31">
          <cell r="G31" t="str">
            <v>３歳児</v>
          </cell>
          <cell r="Q31" t="str">
            <v>３歳児</v>
          </cell>
        </row>
        <row r="32">
          <cell r="H32">
            <v>44971</v>
          </cell>
          <cell r="K32" t="str">
            <v>×</v>
          </cell>
          <cell r="L32">
            <v>18942</v>
          </cell>
          <cell r="O32" t="str">
            <v>人</v>
          </cell>
          <cell r="R32">
            <v>45065</v>
          </cell>
          <cell r="U32" t="str">
            <v>×</v>
          </cell>
          <cell r="V32">
            <v>25927</v>
          </cell>
          <cell r="Y32" t="str">
            <v>人</v>
          </cell>
        </row>
        <row r="33">
          <cell r="K33" t="str">
            <v>＝</v>
          </cell>
          <cell r="L33">
            <v>851841</v>
          </cell>
          <cell r="U33" t="str">
            <v>＝</v>
          </cell>
          <cell r="V33">
            <v>1168400</v>
          </cell>
        </row>
        <row r="34">
          <cell r="G34" t="str">
            <v>４歳以上児</v>
          </cell>
          <cell r="Q34" t="str">
            <v>４歳以上児</v>
          </cell>
        </row>
        <row r="35">
          <cell r="H35">
            <v>38310</v>
          </cell>
          <cell r="K35" t="str">
            <v>×</v>
          </cell>
          <cell r="L35">
            <v>44042</v>
          </cell>
          <cell r="O35" t="str">
            <v>人</v>
          </cell>
          <cell r="R35">
            <v>38409</v>
          </cell>
          <cell r="U35" t="str">
            <v>×</v>
          </cell>
          <cell r="V35">
            <v>62007</v>
          </cell>
          <cell r="Y35" t="str">
            <v>人</v>
          </cell>
        </row>
        <row r="36">
          <cell r="K36" t="str">
            <v>＝</v>
          </cell>
          <cell r="L36">
            <v>1687249</v>
          </cell>
          <cell r="U36" t="str">
            <v>＝</v>
          </cell>
          <cell r="V36">
            <v>2381627</v>
          </cell>
        </row>
        <row r="40">
          <cell r="G40" t="str">
            <v>処遇加算分</v>
          </cell>
          <cell r="L40">
            <v>14948</v>
          </cell>
          <cell r="Q40" t="str">
            <v>処遇加算分</v>
          </cell>
          <cell r="V40">
            <v>11641</v>
          </cell>
          <cell r="AB40">
            <v>3307</v>
          </cell>
        </row>
        <row r="42">
          <cell r="G42">
            <v>435000</v>
          </cell>
          <cell r="K42" t="str">
            <v>円</v>
          </cell>
          <cell r="L42" t="str">
            <v>×</v>
          </cell>
          <cell r="M42">
            <v>6</v>
          </cell>
          <cell r="O42" t="str">
            <v>か所</v>
          </cell>
          <cell r="Q42">
            <v>431000</v>
          </cell>
          <cell r="U42" t="str">
            <v>円</v>
          </cell>
          <cell r="V42" t="str">
            <v>×</v>
          </cell>
          <cell r="W42">
            <v>5</v>
          </cell>
          <cell r="Y42" t="str">
            <v>か所</v>
          </cell>
        </row>
        <row r="43">
          <cell r="L43" t="str">
            <v>＝</v>
          </cell>
          <cell r="M43">
            <v>2610</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◎新設による増</v>
          </cell>
          <cell r="AG51">
            <v>0</v>
          </cell>
          <cell r="AH51">
            <v>0</v>
          </cell>
          <cell r="AI51">
            <v>0</v>
          </cell>
          <cell r="AJ51">
            <v>0</v>
          </cell>
          <cell r="AK51">
            <v>0</v>
          </cell>
          <cell r="AL51">
            <v>0</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18900369</v>
          </cell>
          <cell r="Q65">
            <v>21835624</v>
          </cell>
        </row>
      </sheetData>
      <sheetData sheetId="2" refreshError="1">
        <row r="3">
          <cell r="AG3" t="str">
            <v>稲垣</v>
          </cell>
          <cell r="AK3">
            <v>3564</v>
          </cell>
        </row>
        <row r="6">
          <cell r="B6" t="str">
            <v>12款1項1目2節</v>
          </cell>
          <cell r="L6">
            <v>4370771</v>
          </cell>
          <cell r="V6">
            <v>7466288</v>
          </cell>
          <cell r="AA6">
            <v>-3095517</v>
          </cell>
          <cell r="AF6" t="str">
            <v>（</v>
          </cell>
          <cell r="AG6">
            <v>15</v>
          </cell>
          <cell r="AH6" t="str">
            <v>年度決算）</v>
          </cell>
          <cell r="AI6">
            <v>0</v>
          </cell>
          <cell r="AJ6">
            <v>0</v>
          </cell>
          <cell r="AK6">
            <v>0</v>
          </cell>
          <cell r="AL6">
            <v>0</v>
          </cell>
        </row>
        <row r="7">
          <cell r="B7" t="str">
            <v>保育所費負担金</v>
          </cell>
        </row>
        <row r="8">
          <cell r="G8">
            <v>17</v>
          </cell>
          <cell r="H8" t="str">
            <v>年度国徴収金</v>
          </cell>
          <cell r="L8" t="str">
            <v>×</v>
          </cell>
          <cell r="M8">
            <v>0.65</v>
          </cell>
          <cell r="Q8">
            <v>16</v>
          </cell>
          <cell r="R8" t="str">
            <v>年度国徴収金</v>
          </cell>
          <cell r="V8" t="str">
            <v>×</v>
          </cell>
          <cell r="W8">
            <v>0.65</v>
          </cell>
          <cell r="AF8">
            <v>5280414385</v>
          </cell>
          <cell r="AG8">
            <v>0</v>
          </cell>
          <cell r="AH8">
            <v>0</v>
          </cell>
          <cell r="AI8">
            <v>0</v>
          </cell>
          <cell r="AJ8">
            <v>0</v>
          </cell>
          <cell r="AK8" t="str">
            <v>千円</v>
          </cell>
          <cell r="AL8">
            <v>0</v>
          </cell>
        </row>
        <row r="10">
          <cell r="G10">
            <v>6065333660</v>
          </cell>
          <cell r="L10" t="str">
            <v>×</v>
          </cell>
          <cell r="M10">
            <v>0.65</v>
          </cell>
          <cell r="Q10">
            <v>10638404720</v>
          </cell>
          <cell r="V10" t="str">
            <v>×</v>
          </cell>
          <cell r="W10">
            <v>0.65</v>
          </cell>
        </row>
        <row r="12">
          <cell r="G12" t="str">
            <v>過年度保育料徴収</v>
          </cell>
          <cell r="Q12" t="str">
            <v>過年度保育料徴収</v>
          </cell>
        </row>
        <row r="14">
          <cell r="G14">
            <v>428303751</v>
          </cell>
          <cell r="Q14">
            <v>551325190</v>
          </cell>
        </row>
        <row r="16">
          <cell r="B16" t="str">
            <v>14款1項1目1節</v>
          </cell>
          <cell r="L16">
            <v>3794887</v>
          </cell>
          <cell r="V16">
            <v>3721163</v>
          </cell>
          <cell r="AA16">
            <v>73724</v>
          </cell>
          <cell r="AF16" t="str">
            <v>（</v>
          </cell>
          <cell r="AG16">
            <v>15</v>
          </cell>
          <cell r="AH16" t="str">
            <v>年度決算）</v>
          </cell>
          <cell r="AI16">
            <v>0</v>
          </cell>
          <cell r="AJ16">
            <v>0</v>
          </cell>
          <cell r="AK16">
            <v>0</v>
          </cell>
          <cell r="AL16">
            <v>0</v>
          </cell>
        </row>
        <row r="17">
          <cell r="B17" t="str">
            <v>児童福祉費</v>
          </cell>
        </row>
        <row r="18">
          <cell r="G18" t="str">
            <v>（</v>
          </cell>
          <cell r="H18">
            <v>17</v>
          </cell>
          <cell r="I18" t="str">
            <v>年度運営費総額</v>
          </cell>
          <cell r="N18" t="str">
            <v>－</v>
          </cell>
          <cell r="Q18" t="str">
            <v>（</v>
          </cell>
          <cell r="R18">
            <v>16</v>
          </cell>
          <cell r="S18" t="str">
            <v>年度運営費総額</v>
          </cell>
          <cell r="X18" t="str">
            <v>－</v>
          </cell>
          <cell r="AF18">
            <v>6964982960</v>
          </cell>
          <cell r="AG18">
            <v>0</v>
          </cell>
          <cell r="AH18">
            <v>0</v>
          </cell>
          <cell r="AI18">
            <v>0</v>
          </cell>
          <cell r="AJ18">
            <v>0</v>
          </cell>
          <cell r="AK18" t="str">
            <v>千円</v>
          </cell>
          <cell r="AL18">
            <v>0</v>
          </cell>
        </row>
        <row r="19">
          <cell r="G19">
            <v>17</v>
          </cell>
          <cell r="H19" t="str">
            <v>年度国徴収金総額）</v>
          </cell>
          <cell r="N19" t="str">
            <v>×</v>
          </cell>
          <cell r="O19" t="str">
            <v>1/2</v>
          </cell>
          <cell r="Q19">
            <v>16</v>
          </cell>
          <cell r="R19" t="str">
            <v>年度国徴収金総額）</v>
          </cell>
          <cell r="X19" t="str">
            <v>×</v>
          </cell>
          <cell r="Y19" t="str">
            <v>1/2</v>
          </cell>
        </row>
        <row r="21">
          <cell r="G21" t="str">
            <v>（</v>
          </cell>
          <cell r="H21">
            <v>13655106684</v>
          </cell>
          <cell r="N21" t="str">
            <v>－</v>
          </cell>
          <cell r="Q21" t="str">
            <v>（</v>
          </cell>
          <cell r="R21">
            <v>21835624950</v>
          </cell>
          <cell r="X21" t="str">
            <v>－</v>
          </cell>
        </row>
        <row r="22">
          <cell r="G22">
            <v>6065333660</v>
          </cell>
          <cell r="M22" t="str">
            <v>）</v>
          </cell>
          <cell r="N22" t="str">
            <v>×</v>
          </cell>
          <cell r="O22" t="str">
            <v>1/2</v>
          </cell>
          <cell r="Q22">
            <v>10638404720</v>
          </cell>
          <cell r="W22" t="str">
            <v>）</v>
          </cell>
          <cell r="X22" t="str">
            <v>×</v>
          </cell>
          <cell r="Y22" t="str">
            <v>1/2</v>
          </cell>
        </row>
        <row r="24">
          <cell r="Q24" t="str">
            <v>公立保育所運営費の一般財源化影響額</v>
          </cell>
          <cell r="V24">
            <v>-1877447</v>
          </cell>
        </row>
        <row r="27">
          <cell r="B27" t="str">
            <v>14款1項1目1節</v>
          </cell>
          <cell r="L27">
            <v>1984078</v>
          </cell>
        </row>
        <row r="28">
          <cell r="B28" t="str">
            <v>児童福祉費</v>
          </cell>
        </row>
        <row r="29">
          <cell r="B29" t="str">
            <v>公立保育所分</v>
          </cell>
          <cell r="G29">
            <v>2734702790</v>
          </cell>
          <cell r="L29" t="str">
            <v>×</v>
          </cell>
          <cell r="M29">
            <v>0.65</v>
          </cell>
        </row>
        <row r="30">
          <cell r="B30" t="str">
            <v>保育所費負担金</v>
          </cell>
        </row>
        <row r="31">
          <cell r="G31">
            <v>206521249</v>
          </cell>
        </row>
        <row r="65">
          <cell r="G65">
            <v>10149736</v>
          </cell>
          <cell r="Q65">
            <v>9310004</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1 (2)"/>
      <sheetName val="様式③歳出"/>
      <sheetName val="様式③ 歳入"/>
      <sheetName val="処遇加算分（⑱予算）"/>
      <sheetName val="機能強化分（⑱予算）"/>
      <sheetName val="定員の状況（⑱予算）"/>
      <sheetName val="保育所の状況(⑱予算）"/>
      <sheetName val="保育単価（⑱見込み）"/>
      <sheetName val="保育単価（⑱見込み）予算用"/>
      <sheetName val="保育単価（概計表－予算案） (2)"/>
      <sheetName val="保育単価（⑰当初）"/>
      <sheetName val="保育単価（⑯実行）"/>
      <sheetName val="保育単価（⑯当初）"/>
      <sheetName val="運営費・法外積算（民設）"/>
      <sheetName val="運営費・法外積算（公設）"/>
      <sheetName val="総額"/>
      <sheetName val="シミュレーション"/>
      <sheetName val="Sheet1"/>
      <sheetName val="Sheet2"/>
      <sheetName val="Sheet3"/>
    </sheetNames>
    <sheetDataSet>
      <sheetData sheetId="0"/>
      <sheetData sheetId="1">
        <row r="3">
          <cell r="AG3" t="str">
            <v>稲垣</v>
          </cell>
          <cell r="AK3">
            <v>2399</v>
          </cell>
        </row>
        <row r="6">
          <cell r="B6" t="str">
            <v>4款2項1目20節</v>
          </cell>
          <cell r="G6" t="str">
            <v>一般分</v>
          </cell>
          <cell r="L6">
            <v>29558019</v>
          </cell>
          <cell r="Q6" t="str">
            <v>一般分</v>
          </cell>
          <cell r="V6">
            <v>26068093</v>
          </cell>
          <cell r="AA6">
            <v>3489926</v>
          </cell>
          <cell r="AF6" t="str">
            <v>（</v>
          </cell>
          <cell r="AG6">
            <v>16</v>
          </cell>
          <cell r="AH6" t="str">
            <v>年度決算）</v>
          </cell>
        </row>
        <row r="7">
          <cell r="B7" t="str">
            <v>扶助費</v>
          </cell>
          <cell r="AF7">
            <v>22513501</v>
          </cell>
          <cell r="AK7" t="str">
            <v>千円</v>
          </cell>
        </row>
        <row r="8">
          <cell r="B8" t="str">
            <v>(2)保育所運営費</v>
          </cell>
          <cell r="G8" t="str">
            <v>私立計</v>
          </cell>
          <cell r="L8">
            <v>22387904</v>
          </cell>
          <cell r="Q8" t="str">
            <v>私立計</v>
          </cell>
          <cell r="V8">
            <v>18704827</v>
          </cell>
          <cell r="AA8">
            <v>3683077</v>
          </cell>
          <cell r="AF8" t="str">
            <v>◎定員の増</v>
          </cell>
        </row>
        <row r="9">
          <cell r="G9" t="str">
            <v>運営費・法外積算（民設）参照</v>
          </cell>
          <cell r="Q9" t="str">
            <v>運営費・法外積算（民設）参照</v>
          </cell>
        </row>
        <row r="10">
          <cell r="AF10" t="str">
            <v>（内容）</v>
          </cell>
        </row>
        <row r="11">
          <cell r="G11" t="str">
            <v>乳児</v>
          </cell>
          <cell r="K11">
            <v>26536</v>
          </cell>
          <cell r="O11" t="str">
            <v>人</v>
          </cell>
          <cell r="Q11" t="str">
            <v>乳児</v>
          </cell>
          <cell r="U11">
            <v>26676</v>
          </cell>
          <cell r="Y11" t="str">
            <v>人</v>
          </cell>
          <cell r="AF11">
            <v>373</v>
          </cell>
          <cell r="AI11" t="str">
            <v>か所</v>
          </cell>
        </row>
        <row r="12">
          <cell r="J12">
            <v>4639086117</v>
          </cell>
          <cell r="O12" t="str">
            <v>円</v>
          </cell>
          <cell r="T12">
            <v>4591320034.8078346</v>
          </cell>
          <cell r="Y12" t="str">
            <v>円</v>
          </cell>
          <cell r="AF12">
            <v>34747</v>
          </cell>
          <cell r="AI12" t="str">
            <v>人／月</v>
          </cell>
        </row>
        <row r="13">
          <cell r="AF13" t="str">
            <v>◎定員に対する入所率
　公立：100.55%
　私立：105.51%</v>
          </cell>
        </row>
        <row r="14">
          <cell r="G14" t="str">
            <v>１・２歳児</v>
          </cell>
          <cell r="K14">
            <v>95672</v>
          </cell>
          <cell r="O14" t="str">
            <v>人</v>
          </cell>
          <cell r="Q14" t="str">
            <v>１・２歳児</v>
          </cell>
          <cell r="U14">
            <v>78182</v>
          </cell>
          <cell r="Y14" t="str">
            <v>人</v>
          </cell>
        </row>
        <row r="15">
          <cell r="J15">
            <v>9844903055</v>
          </cell>
          <cell r="O15" t="str">
            <v>円</v>
          </cell>
          <cell r="T15">
            <v>7878761527.9391527</v>
          </cell>
          <cell r="Y15" t="str">
            <v>円</v>
          </cell>
        </row>
        <row r="17">
          <cell r="G17" t="str">
            <v>３歳児</v>
          </cell>
          <cell r="K17">
            <v>60058</v>
          </cell>
          <cell r="O17" t="str">
            <v>人</v>
          </cell>
          <cell r="Q17" t="str">
            <v>３歳児</v>
          </cell>
          <cell r="U17">
            <v>48010</v>
          </cell>
          <cell r="Y17" t="str">
            <v>人</v>
          </cell>
        </row>
        <row r="18">
          <cell r="J18">
            <v>2954959745</v>
          </cell>
          <cell r="O18" t="str">
            <v>円</v>
          </cell>
          <cell r="T18">
            <v>2259477230.9165025</v>
          </cell>
          <cell r="Y18" t="str">
            <v>円</v>
          </cell>
        </row>
        <row r="20">
          <cell r="G20" t="str">
            <v>４歳以上児</v>
          </cell>
          <cell r="K20">
            <v>118619</v>
          </cell>
          <cell r="O20" t="str">
            <v>人</v>
          </cell>
          <cell r="Q20" t="str">
            <v>４歳以上児</v>
          </cell>
          <cell r="U20">
            <v>99693</v>
          </cell>
          <cell r="Y20" t="str">
            <v>人</v>
          </cell>
        </row>
        <row r="21">
          <cell r="J21">
            <v>4948954742</v>
          </cell>
          <cell r="O21" t="str">
            <v>円</v>
          </cell>
          <cell r="T21">
            <v>3975267310.3365097</v>
          </cell>
          <cell r="Y21" t="str">
            <v>円</v>
          </cell>
        </row>
        <row r="23">
          <cell r="G23" t="str">
            <v>市立計</v>
          </cell>
          <cell r="L23">
            <v>7170115</v>
          </cell>
          <cell r="Q23" t="str">
            <v>市立計</v>
          </cell>
          <cell r="V23">
            <v>7363266</v>
          </cell>
          <cell r="AA23">
            <v>-193151</v>
          </cell>
          <cell r="AF23" t="str">
            <v>◎入所予定人数見込みの増</v>
          </cell>
        </row>
        <row r="24">
          <cell r="B24" t="str">
            <v>市立保育所運営費
(従来の積算方法による)</v>
          </cell>
          <cell r="G24" t="str">
            <v>運営費・法外積算（公設）参照</v>
          </cell>
          <cell r="Q24" t="str">
            <v>運営費・法外積算（公設）参照</v>
          </cell>
          <cell r="AF24" t="str">
            <v>　各区の入所円滑化による</v>
          </cell>
        </row>
        <row r="26">
          <cell r="G26" t="str">
            <v>乳児</v>
          </cell>
          <cell r="K26">
            <v>6318</v>
          </cell>
          <cell r="O26" t="str">
            <v>人</v>
          </cell>
          <cell r="Q26" t="str">
            <v>乳児</v>
          </cell>
          <cell r="U26">
            <v>6413</v>
          </cell>
          <cell r="Y26" t="str">
            <v>人</v>
          </cell>
        </row>
        <row r="27">
          <cell r="J27">
            <v>1004601996</v>
          </cell>
          <cell r="O27" t="str">
            <v>円</v>
          </cell>
          <cell r="T27">
            <v>1014418518</v>
          </cell>
          <cell r="Y27" t="str">
            <v>円</v>
          </cell>
        </row>
        <row r="29">
          <cell r="G29" t="str">
            <v>１・２歳児</v>
          </cell>
          <cell r="K29">
            <v>29280</v>
          </cell>
          <cell r="O29" t="str">
            <v>人</v>
          </cell>
          <cell r="Q29" t="str">
            <v>１・２歳児</v>
          </cell>
          <cell r="U29">
            <v>30462</v>
          </cell>
          <cell r="Y29" t="str">
            <v>人</v>
          </cell>
        </row>
        <row r="30">
          <cell r="J30">
            <v>2790246739</v>
          </cell>
          <cell r="O30" t="str">
            <v>円</v>
          </cell>
          <cell r="T30">
            <v>2845279812</v>
          </cell>
          <cell r="Y30" t="str">
            <v>円</v>
          </cell>
        </row>
        <row r="32">
          <cell r="G32" t="str">
            <v>３歳児</v>
          </cell>
          <cell r="K32">
            <v>24021</v>
          </cell>
          <cell r="O32" t="str">
            <v>人</v>
          </cell>
          <cell r="Q32" t="str">
            <v>３歳児</v>
          </cell>
          <cell r="U32">
            <v>26121</v>
          </cell>
          <cell r="Y32" t="str">
            <v>人</v>
          </cell>
        </row>
        <row r="33">
          <cell r="J33">
            <v>1124028983</v>
          </cell>
          <cell r="O33" t="str">
            <v>円</v>
          </cell>
          <cell r="T33">
            <v>1171694232</v>
          </cell>
          <cell r="Y33" t="str">
            <v>円</v>
          </cell>
        </row>
        <row r="35">
          <cell r="G35" t="str">
            <v>４歳以上児</v>
          </cell>
          <cell r="K35">
            <v>56459</v>
          </cell>
          <cell r="O35" t="str">
            <v>人</v>
          </cell>
          <cell r="Q35" t="str">
            <v>４歳以上児</v>
          </cell>
          <cell r="U35">
            <v>61328</v>
          </cell>
          <cell r="Y35" t="str">
            <v>人</v>
          </cell>
        </row>
        <row r="36">
          <cell r="J36">
            <v>2251236389</v>
          </cell>
          <cell r="O36" t="str">
            <v>円</v>
          </cell>
          <cell r="T36">
            <v>2331872556</v>
          </cell>
          <cell r="Y36" t="str">
            <v>円</v>
          </cell>
        </row>
        <row r="40">
          <cell r="G40" t="str">
            <v>処遇加算分</v>
          </cell>
          <cell r="L40">
            <v>24236</v>
          </cell>
          <cell r="Q40" t="str">
            <v>処遇加算分</v>
          </cell>
          <cell r="V40">
            <v>14948</v>
          </cell>
          <cell r="AB40">
            <v>9288</v>
          </cell>
          <cell r="AF40" t="str">
            <v>◎対象施設数の増</v>
          </cell>
        </row>
        <row r="42">
          <cell r="G42">
            <v>435000</v>
          </cell>
          <cell r="K42" t="str">
            <v>円</v>
          </cell>
          <cell r="L42" t="str">
            <v>×</v>
          </cell>
          <cell r="M42">
            <v>10</v>
          </cell>
          <cell r="O42" t="str">
            <v>か所</v>
          </cell>
          <cell r="Q42">
            <v>435000</v>
          </cell>
          <cell r="U42" t="str">
            <v>円</v>
          </cell>
          <cell r="V42" t="str">
            <v>×</v>
          </cell>
          <cell r="W42">
            <v>6</v>
          </cell>
          <cell r="Y42" t="str">
            <v>か所</v>
          </cell>
        </row>
        <row r="43">
          <cell r="L43" t="str">
            <v>＝</v>
          </cell>
          <cell r="M43">
            <v>4350</v>
          </cell>
          <cell r="V43" t="str">
            <v>＝</v>
          </cell>
          <cell r="W43">
            <v>2610</v>
          </cell>
        </row>
        <row r="44">
          <cell r="G44">
            <v>726000</v>
          </cell>
          <cell r="K44" t="str">
            <v>円</v>
          </cell>
          <cell r="L44" t="str">
            <v>×</v>
          </cell>
          <cell r="M44">
            <v>5</v>
          </cell>
          <cell r="O44" t="str">
            <v>か所</v>
          </cell>
          <cell r="Q44">
            <v>726000</v>
          </cell>
          <cell r="U44" t="str">
            <v>円</v>
          </cell>
          <cell r="V44" t="str">
            <v>×</v>
          </cell>
          <cell r="W44">
            <v>3</v>
          </cell>
          <cell r="Y44" t="str">
            <v>か所</v>
          </cell>
        </row>
        <row r="45">
          <cell r="L45" t="str">
            <v>＝</v>
          </cell>
          <cell r="M45">
            <v>3630</v>
          </cell>
          <cell r="V45" t="str">
            <v>＝</v>
          </cell>
          <cell r="W45">
            <v>2178</v>
          </cell>
        </row>
        <row r="46">
          <cell r="G46">
            <v>1016000</v>
          </cell>
          <cell r="K46" t="str">
            <v>円</v>
          </cell>
          <cell r="L46" t="str">
            <v>×</v>
          </cell>
          <cell r="M46">
            <v>16</v>
          </cell>
          <cell r="O46" t="str">
            <v>か所</v>
          </cell>
          <cell r="Q46">
            <v>1016000</v>
          </cell>
          <cell r="U46" t="str">
            <v>円</v>
          </cell>
          <cell r="V46" t="str">
            <v>×</v>
          </cell>
          <cell r="W46">
            <v>10</v>
          </cell>
          <cell r="Y46" t="str">
            <v>か所</v>
          </cell>
        </row>
        <row r="47">
          <cell r="L47" t="str">
            <v>＝</v>
          </cell>
          <cell r="M47">
            <v>16256</v>
          </cell>
          <cell r="V47" t="str">
            <v>＝</v>
          </cell>
          <cell r="W47">
            <v>10160</v>
          </cell>
        </row>
        <row r="51">
          <cell r="G51" t="str">
            <v>機能強化分</v>
          </cell>
          <cell r="L51">
            <v>10350</v>
          </cell>
          <cell r="Q51" t="str">
            <v>機能強化分</v>
          </cell>
          <cell r="V51">
            <v>10200</v>
          </cell>
          <cell r="AB51">
            <v>150</v>
          </cell>
          <cell r="AF51" t="str">
            <v>◎対象施設数の増</v>
          </cell>
        </row>
        <row r="53">
          <cell r="G53" t="str">
            <v>私立</v>
          </cell>
          <cell r="Q53" t="str">
            <v>私立</v>
          </cell>
        </row>
        <row r="54">
          <cell r="H54">
            <v>150000</v>
          </cell>
          <cell r="K54" t="str">
            <v>円</v>
          </cell>
          <cell r="L54" t="str">
            <v>×</v>
          </cell>
          <cell r="M54">
            <v>69</v>
          </cell>
          <cell r="O54" t="str">
            <v>か所</v>
          </cell>
          <cell r="R54">
            <v>150000</v>
          </cell>
          <cell r="U54" t="str">
            <v>円</v>
          </cell>
          <cell r="V54" t="str">
            <v>×</v>
          </cell>
          <cell r="W54">
            <v>68</v>
          </cell>
          <cell r="Y54" t="str">
            <v>か所</v>
          </cell>
        </row>
        <row r="55">
          <cell r="L55" t="str">
            <v>＝</v>
          </cell>
          <cell r="M55">
            <v>10350</v>
          </cell>
          <cell r="V55" t="str">
            <v>＝</v>
          </cell>
          <cell r="W55">
            <v>10200</v>
          </cell>
        </row>
        <row r="65">
          <cell r="G65">
            <v>29592605</v>
          </cell>
          <cell r="Q65">
            <v>26093241</v>
          </cell>
        </row>
      </sheetData>
      <sheetData sheetId="2">
        <row r="3">
          <cell r="AG3" t="str">
            <v>稲垣</v>
          </cell>
          <cell r="AK3">
            <v>2399</v>
          </cell>
        </row>
        <row r="6">
          <cell r="B6" t="str">
            <v>12款1項1目2節</v>
          </cell>
          <cell r="G6" t="str">
            <v>保育所費
負担金</v>
          </cell>
          <cell r="L6">
            <v>10503188</v>
          </cell>
          <cell r="Q6" t="str">
            <v>保育所費
負担金</v>
          </cell>
          <cell r="V6">
            <v>9281164</v>
          </cell>
          <cell r="AA6">
            <v>1222024</v>
          </cell>
          <cell r="AF6" t="str">
            <v>（</v>
          </cell>
          <cell r="AG6">
            <v>16</v>
          </cell>
          <cell r="AH6" t="str">
            <v>年度決算）</v>
          </cell>
        </row>
        <row r="7">
          <cell r="B7" t="str">
            <v>保育所費負担金</v>
          </cell>
        </row>
        <row r="8">
          <cell r="AF8">
            <v>7478801610</v>
          </cell>
          <cell r="AK8" t="str">
            <v>千円</v>
          </cell>
        </row>
        <row r="9">
          <cell r="G9" t="str">
            <v>私立保育所分</v>
          </cell>
          <cell r="L9">
            <v>7579214</v>
          </cell>
          <cell r="V9">
            <v>6377491</v>
          </cell>
        </row>
        <row r="11">
          <cell r="G11">
            <v>18</v>
          </cell>
          <cell r="H11" t="str">
            <v>年度国徴収金</v>
          </cell>
          <cell r="L11" t="str">
            <v>×</v>
          </cell>
          <cell r="M11">
            <v>0.7056419035727749</v>
          </cell>
          <cell r="Q11">
            <v>17</v>
          </cell>
          <cell r="R11" t="str">
            <v>年度国徴収金</v>
          </cell>
          <cell r="V11" t="str">
            <v>×</v>
          </cell>
          <cell r="W11">
            <v>0.70809266524493741</v>
          </cell>
        </row>
        <row r="12">
          <cell r="G12">
            <v>10144088010</v>
          </cell>
          <cell r="L12" t="str">
            <v>×</v>
          </cell>
          <cell r="M12">
            <v>0.7056419035727749</v>
          </cell>
          <cell r="Q12">
            <v>8390533040</v>
          </cell>
          <cell r="V12" t="str">
            <v>×</v>
          </cell>
          <cell r="W12">
            <v>0.70809266524493741</v>
          </cell>
        </row>
        <row r="13">
          <cell r="G13" t="str">
            <v>過年度保育料徴収</v>
          </cell>
          <cell r="Q13" t="str">
            <v>過年度保育料徴収</v>
          </cell>
        </row>
        <row r="14">
          <cell r="G14">
            <v>421120510</v>
          </cell>
          <cell r="L14" t="str">
            <v>円</v>
          </cell>
          <cell r="Q14">
            <v>436215820</v>
          </cell>
          <cell r="V14" t="str">
            <v>円</v>
          </cell>
        </row>
        <row r="17">
          <cell r="G17" t="str">
            <v>公立保育所分</v>
          </cell>
          <cell r="L17">
            <v>2923974</v>
          </cell>
          <cell r="Q17" t="str">
            <v>公立保育所分</v>
          </cell>
          <cell r="V17">
            <v>2903673</v>
          </cell>
        </row>
        <row r="18">
          <cell r="G18">
            <v>18</v>
          </cell>
          <cell r="H18" t="str">
            <v>年度国徴収金</v>
          </cell>
          <cell r="L18" t="str">
            <v>×</v>
          </cell>
          <cell r="M18">
            <v>0.7056419035727749</v>
          </cell>
          <cell r="Q18">
            <v>17</v>
          </cell>
          <cell r="R18" t="str">
            <v>年度国徴収金</v>
          </cell>
          <cell r="V18" t="str">
            <v>×</v>
          </cell>
          <cell r="W18">
            <v>0.70809266524493741</v>
          </cell>
        </row>
        <row r="19">
          <cell r="G19">
            <v>3913473410</v>
          </cell>
          <cell r="L19" t="str">
            <v>×</v>
          </cell>
          <cell r="M19">
            <v>0.7056419035727749</v>
          </cell>
          <cell r="Q19">
            <v>3820212000</v>
          </cell>
          <cell r="V19" t="str">
            <v>×</v>
          </cell>
          <cell r="W19">
            <v>0.70809266524493741</v>
          </cell>
        </row>
        <row r="20">
          <cell r="G20" t="str">
            <v>過年度保育料徴収</v>
          </cell>
          <cell r="Q20" t="str">
            <v>過年度保育料徴収</v>
          </cell>
        </row>
        <row r="21">
          <cell r="G21">
            <v>162463490</v>
          </cell>
          <cell r="L21" t="str">
            <v>円</v>
          </cell>
          <cell r="Q21">
            <v>198609180</v>
          </cell>
          <cell r="V21" t="str">
            <v>円</v>
          </cell>
        </row>
        <row r="24">
          <cell r="B24" t="str">
            <v>14款1項1目1節</v>
          </cell>
          <cell r="L24">
            <v>6139201</v>
          </cell>
          <cell r="V24">
            <v>5169721</v>
          </cell>
          <cell r="AA24">
            <v>969480</v>
          </cell>
          <cell r="AF24" t="str">
            <v>（</v>
          </cell>
          <cell r="AG24">
            <v>16</v>
          </cell>
          <cell r="AH24" t="str">
            <v>年度決算）</v>
          </cell>
        </row>
        <row r="25">
          <cell r="B25" t="str">
            <v>児童福祉費</v>
          </cell>
        </row>
        <row r="26">
          <cell r="G26" t="str">
            <v>（</v>
          </cell>
          <cell r="H26">
            <v>18</v>
          </cell>
          <cell r="I26" t="str">
            <v>年度運営費総額</v>
          </cell>
          <cell r="N26" t="str">
            <v>－</v>
          </cell>
          <cell r="Q26" t="str">
            <v>（</v>
          </cell>
          <cell r="R26">
            <v>17</v>
          </cell>
          <cell r="S26" t="str">
            <v>年度運営費総額</v>
          </cell>
          <cell r="X26" t="str">
            <v>－</v>
          </cell>
          <cell r="AF26">
            <v>4117272070</v>
          </cell>
          <cell r="AK26" t="str">
            <v>千円</v>
          </cell>
        </row>
        <row r="27">
          <cell r="G27">
            <v>18</v>
          </cell>
          <cell r="H27" t="str">
            <v>年度国徴収金総額）</v>
          </cell>
          <cell r="N27" t="str">
            <v>×</v>
          </cell>
          <cell r="O27" t="str">
            <v>1/2</v>
          </cell>
          <cell r="Q27">
            <v>17</v>
          </cell>
          <cell r="R27" t="str">
            <v>年度国徴収金総額）</v>
          </cell>
          <cell r="X27" t="str">
            <v>×</v>
          </cell>
          <cell r="Y27" t="str">
            <v>1/2</v>
          </cell>
        </row>
        <row r="29">
          <cell r="G29" t="str">
            <v>（</v>
          </cell>
          <cell r="H29">
            <v>22422490000</v>
          </cell>
          <cell r="N29" t="str">
            <v>－</v>
          </cell>
          <cell r="Q29" t="str">
            <v>（</v>
          </cell>
          <cell r="R29">
            <v>18729975000</v>
          </cell>
          <cell r="X29" t="str">
            <v>－</v>
          </cell>
        </row>
        <row r="30">
          <cell r="G30">
            <v>10144088010</v>
          </cell>
          <cell r="M30" t="str">
            <v>）</v>
          </cell>
          <cell r="N30" t="str">
            <v>×</v>
          </cell>
          <cell r="O30" t="str">
            <v>1/2</v>
          </cell>
          <cell r="Q30">
            <v>8390533040</v>
          </cell>
          <cell r="W30" t="str">
            <v>）</v>
          </cell>
          <cell r="X30" t="str">
            <v>×</v>
          </cell>
          <cell r="Y30" t="str">
            <v>1/2</v>
          </cell>
        </row>
        <row r="65">
          <cell r="G65">
            <v>16642389</v>
          </cell>
          <cell r="Q65">
            <v>14450885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B0F312-3C5A-4012-883F-2C0D5DC4B1FD}" name="単価1号" displayName="単価1号" ref="F2:AF53" totalsRowShown="0" headerRowDxfId="94" dataDxfId="93" tableBorderDxfId="92" dataCellStyle="標準 4 2">
  <autoFilter ref="F2:AF53" xr:uid="{77B0F312-3C5A-4012-883F-2C0D5DC4B1FD}"/>
  <tableColumns count="27">
    <tableColumn id="1" xr3:uid="{17EA91EC-7C54-4F57-9442-5EF60DBCA51D}" name="列1" dataDxfId="91">
      <calculatedColumnFormula>D3&amp;E3</calculatedColumnFormula>
    </tableColumn>
    <tableColumn id="2" xr3:uid="{7674D71F-E3B2-43FD-A522-B7A9D3096AE3}" name="列2" dataDxfId="90" dataCellStyle="標準 4 2"/>
    <tableColumn id="3" xr3:uid="{09B58245-F6C4-4B05-B369-114EAB4F9842}" name="列3" dataDxfId="89" dataCellStyle="標準 4 2"/>
    <tableColumn id="4" xr3:uid="{FA80A460-D57D-46CF-A169-C3D4BB9FCE31}" name="列4" dataDxfId="88" dataCellStyle="標準 4 2"/>
    <tableColumn id="5" xr3:uid="{00316EE6-76BA-4E86-8E66-1FC81964BF02}" name="列5" dataDxfId="87" dataCellStyle="標準 4 2"/>
    <tableColumn id="6" xr3:uid="{AF367BD2-EF12-4DA7-B1D7-779659ACD879}" name="列6" dataDxfId="86" dataCellStyle="標準 4 2"/>
    <tableColumn id="7" xr3:uid="{6F811563-85D9-499B-A107-71E3DEB068E7}" name="列7" dataDxfId="85" dataCellStyle="標準 4 2"/>
    <tableColumn id="8" xr3:uid="{E1BCD9C4-396F-468E-B041-CA12CF21B216}" name="列8" dataDxfId="84" dataCellStyle="標準 4 2"/>
    <tableColumn id="9" xr3:uid="{8FF1E527-7971-47EC-9C6B-E2C2AB38297C}" name="列9" dataDxfId="83" dataCellStyle="標準 4 2"/>
    <tableColumn id="10" xr3:uid="{2669A261-3BF5-4258-A4F4-7DAF3F596642}" name="列10" dataDxfId="82" dataCellStyle="標準 4 2"/>
    <tableColumn id="11" xr3:uid="{492172E7-4EA7-4496-9845-7D32AF488360}" name="列11" dataDxfId="81" dataCellStyle="標準 4 2"/>
    <tableColumn id="12" xr3:uid="{783EE621-AD67-473D-9CD6-0205AE13C270}" name="列12" dataDxfId="80" dataCellStyle="標準 4 2"/>
    <tableColumn id="13" xr3:uid="{C0E1E90B-1D67-40CB-80C5-1A6211152B3E}" name="列13" dataDxfId="79" dataCellStyle="標準 4 2"/>
    <tableColumn id="14" xr3:uid="{044AE1F2-52F6-4C48-A41F-AAE54F541193}" name="列14" dataDxfId="78" dataCellStyle="標準 4 2"/>
    <tableColumn id="15" xr3:uid="{0DC29B44-467D-4D69-848E-8892E81D583A}" name="列15" dataDxfId="77" dataCellStyle="標準 4 2"/>
    <tableColumn id="16" xr3:uid="{75483E5E-06A1-4F70-9148-13542E1A7A15}" name="列16" dataDxfId="76" dataCellStyle="標準 4 2"/>
    <tableColumn id="17" xr3:uid="{F5F20FC6-A979-4CE2-A430-DBABB0CF0468}" name="列17" dataDxfId="75" dataCellStyle="標準 4 2"/>
    <tableColumn id="18" xr3:uid="{31867CCC-DE42-412B-8BC8-99B6AB2DA07B}" name="列18" dataDxfId="74" dataCellStyle="標準 4 2"/>
    <tableColumn id="19" xr3:uid="{236A2449-9123-4205-A540-19A8AAC40744}" name="列19" dataDxfId="73" dataCellStyle="標準 4 2"/>
    <tableColumn id="20" xr3:uid="{62570C38-8E94-4CB8-9BE5-47D661860F8E}" name="列20" dataDxfId="72" dataCellStyle="標準 4 2"/>
    <tableColumn id="21" xr3:uid="{A1F7C631-B847-4D56-ABF9-68D031D05E11}" name="列21" dataDxfId="71" dataCellStyle="標準 4 2"/>
    <tableColumn id="22" xr3:uid="{6E546E16-0685-4719-8CAF-8524F674EB30}" name="列22" dataDxfId="70" dataCellStyle="標準 4 2"/>
    <tableColumn id="23" xr3:uid="{938F2F9C-7F3D-4C7F-859C-5479B553317A}" name="列23" dataDxfId="69" dataCellStyle="標準 4 2"/>
    <tableColumn id="24" xr3:uid="{ED729F2E-FB9C-4CD8-A4F4-0D1493579EF5}" name="列24" dataDxfId="68" dataCellStyle="標準 4 2"/>
    <tableColumn id="25" xr3:uid="{98CAB1CE-AB83-4400-94A4-B8EFD734E13E}" name="列25" dataDxfId="67" dataCellStyle="標準 4 2"/>
    <tableColumn id="26" xr3:uid="{A0042D2F-097F-4818-84B6-604A6BDCAC9B}" name="列26" dataDxfId="66" dataCellStyle="標準 4 2"/>
    <tableColumn id="27" xr3:uid="{4D5DFF16-9B8A-4DE0-A78F-6A9273DA9CC9}" name="列27" dataDxfId="65"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9E308E-950E-4544-A384-62574199E6FB}" name="療育支援1号" displayName="療育支援1号" ref="AI2:AK10" totalsRowShown="0" headerRowDxfId="64" tableBorderDxfId="63">
  <autoFilter ref="AI2:AK10" xr:uid="{0F9E308E-950E-4544-A384-62574199E6FB}"/>
  <tableColumns count="3">
    <tableColumn id="2" xr3:uid="{FB035673-69BC-4DB5-BA41-A3E758815BC0}" name="列2" dataDxfId="62" dataCellStyle="標準 4 2"/>
    <tableColumn id="3" xr3:uid="{A299DF72-008A-4095-88DD-58AA3270C5DA}" name="列3"/>
    <tableColumn id="4" xr3:uid="{08799A5F-3F13-4F2D-A5E9-F0B335909ED7}" name="列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C8A2D2F-7C4B-49A0-B824-E9434F1C1FE3}" name="単価23号" displayName="単価23号" ref="F2:X100" totalsRowShown="0" headerRowDxfId="61" dataDxfId="60" dataCellStyle="標準 4 2">
  <autoFilter ref="F2:X100" xr:uid="{3C8A2D2F-7C4B-49A0-B824-E9434F1C1FE3}"/>
  <tableColumns count="19">
    <tableColumn id="1" xr3:uid="{3F37DFD1-C87D-4292-B5FA-D43601537944}" name="列1" dataDxfId="59"/>
    <tableColumn id="2" xr3:uid="{95D27329-3D87-4143-8CD2-65894EFCCE78}" name="列2" dataDxfId="58" dataCellStyle="標準 4 2"/>
    <tableColumn id="3" xr3:uid="{D64D92D7-3B8B-4B40-9E2B-470468091D75}" name="列3" dataDxfId="57" dataCellStyle="標準 4 2"/>
    <tableColumn id="4" xr3:uid="{6AF66492-AB67-4CFB-B93B-01FD6ACD70D6}" name="列4" dataDxfId="56" dataCellStyle="標準 4 2"/>
    <tableColumn id="5" xr3:uid="{3090944F-41E0-4DB5-ABA5-122ED53A730F}" name="列5" dataDxfId="55" dataCellStyle="標準 4 2"/>
    <tableColumn id="6" xr3:uid="{B3A7CA91-04D7-47CB-98C9-E93497A71E20}" name="列6" dataDxfId="54" dataCellStyle="標準 4 2"/>
    <tableColumn id="7" xr3:uid="{6388D352-AF22-45C8-BFAA-6B272C8AEB8E}" name="列7" dataDxfId="53" dataCellStyle="標準 4 2"/>
    <tableColumn id="8" xr3:uid="{54260016-575A-4C5D-9EAB-587FBD867A9E}" name="列8" dataDxfId="52" dataCellStyle="標準 4 2"/>
    <tableColumn id="9" xr3:uid="{8BDE4088-D961-4BAA-BD4A-2B1FBC3FE53C}" name="列9" dataDxfId="51" dataCellStyle="標準 4 2"/>
    <tableColumn id="10" xr3:uid="{B4F13D0A-FCC0-4D3B-BA53-8D471CAAB60E}" name="列10" dataDxfId="50" dataCellStyle="標準 4 2"/>
    <tableColumn id="11" xr3:uid="{A524905E-A53E-4DB1-B291-BFB62B281AD3}" name="列11" dataDxfId="49" dataCellStyle="標準 4 2"/>
    <tableColumn id="12" xr3:uid="{F4BBF5DF-FABC-4729-AE08-67117B9F5529}" name="列12" dataDxfId="48" dataCellStyle="標準 4 2"/>
    <tableColumn id="13" xr3:uid="{94C0B7D0-6414-41F0-B10E-AC2F6E12869B}" name="列13" dataDxfId="47" dataCellStyle="標準 4 2"/>
    <tableColumn id="18" xr3:uid="{572C8CDE-4777-4D3C-AABC-D888A1528862}" name="列18" dataDxfId="46" dataCellStyle="標準 4 2"/>
    <tableColumn id="19" xr3:uid="{EDA6D605-3B81-4E03-8FCC-27F8E5E41D4E}" name="列19" dataDxfId="45" dataCellStyle="標準 4 2"/>
    <tableColumn id="20" xr3:uid="{AFE9FC46-ACB7-4CBF-BB5C-642BC88AFFE4}" name="列20" dataDxfId="44" dataCellStyle="標準 4 2"/>
    <tableColumn id="21" xr3:uid="{9D15D714-FFD5-4497-9151-FD0DC3F91758}" name="列21" dataDxfId="43" dataCellStyle="標準 4 2"/>
    <tableColumn id="22" xr3:uid="{37A3530C-16B7-417A-865C-42131C944FE4}" name="列22" dataDxfId="42" dataCellStyle="標準 4 2"/>
    <tableColumn id="23" xr3:uid="{7139C945-D31F-4C39-8090-8EDBD216D538}" name="列23" dataDxfId="41" dataCellStyle="標準 4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6E84861-E1F5-47C8-AE34-AB414F4FC631}" name="休日保育23号" displayName="休日保育23号" ref="Z2:AC22" totalsRowShown="0" headerRowDxfId="40" tableBorderDxfId="39">
  <autoFilter ref="Z2:AC22" xr:uid="{46E84861-E1F5-47C8-AE34-AB414F4FC631}"/>
  <tableColumns count="4">
    <tableColumn id="1" xr3:uid="{27A86986-8705-4F77-A121-1E339394E4A5}" name="列1" dataDxfId="38" dataCellStyle="標準 4 2"/>
    <tableColumn id="2" xr3:uid="{6A3F9082-6699-4605-91B0-93BDE0C7C8FC}" name="列2" dataDxfId="37" dataCellStyle="標準 4 2"/>
    <tableColumn id="3" xr3:uid="{74987C1C-99BE-474E-AFE6-F72D8C9A8C79}" name="列3" dataDxfId="36" dataCellStyle="標準 4 2"/>
    <tableColumn id="4" xr3:uid="{7C6B9CF2-8D1F-4558-B073-D2899F4E123F}" name="列4" dataDxfId="35" dataCellStyle="標準 4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7C02E5C-8AF8-4175-A1FB-C91621A4784C}" name="チーム保育加配" displayName="チーム保育加配" ref="AF2:AH30" totalsRowShown="0" headerRowDxfId="34" tableBorderDxfId="33">
  <autoFilter ref="AF2:AH30" xr:uid="{27C02E5C-8AF8-4175-A1FB-C91621A4784C}"/>
  <tableColumns count="3">
    <tableColumn id="1" xr3:uid="{7D11CC03-ED8B-4A44-B2D7-ECF5FA32F252}" name="列1" dataDxfId="32" dataCellStyle="標準 4 2"/>
    <tableColumn id="2" xr3:uid="{6DBC54EA-E151-40E2-9A7F-4BE739152ACA}" name="列2" dataDxfId="31" dataCellStyle="標準 4 2"/>
    <tableColumn id="3" xr3:uid="{E4B0CDCB-7760-4C73-8116-25ADDACEC412}" name="列3" dataDxfId="30" dataCellStyle="標準 4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2D335AB-47CB-4B27-9CA5-6BD9BE645868}" name="療育支援23号" displayName="療育支援23号" ref="AK2:AN10" totalsRowShown="0" headerRowDxfId="29" tableBorderDxfId="28">
  <autoFilter ref="AK2:AN10" xr:uid="{B2D335AB-47CB-4B27-9CA5-6BD9BE645868}"/>
  <tableColumns count="4">
    <tableColumn id="1" xr3:uid="{2836CA0B-268B-4658-8666-D1D6E35EB9B2}" name="列1" dataDxfId="27" dataCellStyle="標準 4 2"/>
    <tableColumn id="2" xr3:uid="{351ABE64-926E-4707-8EEA-0B2F0C78E02E}" name="列2"/>
    <tableColumn id="3" xr3:uid="{37ACCEEB-9CA1-42B5-907D-CB33B4D59F0A}" name="列3"/>
    <tableColumn id="4" xr3:uid="{66F63A51-D363-49F0-9A91-352E69B4065D}" name="列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29B3F9E-61FA-4FF5-A1AB-9415021D3923}" name="栄養管理23号" displayName="栄養管理23号" ref="AQ2:AS11" totalsRowShown="0" headerRowDxfId="26" tableBorderDxfId="25">
  <autoFilter ref="AQ2:AS11" xr:uid="{629B3F9E-61FA-4FF5-A1AB-9415021D3923}"/>
  <tableColumns count="3">
    <tableColumn id="1" xr3:uid="{FB00362F-6C97-4928-8656-995E4C7619F1}" name="列1" dataDxfId="24" dataCellStyle="標準 4 2"/>
    <tableColumn id="2" xr3:uid="{015CC239-3328-4DDF-A528-830300212B36}" name="列2" dataDxfId="23" dataCellStyle="標準 4 2"/>
    <tableColumn id="3" xr3:uid="{CBB67A50-2511-4AF0-8516-9BAFFB8AB0E1}" name="列3" dataDxfId="22"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0.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FA9A-FD3B-4DB1-830E-3FF6ABBF91FF}">
  <sheetPr>
    <pageSetUpPr fitToPage="1"/>
  </sheetPr>
  <dimension ref="A1:J46"/>
  <sheetViews>
    <sheetView tabSelected="1" view="pageBreakPreview" topLeftCell="A12" zoomScale="85" zoomScaleNormal="85" zoomScaleSheetLayoutView="85" workbookViewId="0">
      <selection activeCell="F28" sqref="F28"/>
    </sheetView>
  </sheetViews>
  <sheetFormatPr defaultColWidth="9" defaultRowHeight="16.5"/>
  <cols>
    <col min="1" max="1" width="3.5" style="444" customWidth="1"/>
    <col min="2" max="2" width="3.25" style="444" customWidth="1"/>
    <col min="3" max="3" width="10.25" style="444" customWidth="1"/>
    <col min="4" max="4" width="39.5" style="444" customWidth="1"/>
    <col min="5" max="7" width="9" style="444"/>
    <col min="8" max="8" width="17.375" style="444" customWidth="1"/>
    <col min="9" max="9" width="21.375" style="444" bestFit="1" customWidth="1"/>
    <col min="10" max="16384" width="9" style="444"/>
  </cols>
  <sheetData>
    <row r="1" spans="1:10">
      <c r="A1" s="444" t="s">
        <v>448</v>
      </c>
      <c r="J1" s="444" t="s">
        <v>778</v>
      </c>
    </row>
    <row r="2" spans="1:10" ht="17.25" thickBot="1">
      <c r="B2" s="444" t="s">
        <v>449</v>
      </c>
    </row>
    <row r="3" spans="1:10" ht="17.25" thickBot="1">
      <c r="B3" s="753" t="s">
        <v>450</v>
      </c>
      <c r="C3" s="754"/>
      <c r="D3" s="755"/>
    </row>
    <row r="4" spans="1:10" ht="17.25" thickBot="1">
      <c r="B4" s="445" t="s">
        <v>451</v>
      </c>
      <c r="C4" s="446"/>
      <c r="D4" s="572"/>
    </row>
    <row r="5" spans="1:10" ht="17.25" thickBot="1">
      <c r="B5" s="445" t="s">
        <v>452</v>
      </c>
      <c r="C5" s="446"/>
      <c r="D5" s="571"/>
    </row>
    <row r="7" spans="1:10">
      <c r="B7" s="444" t="s">
        <v>454</v>
      </c>
    </row>
    <row r="8" spans="1:10" ht="17.25" thickBot="1">
      <c r="C8" s="444" t="s">
        <v>455</v>
      </c>
    </row>
    <row r="9" spans="1:10" ht="17.25" thickBot="1">
      <c r="D9" s="571"/>
    </row>
    <row r="10" spans="1:10" ht="17.25" thickBot="1">
      <c r="C10" s="444" t="s">
        <v>862</v>
      </c>
    </row>
    <row r="11" spans="1:10" ht="17.25" thickBot="1">
      <c r="D11" s="571"/>
    </row>
    <row r="12" spans="1:10" ht="17.25" thickBot="1">
      <c r="C12" s="444" t="s">
        <v>863</v>
      </c>
    </row>
    <row r="13" spans="1:10" ht="17.25" thickBot="1">
      <c r="D13" s="571"/>
    </row>
    <row r="14" spans="1:10" ht="17.25" thickBot="1">
      <c r="C14" s="444" t="s">
        <v>866</v>
      </c>
    </row>
    <row r="15" spans="1:10" ht="17.25" thickBot="1">
      <c r="D15" s="571"/>
      <c r="E15" s="444" t="str">
        <f>IF(D13='【リスト】 (2)'!$B$3,"←記入は不要です","")</f>
        <v/>
      </c>
    </row>
    <row r="16" spans="1:10" ht="17.25" thickBot="1">
      <c r="C16" s="444" t="s">
        <v>864</v>
      </c>
    </row>
    <row r="17" spans="2:5" ht="17.25" thickBot="1">
      <c r="D17" s="571"/>
    </row>
    <row r="18" spans="2:5" ht="17.25" thickBot="1">
      <c r="C18" s="444" t="s">
        <v>865</v>
      </c>
    </row>
    <row r="19" spans="2:5" ht="17.25" thickBot="1">
      <c r="D19" s="571"/>
      <c r="E19" s="444" t="str">
        <f>IF(D17='【リスト】 (2)'!$B$3,"←記入は不要です","")</f>
        <v/>
      </c>
    </row>
    <row r="21" spans="2:5" ht="17.25" thickBot="1">
      <c r="B21" s="444" t="s">
        <v>456</v>
      </c>
    </row>
    <row r="22" spans="2:5" ht="17.25" thickBot="1">
      <c r="B22" s="445" t="s">
        <v>105</v>
      </c>
      <c r="C22" s="446"/>
      <c r="D22" s="571"/>
    </row>
    <row r="23" spans="2:5" ht="17.25" thickBot="1">
      <c r="B23" s="445" t="s">
        <v>106</v>
      </c>
      <c r="C23" s="446"/>
      <c r="D23" s="571"/>
    </row>
    <row r="24" spans="2:5" ht="17.25" thickBot="1">
      <c r="B24" s="445" t="s">
        <v>458</v>
      </c>
      <c r="C24" s="446"/>
      <c r="D24" s="571"/>
    </row>
    <row r="26" spans="2:5" ht="17.25" thickBot="1">
      <c r="B26" s="444" t="s">
        <v>459</v>
      </c>
    </row>
    <row r="27" spans="2:5" ht="17.25" thickBot="1">
      <c r="D27" s="573"/>
    </row>
    <row r="28" spans="2:5">
      <c r="D28" s="447" t="str">
        <f>IF(D27='【リスト】 (2)'!$D$3,"「該当する」は例外的な取扱いです。本当に該当するか再度ご確認ください","")</f>
        <v/>
      </c>
    </row>
    <row r="29" spans="2:5">
      <c r="B29" s="444" t="s">
        <v>461</v>
      </c>
      <c r="D29" s="447"/>
    </row>
    <row r="30" spans="2:5" ht="17.25" thickBot="1">
      <c r="C30" s="444" t="s">
        <v>462</v>
      </c>
    </row>
    <row r="31" spans="2:5" ht="17.25" thickBot="1">
      <c r="D31" s="574"/>
      <c r="E31" s="444" t="str">
        <f>IF(D23='【リスト】 (2)'!$C$3,"←記入は不要です","")</f>
        <v/>
      </c>
    </row>
    <row r="33" spans="2:9" ht="20.25" thickBot="1">
      <c r="B33" s="448" t="str">
        <f>IF(AND(D4&lt;&gt;"",D5&lt;&gt;"",D9&lt;&gt;"",OR(AND(D13='【リスト】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449" t="s">
        <v>464</v>
      </c>
      <c r="D34" s="450"/>
      <c r="E34" s="450"/>
      <c r="F34" s="451"/>
      <c r="G34" s="452"/>
      <c r="H34" s="453" t="str">
        <f>IF($B$33='【リスト】 (2)'!$F$3,"-",IF(OR(D23='【リスト】 (2)'!$C$2,D24='【リスト】 (2)'!$C$2),"●",""))</f>
        <v>-</v>
      </c>
      <c r="I34" s="454"/>
    </row>
    <row r="35" spans="2:9" customFormat="1" ht="36" customHeight="1" thickBot="1">
      <c r="C35" s="449" t="s">
        <v>465</v>
      </c>
      <c r="D35" s="450"/>
      <c r="E35" s="450"/>
      <c r="F35" s="451"/>
      <c r="G35" s="452"/>
      <c r="H35" s="453" t="str">
        <f>IF($B$33='【リスト】 (2)'!$F$3,"-",IF(OR(D22='【リスト】 (2)'!$C$2,D23='【リスト】 (2)'!$C$2),"●",""))</f>
        <v>-</v>
      </c>
      <c r="I35" s="454"/>
    </row>
    <row r="36" spans="2:9" customFormat="1" ht="36" customHeight="1" thickBot="1">
      <c r="C36" s="449" t="s">
        <v>466</v>
      </c>
      <c r="D36" s="450"/>
      <c r="E36" s="450"/>
      <c r="F36" s="451"/>
      <c r="G36" s="452"/>
      <c r="H36" s="453" t="str">
        <f>IF($B$33='【リスト】 (2)'!$F$3,"-",IF(D24='【リスト】 (2)'!$C$2,"●",""))</f>
        <v>-</v>
      </c>
      <c r="I36" s="454"/>
    </row>
    <row r="37" spans="2:9" customFormat="1" ht="36" customHeight="1" thickBot="1">
      <c r="C37" s="449" t="s">
        <v>467</v>
      </c>
      <c r="D37" s="450"/>
      <c r="E37" s="450"/>
      <c r="F37" s="451"/>
      <c r="G37" s="452"/>
      <c r="H37" s="453" t="str">
        <f>IF($B$33='【リスト】 (2)'!$F$3,"-",IF(OR(D22='【リスト】 (2)'!$C$2,D23='【リスト】 (2)'!$C$2,D24='【リスト】 (2)'!$C$2),"●",""))</f>
        <v>-</v>
      </c>
    </row>
    <row r="38" spans="2:9" customFormat="1" ht="36" customHeight="1" thickBot="1">
      <c r="C38" s="449" t="s">
        <v>468</v>
      </c>
      <c r="D38" s="450"/>
      <c r="E38" s="450"/>
      <c r="F38" s="451"/>
      <c r="G38" s="452"/>
      <c r="H38" s="453" t="str">
        <f>IF($B$33='【リスト】 (2)'!$F$3,"-",IF(OR(D22='【リスト】 (2)'!$C$3,D24='【リスト】 (2)'!$C$2),"","●"))</f>
        <v>-</v>
      </c>
    </row>
    <row r="39" spans="2:9" customFormat="1" ht="36" customHeight="1" thickBot="1">
      <c r="C39" s="449" t="s">
        <v>776</v>
      </c>
      <c r="D39" s="450"/>
      <c r="E39" s="450"/>
      <c r="F39" s="451"/>
      <c r="G39" s="452"/>
      <c r="H39" s="453" t="str">
        <f>IF($B$33='【リスト】 (2)'!$F$3,"-",IF(H38="●","●",""))</f>
        <v>-</v>
      </c>
    </row>
    <row r="40" spans="2:9" customFormat="1" ht="36" customHeight="1" thickBot="1">
      <c r="C40" s="449" t="s">
        <v>469</v>
      </c>
      <c r="D40" s="450"/>
      <c r="E40" s="450"/>
      <c r="F40" s="451"/>
      <c r="G40" s="452"/>
      <c r="H40" s="453" t="str">
        <f>IF($B$33='【リスト】 (2)'!$F$3,"-",IF(D24='【リスト】 (2)'!$C$3,"","●"))</f>
        <v>-</v>
      </c>
    </row>
    <row r="41" spans="2:9" customFormat="1" ht="36" customHeight="1" thickBot="1">
      <c r="C41" s="449" t="s">
        <v>470</v>
      </c>
      <c r="D41" s="450"/>
      <c r="E41" s="450"/>
      <c r="F41" s="451"/>
      <c r="G41" s="452"/>
      <c r="H41" s="453" t="str">
        <f>IF($B$33='【リスト】 (2)'!$F$3,"-",IF(AND(D23='【リスト】 (2)'!$C$3,D24='【リスト】 (2)'!$C$3),"",
IF(AND(D23='【リスト】 (2)'!$C$2,OR(D13&lt;&gt;'【リスト】 (2)'!$B$2,D15&lt;&gt;'【リスト】 (2)'!$B$2)),"●",
IF(AND(D24='【リスト】 (2)'!$C$2,OR(D17&lt;&gt;'【リスト】 (2)'!$B$2,D19&lt;&gt;'【リスト】 (2)'!$B$2)),"●",""))))</f>
        <v>-</v>
      </c>
    </row>
    <row r="42" spans="2:9" customFormat="1" ht="36" customHeight="1" thickBot="1">
      <c r="C42" s="449" t="s">
        <v>471</v>
      </c>
      <c r="D42" s="450"/>
      <c r="E42" s="450"/>
      <c r="F42" s="451"/>
      <c r="G42" s="452"/>
      <c r="H42" s="453" t="str">
        <f>IF($B$33='【リスト】 (2)'!$F$3,"-",IF(H41="●","●",""))</f>
        <v>-</v>
      </c>
    </row>
    <row r="43" spans="2:9" customFormat="1" ht="36" customHeight="1" thickBot="1">
      <c r="C43" s="449" t="s">
        <v>472</v>
      </c>
      <c r="D43" s="450"/>
      <c r="E43" s="450"/>
      <c r="F43" s="451"/>
      <c r="G43" s="452"/>
      <c r="H43" s="453" t="str">
        <f>IF($B$33='【リスト】 (2)'!$F$3,"-",IF(AND(D31='【リスト】 (2)'!$E$3,H42="●"),"●",""))</f>
        <v>-</v>
      </c>
    </row>
    <row r="44" spans="2:9" customFormat="1" ht="36" customHeight="1" thickBot="1">
      <c r="C44" s="449" t="s">
        <v>473</v>
      </c>
      <c r="D44" s="450"/>
      <c r="E44" s="450"/>
      <c r="F44" s="451"/>
      <c r="G44" s="452"/>
      <c r="H44" s="453" t="str">
        <f>IF($B$33='【リスト】 (2)'!$F$3,"-",IF(AND(OR(D23='【リスト】 (2)'!$C$2,D24='【リスト】 (2)'!$C$2),H41="",H42="",H43=""),"●",""))</f>
        <v>-</v>
      </c>
    </row>
    <row r="45" spans="2:9" customFormat="1" ht="36" customHeight="1" thickBot="1">
      <c r="C45" s="449" t="s">
        <v>474</v>
      </c>
      <c r="D45" s="450"/>
      <c r="E45" s="450"/>
      <c r="F45" s="451"/>
      <c r="G45" s="452"/>
      <c r="H45" s="453" t="str">
        <f>IF($B$33='【リスト】 (2)'!$F$3,"-",IF(D27='【リスト】 (2)'!$D$3,"●",""))</f>
        <v>-</v>
      </c>
    </row>
    <row r="46" spans="2:9" ht="24.75" thickBot="1">
      <c r="C46" s="829" t="s">
        <v>851</v>
      </c>
      <c r="D46" s="450"/>
      <c r="E46" s="450"/>
      <c r="F46" s="451"/>
      <c r="G46" s="452"/>
      <c r="H46" s="453" t="s">
        <v>91</v>
      </c>
    </row>
  </sheetData>
  <phoneticPr fontId="4"/>
  <conditionalFormatting sqref="D11">
    <cfRule type="expression" dxfId="21" priority="4">
      <formula>E11&lt;&gt;""</formula>
    </cfRule>
  </conditionalFormatting>
  <conditionalFormatting sqref="D15">
    <cfRule type="expression" dxfId="20" priority="3">
      <formula>E15&lt;&gt;""</formula>
    </cfRule>
  </conditionalFormatting>
  <conditionalFormatting sqref="D19">
    <cfRule type="expression" dxfId="19" priority="2">
      <formula>E19&lt;&gt;""</formula>
    </cfRule>
  </conditionalFormatting>
  <conditionalFormatting sqref="D31">
    <cfRule type="expression" dxfId="18"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8BBBECF9-7AAF-40EB-B15D-468E9D2ECCA5}">
          <x14:formula1>
            <xm:f>'【リスト】 (2)'!$A$2:$A$11</xm:f>
          </x14:formula1>
          <xm:sqref>D5</xm:sqref>
        </x14:dataValidation>
        <x14:dataValidation type="list" allowBlank="1" showInputMessage="1" showErrorMessage="1" xr:uid="{8AF4E71D-6D6C-4746-9EC1-CC882B5CC010}">
          <x14:formula1>
            <xm:f>'【リスト】 (2)'!$B$2:$B$3</xm:f>
          </x14:formula1>
          <xm:sqref>D9 D11 D13 D15 D17 D19</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3D534D8B-41BB-4CC3-99FC-F909A7C29970}">
          <x14:formula1>
            <xm:f>'【リスト】 (2)'!$E$2:$E$3</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EEAE3-CD5F-4BCB-89D4-80AF5E07DE23}">
  <sheetPr>
    <pageSetUpPr fitToPage="1"/>
  </sheetPr>
  <dimension ref="B1:AM28"/>
  <sheetViews>
    <sheetView showGridLines="0" view="pageBreakPreview" zoomScale="85" zoomScaleNormal="100" zoomScaleSheetLayoutView="85" workbookViewId="0">
      <selection activeCell="V8" sqref="V8:AH8"/>
    </sheetView>
  </sheetViews>
  <sheetFormatPr defaultColWidth="9" defaultRowHeight="18" customHeight="1"/>
  <cols>
    <col min="1" max="1" width="2.5" style="456" customWidth="1"/>
    <col min="2" max="34" width="3" style="456" customWidth="1"/>
    <col min="35" max="35" width="2.5" style="456" customWidth="1"/>
    <col min="36" max="38" width="3" style="456" customWidth="1"/>
    <col min="39" max="39" width="13" style="456" hidden="1" customWidth="1"/>
    <col min="40" max="47" width="3" style="456" customWidth="1"/>
    <col min="48" max="16384" width="9" style="456"/>
  </cols>
  <sheetData>
    <row r="1" spans="2:34" ht="18" customHeight="1">
      <c r="B1" s="463" t="s">
        <v>535</v>
      </c>
    </row>
    <row r="2" spans="2:34" ht="18" customHeight="1">
      <c r="B2" s="1180" t="str">
        <f>様式1!$AQ$1&amp;様式1!$AQ$2&amp;"年度キャリアパス要件届出書"</f>
        <v>令和８年度キャリアパス要件届出書</v>
      </c>
      <c r="C2" s="1180"/>
      <c r="D2" s="1180"/>
      <c r="E2" s="1180"/>
      <c r="F2" s="1180"/>
      <c r="G2" s="1180"/>
      <c r="H2" s="1180"/>
      <c r="I2" s="1180"/>
      <c r="J2" s="1180"/>
      <c r="K2" s="1180"/>
      <c r="L2" s="1180"/>
      <c r="M2" s="1180"/>
      <c r="N2" s="1180"/>
      <c r="O2" s="1180"/>
      <c r="P2" s="1180"/>
      <c r="Q2" s="1180"/>
      <c r="R2" s="1180"/>
      <c r="S2" s="1180"/>
      <c r="T2" s="1180"/>
      <c r="U2" s="1180"/>
      <c r="V2" s="1180"/>
      <c r="W2" s="1180"/>
      <c r="X2" s="1180"/>
      <c r="Y2" s="1180"/>
      <c r="Z2" s="1180"/>
      <c r="AA2" s="1180"/>
      <c r="AB2" s="1180"/>
      <c r="AC2" s="1180"/>
      <c r="AD2" s="1180"/>
      <c r="AE2" s="1180"/>
      <c r="AF2" s="1180"/>
      <c r="AG2" s="1180"/>
      <c r="AH2" s="1180"/>
    </row>
    <row r="3" spans="2:34" ht="18" customHeight="1">
      <c r="B3" s="1159" t="s">
        <v>534</v>
      </c>
      <c r="C3" s="1179"/>
      <c r="D3" s="1179"/>
      <c r="E3" s="1179"/>
      <c r="F3" s="1179"/>
      <c r="G3" s="1179"/>
      <c r="H3" s="1179"/>
      <c r="I3" s="1179"/>
      <c r="J3" s="1179"/>
      <c r="K3" s="1179"/>
      <c r="L3" s="1179"/>
      <c r="M3" s="1179"/>
      <c r="N3" s="1179"/>
      <c r="O3" s="1179"/>
      <c r="P3" s="1179"/>
      <c r="Q3" s="1179"/>
      <c r="R3" s="1179"/>
      <c r="S3" s="1179"/>
      <c r="T3" s="1179"/>
      <c r="U3" s="1179"/>
      <c r="V3" s="1179"/>
      <c r="W3" s="1179"/>
      <c r="X3" s="1179"/>
      <c r="Y3" s="1179"/>
      <c r="Z3" s="1179"/>
      <c r="AA3" s="1179"/>
      <c r="AB3" s="1179"/>
      <c r="AC3" s="1179"/>
      <c r="AD3" s="1179"/>
      <c r="AE3" s="1179"/>
      <c r="AF3" s="1179"/>
      <c r="AG3" s="1179"/>
      <c r="AH3" s="1179"/>
    </row>
    <row r="4" spans="2:34" ht="18" customHeight="1">
      <c r="B4" s="462"/>
      <c r="C4" s="462"/>
      <c r="D4" s="462"/>
      <c r="E4" s="462"/>
      <c r="F4" s="462"/>
      <c r="G4" s="462"/>
      <c r="H4" s="462"/>
      <c r="I4" s="462"/>
      <c r="J4" s="462"/>
      <c r="K4" s="462"/>
      <c r="L4" s="462"/>
      <c r="M4" s="462"/>
      <c r="N4" s="462"/>
      <c r="O4" s="462"/>
      <c r="P4" s="462"/>
      <c r="Q4" s="462"/>
      <c r="R4" s="462"/>
      <c r="S4" s="462"/>
      <c r="T4" s="462"/>
      <c r="U4" s="462"/>
      <c r="V4" s="462"/>
      <c r="W4" s="462"/>
      <c r="X4" s="462"/>
      <c r="Y4" s="462"/>
      <c r="Z4" s="462"/>
      <c r="AA4" s="462"/>
      <c r="AB4" s="462"/>
      <c r="AC4" s="462"/>
      <c r="AD4" s="462"/>
      <c r="AE4" s="462"/>
      <c r="AF4" s="462"/>
    </row>
    <row r="5" spans="2:34" ht="18" customHeight="1">
      <c r="F5" s="460"/>
      <c r="G5" s="460"/>
      <c r="M5" s="460"/>
      <c r="N5" s="460"/>
      <c r="O5" s="460"/>
    </row>
    <row r="6" spans="2:34" ht="17.25" customHeight="1">
      <c r="F6" s="1199" t="str">
        <f>様式1!F5</f>
        <v>横須賀市長　殿</v>
      </c>
      <c r="G6" s="1199"/>
      <c r="H6" s="1199"/>
      <c r="I6" s="1199"/>
      <c r="J6" s="1199"/>
      <c r="K6" s="1199"/>
      <c r="L6" s="1199"/>
      <c r="M6" s="460"/>
      <c r="N6" s="460"/>
      <c r="O6" s="460"/>
    </row>
    <row r="7" spans="2:34" ht="17.25" customHeight="1" thickBot="1">
      <c r="F7" s="460"/>
      <c r="G7" s="460"/>
      <c r="H7" s="460"/>
      <c r="I7" s="460"/>
      <c r="J7" s="460"/>
      <c r="K7" s="460"/>
      <c r="L7" s="460"/>
      <c r="M7" s="460"/>
      <c r="N7" s="460"/>
      <c r="O7" s="460"/>
      <c r="V7" s="461"/>
      <c r="W7" s="461"/>
      <c r="X7" s="461"/>
      <c r="Y7" s="461"/>
      <c r="Z7" s="461"/>
      <c r="AA7" s="461"/>
      <c r="AB7" s="461"/>
      <c r="AC7" s="461"/>
      <c r="AD7" s="461"/>
      <c r="AE7" s="461"/>
      <c r="AF7" s="461"/>
      <c r="AG7" s="461"/>
      <c r="AH7" s="461"/>
    </row>
    <row r="8" spans="2:34" ht="17.25" customHeight="1">
      <c r="D8" s="460"/>
      <c r="E8" s="460"/>
      <c r="F8" s="460"/>
      <c r="G8" s="460"/>
      <c r="H8" s="460"/>
      <c r="I8" s="460"/>
      <c r="J8" s="460"/>
      <c r="K8" s="460"/>
      <c r="L8" s="460"/>
      <c r="M8" s="460"/>
      <c r="N8" s="460"/>
      <c r="P8" s="1202" t="s">
        <v>508</v>
      </c>
      <c r="Q8" s="1203"/>
      <c r="R8" s="1203"/>
      <c r="S8" s="1203"/>
      <c r="T8" s="1203"/>
      <c r="U8" s="1203"/>
      <c r="V8" s="1204" t="str">
        <f>様式1!U7</f>
        <v>横須賀市</v>
      </c>
      <c r="W8" s="1205"/>
      <c r="X8" s="1205"/>
      <c r="Y8" s="1205"/>
      <c r="Z8" s="1205"/>
      <c r="AA8" s="1205"/>
      <c r="AB8" s="1205"/>
      <c r="AC8" s="1205"/>
      <c r="AD8" s="1205"/>
      <c r="AE8" s="1205"/>
      <c r="AF8" s="1205"/>
      <c r="AG8" s="1205"/>
      <c r="AH8" s="1206"/>
    </row>
    <row r="9" spans="2:34" ht="17.25" customHeight="1">
      <c r="D9" s="460"/>
      <c r="E9" s="460"/>
      <c r="F9" s="460"/>
      <c r="G9" s="460"/>
      <c r="H9" s="460"/>
      <c r="I9" s="460"/>
      <c r="J9" s="460"/>
      <c r="K9" s="460"/>
      <c r="L9" s="460"/>
      <c r="M9" s="460"/>
      <c r="N9" s="460"/>
      <c r="P9" s="1160" t="s">
        <v>507</v>
      </c>
      <c r="Q9" s="1161"/>
      <c r="R9" s="1161"/>
      <c r="S9" s="1161"/>
      <c r="T9" s="1161"/>
      <c r="U9" s="1161"/>
      <c r="V9" s="1164">
        <f>様式1!U8</f>
        <v>0</v>
      </c>
      <c r="W9" s="1165"/>
      <c r="X9" s="1165"/>
      <c r="Y9" s="1165"/>
      <c r="Z9" s="1165"/>
      <c r="AA9" s="1165"/>
      <c r="AB9" s="1165"/>
      <c r="AC9" s="1165"/>
      <c r="AD9" s="1165"/>
      <c r="AE9" s="1165"/>
      <c r="AF9" s="1165"/>
      <c r="AG9" s="1165"/>
      <c r="AH9" s="1166"/>
    </row>
    <row r="10" spans="2:34" ht="17.25" customHeight="1" thickBot="1">
      <c r="D10" s="460"/>
      <c r="E10" s="460"/>
      <c r="F10" s="460"/>
      <c r="G10" s="460"/>
      <c r="H10" s="460"/>
      <c r="I10" s="460"/>
      <c r="J10" s="460"/>
      <c r="K10" s="460"/>
      <c r="L10" s="460"/>
      <c r="M10" s="460"/>
      <c r="N10" s="460"/>
      <c r="P10" s="1167" t="s">
        <v>506</v>
      </c>
      <c r="Q10" s="1168"/>
      <c r="R10" s="1168"/>
      <c r="S10" s="1168"/>
      <c r="T10" s="1168"/>
      <c r="U10" s="1168"/>
      <c r="V10" s="1169">
        <f>様式1!U9</f>
        <v>0</v>
      </c>
      <c r="W10" s="1170"/>
      <c r="X10" s="1170"/>
      <c r="Y10" s="1170"/>
      <c r="Z10" s="1170"/>
      <c r="AA10" s="1170"/>
      <c r="AB10" s="1170"/>
      <c r="AC10" s="1170"/>
      <c r="AD10" s="1170"/>
      <c r="AE10" s="1170"/>
      <c r="AF10" s="1170"/>
      <c r="AG10" s="1170"/>
      <c r="AH10" s="1171"/>
    </row>
    <row r="11" spans="2:34" ht="18" customHeight="1">
      <c r="R11" s="459"/>
      <c r="S11" s="459"/>
      <c r="T11" s="459"/>
      <c r="U11" s="459"/>
      <c r="V11" s="459"/>
      <c r="W11" s="459"/>
      <c r="X11" s="459"/>
      <c r="Y11" s="459"/>
    </row>
    <row r="12" spans="2:34" ht="21.75" customHeight="1">
      <c r="B12" s="456" t="s">
        <v>533</v>
      </c>
    </row>
    <row r="13" spans="2:34" ht="9" customHeight="1"/>
    <row r="14" spans="2:34" ht="18.75" customHeight="1" thickBot="1">
      <c r="C14" s="456" t="s">
        <v>532</v>
      </c>
    </row>
    <row r="15" spans="2:34" ht="24" customHeight="1" thickTop="1" thickBot="1">
      <c r="C15" s="1182" t="s">
        <v>531</v>
      </c>
      <c r="D15" s="474" t="s">
        <v>530</v>
      </c>
      <c r="E15" s="474"/>
      <c r="F15" s="474"/>
      <c r="G15" s="474"/>
      <c r="H15" s="474"/>
      <c r="I15" s="474"/>
      <c r="J15" s="474"/>
      <c r="K15" s="474"/>
      <c r="L15" s="474"/>
      <c r="M15" s="474"/>
      <c r="N15" s="474"/>
      <c r="O15" s="474"/>
      <c r="P15" s="474"/>
      <c r="Q15" s="474"/>
      <c r="R15" s="474"/>
      <c r="S15" s="474"/>
      <c r="T15" s="474"/>
      <c r="U15" s="474"/>
      <c r="V15" s="474"/>
      <c r="W15" s="474"/>
      <c r="X15" s="474"/>
      <c r="Y15" s="474"/>
      <c r="Z15" s="474"/>
      <c r="AA15" s="473"/>
      <c r="AB15" s="1172"/>
      <c r="AC15" s="1173"/>
      <c r="AD15" s="1173"/>
      <c r="AE15" s="1173"/>
      <c r="AF15" s="1173"/>
      <c r="AG15" s="1173"/>
      <c r="AH15" s="1174"/>
    </row>
    <row r="16" spans="2:34" ht="17.25" customHeight="1" thickTop="1">
      <c r="C16" s="1183"/>
      <c r="D16" s="472" t="s">
        <v>529</v>
      </c>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57"/>
      <c r="AC16" s="457"/>
      <c r="AD16" s="457"/>
      <c r="AE16" s="457"/>
      <c r="AF16" s="457"/>
      <c r="AG16" s="457"/>
      <c r="AH16" s="470"/>
    </row>
    <row r="17" spans="3:39" ht="18" customHeight="1">
      <c r="C17" s="1183"/>
      <c r="D17" s="458" t="s">
        <v>528</v>
      </c>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457"/>
      <c r="AD17" s="457"/>
      <c r="AE17" s="457"/>
      <c r="AF17" s="457"/>
      <c r="AG17" s="457"/>
      <c r="AH17" s="470"/>
      <c r="AM17" s="456" t="s">
        <v>527</v>
      </c>
    </row>
    <row r="18" spans="3:39" ht="18" customHeight="1" thickBot="1">
      <c r="C18" s="1184"/>
      <c r="D18" s="469" t="s">
        <v>526</v>
      </c>
      <c r="E18" s="468"/>
      <c r="F18" s="468"/>
      <c r="G18" s="468"/>
      <c r="H18" s="468"/>
      <c r="I18" s="468"/>
      <c r="J18" s="468"/>
      <c r="K18" s="468"/>
      <c r="L18" s="468"/>
      <c r="M18" s="468"/>
      <c r="N18" s="468"/>
      <c r="O18" s="468"/>
      <c r="P18" s="468"/>
      <c r="Q18" s="468"/>
      <c r="R18" s="468"/>
      <c r="S18" s="468"/>
      <c r="T18" s="468"/>
      <c r="U18" s="468"/>
      <c r="V18" s="468"/>
      <c r="W18" s="468"/>
      <c r="X18" s="468"/>
      <c r="Y18" s="468"/>
      <c r="Z18" s="468"/>
      <c r="AA18" s="468"/>
      <c r="AB18" s="467"/>
      <c r="AC18" s="467"/>
      <c r="AD18" s="467"/>
      <c r="AE18" s="467"/>
      <c r="AF18" s="467"/>
      <c r="AG18" s="467"/>
      <c r="AH18" s="466"/>
      <c r="AM18" s="456" t="s">
        <v>525</v>
      </c>
    </row>
    <row r="19" spans="3:39" ht="24" customHeight="1" thickTop="1" thickBot="1">
      <c r="C19" s="1185" t="s">
        <v>524</v>
      </c>
      <c r="D19" s="1196" t="s">
        <v>523</v>
      </c>
      <c r="E19" s="1197"/>
      <c r="F19" s="1197"/>
      <c r="G19" s="1197"/>
      <c r="H19" s="1197"/>
      <c r="I19" s="1197"/>
      <c r="J19" s="1197"/>
      <c r="K19" s="1197"/>
      <c r="L19" s="1197"/>
      <c r="M19" s="1197"/>
      <c r="N19" s="1197"/>
      <c r="O19" s="1197"/>
      <c r="P19" s="1197"/>
      <c r="Q19" s="1197"/>
      <c r="R19" s="1197"/>
      <c r="S19" s="1197"/>
      <c r="T19" s="1197"/>
      <c r="U19" s="1197"/>
      <c r="V19" s="1197"/>
      <c r="W19" s="1197"/>
      <c r="X19" s="1197"/>
      <c r="Y19" s="1197"/>
      <c r="Z19" s="1197"/>
      <c r="AA19" s="1198"/>
      <c r="AB19" s="1172"/>
      <c r="AC19" s="1173"/>
      <c r="AD19" s="1173"/>
      <c r="AE19" s="1173"/>
      <c r="AF19" s="1173"/>
      <c r="AG19" s="1173"/>
      <c r="AH19" s="1174"/>
    </row>
    <row r="20" spans="3:39" ht="47.25" customHeight="1" thickTop="1">
      <c r="C20" s="1186"/>
      <c r="D20" s="465" t="s">
        <v>522</v>
      </c>
      <c r="E20" s="1181" t="s">
        <v>521</v>
      </c>
      <c r="F20" s="1181"/>
      <c r="G20" s="1181"/>
      <c r="H20" s="1181"/>
      <c r="I20" s="1181"/>
      <c r="J20" s="1181"/>
      <c r="K20" s="1181"/>
      <c r="L20" s="1176"/>
      <c r="M20" s="1177"/>
      <c r="N20" s="1177"/>
      <c r="O20" s="1177"/>
      <c r="P20" s="1177"/>
      <c r="Q20" s="1177"/>
      <c r="R20" s="1177"/>
      <c r="S20" s="1177"/>
      <c r="T20" s="1177"/>
      <c r="U20" s="1177"/>
      <c r="V20" s="1177"/>
      <c r="W20" s="1177"/>
      <c r="X20" s="1177"/>
      <c r="Y20" s="1177"/>
      <c r="Z20" s="1177"/>
      <c r="AA20" s="1177"/>
      <c r="AB20" s="1177"/>
      <c r="AC20" s="1177"/>
      <c r="AD20" s="1177"/>
      <c r="AE20" s="1177"/>
      <c r="AF20" s="1177"/>
      <c r="AG20" s="1177"/>
      <c r="AH20" s="1178"/>
    </row>
    <row r="21" spans="3:39" ht="30" customHeight="1">
      <c r="C21" s="1186"/>
      <c r="D21" s="1194" t="s">
        <v>520</v>
      </c>
      <c r="E21" s="1192" t="s">
        <v>519</v>
      </c>
      <c r="F21" s="1192"/>
      <c r="G21" s="1192"/>
      <c r="H21" s="1192"/>
      <c r="I21" s="1192"/>
      <c r="J21" s="1192"/>
      <c r="K21" s="1192"/>
      <c r="L21" s="464" t="s">
        <v>518</v>
      </c>
      <c r="M21" s="1188" t="s">
        <v>517</v>
      </c>
      <c r="N21" s="1188"/>
      <c r="O21" s="1188"/>
      <c r="P21" s="1188"/>
      <c r="Q21" s="1188"/>
      <c r="R21" s="1188"/>
      <c r="S21" s="1188"/>
      <c r="T21" s="1188"/>
      <c r="U21" s="1188"/>
      <c r="V21" s="1188"/>
      <c r="W21" s="1188"/>
      <c r="X21" s="1188"/>
      <c r="Y21" s="1188"/>
      <c r="Z21" s="1188"/>
      <c r="AA21" s="1188"/>
      <c r="AB21" s="1188"/>
      <c r="AC21" s="1188"/>
      <c r="AD21" s="1188"/>
      <c r="AE21" s="1188"/>
      <c r="AF21" s="1188"/>
      <c r="AG21" s="1188"/>
      <c r="AH21" s="1189"/>
    </row>
    <row r="22" spans="3:39" ht="18" customHeight="1">
      <c r="C22" s="1186"/>
      <c r="D22" s="1194"/>
      <c r="E22" s="1192"/>
      <c r="F22" s="1192"/>
      <c r="G22" s="1192"/>
      <c r="H22" s="1192"/>
      <c r="I22" s="1192"/>
      <c r="J22" s="1192"/>
      <c r="K22" s="1192"/>
      <c r="L22" s="1200" t="s">
        <v>516</v>
      </c>
      <c r="M22" s="1155" t="s">
        <v>515</v>
      </c>
      <c r="N22" s="1156"/>
      <c r="O22" s="1156"/>
      <c r="P22" s="1156"/>
      <c r="Q22" s="1156"/>
      <c r="R22" s="1156"/>
      <c r="S22" s="1156"/>
      <c r="T22" s="1156"/>
      <c r="U22" s="1156"/>
      <c r="V22" s="1156"/>
      <c r="W22" s="1156"/>
      <c r="X22" s="1156"/>
      <c r="Y22" s="1156"/>
      <c r="Z22" s="1156"/>
      <c r="AA22" s="1156"/>
      <c r="AB22" s="1156"/>
      <c r="AC22" s="1156"/>
      <c r="AD22" s="1156"/>
      <c r="AE22" s="1156"/>
      <c r="AF22" s="1156"/>
      <c r="AG22" s="1156"/>
      <c r="AH22" s="1157"/>
    </row>
    <row r="23" spans="3:39" ht="47.25" customHeight="1" thickBot="1">
      <c r="C23" s="1187"/>
      <c r="D23" s="1195"/>
      <c r="E23" s="1193"/>
      <c r="F23" s="1193"/>
      <c r="G23" s="1193"/>
      <c r="H23" s="1193"/>
      <c r="I23" s="1193"/>
      <c r="J23" s="1193"/>
      <c r="K23" s="1193"/>
      <c r="L23" s="1201"/>
      <c r="M23" s="1190"/>
      <c r="N23" s="1190"/>
      <c r="O23" s="1190"/>
      <c r="P23" s="1190"/>
      <c r="Q23" s="1190"/>
      <c r="R23" s="1190"/>
      <c r="S23" s="1190"/>
      <c r="T23" s="1190"/>
      <c r="U23" s="1190"/>
      <c r="V23" s="1190"/>
      <c r="W23" s="1190"/>
      <c r="X23" s="1190"/>
      <c r="Y23" s="1190"/>
      <c r="Z23" s="1190"/>
      <c r="AA23" s="1190"/>
      <c r="AB23" s="1190"/>
      <c r="AC23" s="1190"/>
      <c r="AD23" s="1190"/>
      <c r="AE23" s="1190"/>
      <c r="AF23" s="1190"/>
      <c r="AG23" s="1190"/>
      <c r="AH23" s="1191"/>
    </row>
    <row r="24" spans="3:39" ht="18" customHeight="1">
      <c r="C24" s="456" t="s">
        <v>514</v>
      </c>
    </row>
    <row r="26" spans="3:39" ht="18" customHeight="1">
      <c r="Q26" s="1175" t="s">
        <v>513</v>
      </c>
      <c r="R26" s="1175"/>
      <c r="S26" s="1175"/>
      <c r="T26" s="1175"/>
      <c r="U26" s="1175"/>
      <c r="V26" s="1175"/>
      <c r="W26" s="1175"/>
      <c r="X26" s="1175"/>
      <c r="Y26" s="1158"/>
      <c r="Z26" s="1159"/>
      <c r="AA26" s="1159"/>
      <c r="AB26" s="1159"/>
      <c r="AC26" s="1159"/>
      <c r="AD26" s="1159"/>
      <c r="AE26" s="1159"/>
      <c r="AF26" s="1159"/>
      <c r="AG26" s="1159"/>
      <c r="AH26" s="1159"/>
    </row>
    <row r="27" spans="3:39" ht="18" customHeight="1">
      <c r="S27" s="1162" t="s">
        <v>512</v>
      </c>
      <c r="T27" s="1162"/>
      <c r="U27" s="1162"/>
      <c r="V27" s="1162"/>
      <c r="W27" s="1162"/>
      <c r="X27" s="1162"/>
      <c r="Y27" s="1163"/>
      <c r="Z27" s="1163"/>
      <c r="AA27" s="1163"/>
      <c r="AB27" s="1163"/>
      <c r="AC27" s="1163"/>
      <c r="AD27" s="1163"/>
      <c r="AE27" s="1163"/>
      <c r="AF27" s="1163"/>
      <c r="AG27" s="1163"/>
      <c r="AH27" s="1163"/>
    </row>
    <row r="28" spans="3:39" ht="18" customHeight="1">
      <c r="S28" s="1153" t="s">
        <v>511</v>
      </c>
      <c r="T28" s="1153"/>
      <c r="U28" s="1153"/>
      <c r="V28" s="1153"/>
      <c r="W28" s="1153"/>
      <c r="X28" s="1153"/>
      <c r="Y28" s="1154"/>
      <c r="Z28" s="1154"/>
      <c r="AA28" s="1154"/>
      <c r="AB28" s="1154"/>
      <c r="AC28" s="1154"/>
      <c r="AD28" s="1154"/>
      <c r="AE28" s="1154"/>
      <c r="AF28" s="1154"/>
      <c r="AG28" s="1154"/>
      <c r="AH28" s="1154"/>
    </row>
  </sheetData>
  <sheetProtection algorithmName="SHA-512" hashValue="tfZzSFkwsNuEZ4S56FLiwzPogV9NxpwqUkT0ltOaM/lsAEHM3FseUUir5gFD+HlGflTB7exn2dUd2iwh7CfP/w==" saltValue="D5DJTC6F0pbnnY4Xptb7lg==" spinCount="100000" sheet="1" insertRows="0"/>
  <mergeCells count="28">
    <mergeCell ref="B3:AH3"/>
    <mergeCell ref="B2:AH2"/>
    <mergeCell ref="E20:K20"/>
    <mergeCell ref="C15:C18"/>
    <mergeCell ref="C19:C23"/>
    <mergeCell ref="M21:AH21"/>
    <mergeCell ref="M23:AH23"/>
    <mergeCell ref="E21:K23"/>
    <mergeCell ref="D21:D23"/>
    <mergeCell ref="D19:AA19"/>
    <mergeCell ref="F6:L6"/>
    <mergeCell ref="L22:L23"/>
    <mergeCell ref="P8:U8"/>
    <mergeCell ref="V8:AH8"/>
    <mergeCell ref="S28:X28"/>
    <mergeCell ref="Y28:AH28"/>
    <mergeCell ref="M22:AH22"/>
    <mergeCell ref="Y26:AH26"/>
    <mergeCell ref="P9:U9"/>
    <mergeCell ref="S27:X27"/>
    <mergeCell ref="Y27:AH27"/>
    <mergeCell ref="V9:AH9"/>
    <mergeCell ref="P10:U10"/>
    <mergeCell ref="V10:AH10"/>
    <mergeCell ref="AB19:AH19"/>
    <mergeCell ref="Q26:X26"/>
    <mergeCell ref="AB15:AH15"/>
    <mergeCell ref="L20:AH20"/>
  </mergeCells>
  <phoneticPr fontId="4"/>
  <dataValidations count="1">
    <dataValidation type="list" allowBlank="1" showInputMessage="1" showErrorMessage="1" sqref="AB19:AH19 AB15:AH15" xr:uid="{00000000-0002-0000-0100-000000000000}">
      <formula1>$AM$17:$AM$19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8" max="3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8E01D-A879-4196-8D98-0468EF17E6E6}">
  <sheetPr>
    <pageSetUpPr fitToPage="1"/>
  </sheetPr>
  <dimension ref="A1:AN111"/>
  <sheetViews>
    <sheetView showGridLines="0" view="pageBreakPreview" topLeftCell="A85" zoomScale="85" zoomScaleNormal="100" zoomScaleSheetLayoutView="85" workbookViewId="0">
      <selection activeCell="AY101" sqref="AY101"/>
    </sheetView>
  </sheetViews>
  <sheetFormatPr defaultColWidth="9" defaultRowHeight="18" customHeight="1"/>
  <cols>
    <col min="1" max="1" width="1.375" style="576" customWidth="1"/>
    <col min="2" max="23" width="3" style="576" customWidth="1"/>
    <col min="24" max="24" width="3.875" style="576" customWidth="1"/>
    <col min="25" max="33" width="3" style="576" customWidth="1"/>
    <col min="34" max="34" width="1.375" style="576" customWidth="1"/>
    <col min="35" max="36" width="3.375" style="576" customWidth="1"/>
    <col min="37" max="37" width="3.375" style="576" hidden="1" customWidth="1"/>
    <col min="38" max="38" width="7.5" style="576" hidden="1" customWidth="1"/>
    <col min="39" max="52" width="3.375" style="576" customWidth="1"/>
    <col min="53" max="16384" width="9" style="576"/>
  </cols>
  <sheetData>
    <row r="1" spans="2:40" ht="12.75" customHeight="1">
      <c r="R1" s="611"/>
      <c r="AK1" s="576" t="s">
        <v>606</v>
      </c>
      <c r="AL1" s="576" t="s">
        <v>605</v>
      </c>
    </row>
    <row r="2" spans="2:40" ht="18" customHeight="1">
      <c r="B2" s="575" t="s">
        <v>604</v>
      </c>
      <c r="AL2" s="576" t="s">
        <v>603</v>
      </c>
    </row>
    <row r="3" spans="2:40" ht="18" customHeight="1">
      <c r="B3" s="1207" t="str">
        <f>様式1!$AQ$1&amp;様式1!$AQ$2&amp;"年度加算算定対象人数等認定申請書（区分３（質の向上分））"</f>
        <v>令和８年度加算算定対象人数等認定申請書（区分３（質の向上分））</v>
      </c>
      <c r="C3" s="1207"/>
      <c r="D3" s="1207"/>
      <c r="E3" s="1207"/>
      <c r="F3" s="1207"/>
      <c r="G3" s="1207"/>
      <c r="H3" s="1207"/>
      <c r="I3" s="1207"/>
      <c r="J3" s="1207"/>
      <c r="K3" s="1207"/>
      <c r="L3" s="1207"/>
      <c r="M3" s="1207"/>
      <c r="N3" s="1207"/>
      <c r="O3" s="1207"/>
      <c r="P3" s="1207"/>
      <c r="Q3" s="1207"/>
      <c r="R3" s="1207"/>
      <c r="S3" s="1207"/>
      <c r="T3" s="1207"/>
      <c r="U3" s="1207"/>
      <c r="V3" s="1207"/>
      <c r="W3" s="1207"/>
      <c r="X3" s="1207"/>
      <c r="Y3" s="1207"/>
      <c r="Z3" s="1207"/>
      <c r="AA3" s="1207"/>
      <c r="AB3" s="1207"/>
      <c r="AC3" s="1207"/>
      <c r="AD3" s="1207"/>
      <c r="AE3" s="1207"/>
      <c r="AF3" s="1207"/>
      <c r="AG3" s="1207"/>
    </row>
    <row r="4" spans="2:40" ht="18" customHeight="1">
      <c r="B4" s="1236" t="s">
        <v>855</v>
      </c>
      <c r="C4" s="1236"/>
      <c r="D4" s="1236"/>
      <c r="E4" s="1236"/>
      <c r="F4" s="1236"/>
      <c r="G4" s="1236"/>
      <c r="H4" s="1236"/>
      <c r="I4" s="1236"/>
      <c r="J4" s="1236"/>
      <c r="K4" s="1236"/>
      <c r="L4" s="1236"/>
      <c r="M4" s="1236"/>
      <c r="N4" s="1236"/>
      <c r="O4" s="1236"/>
      <c r="P4" s="1236"/>
      <c r="Q4" s="1236"/>
      <c r="R4" s="1236"/>
      <c r="S4" s="1236"/>
      <c r="T4" s="1236"/>
      <c r="U4" s="1236"/>
      <c r="V4" s="1236"/>
      <c r="W4" s="1236"/>
      <c r="X4" s="1236"/>
      <c r="Y4" s="1236"/>
      <c r="Z4" s="1236"/>
      <c r="AA4" s="1236"/>
      <c r="AB4" s="1236"/>
      <c r="AC4" s="1236"/>
      <c r="AD4" s="1236"/>
      <c r="AE4" s="1236"/>
      <c r="AF4" s="580"/>
      <c r="AG4" s="580"/>
    </row>
    <row r="5" spans="2:40" ht="17.25" customHeight="1">
      <c r="E5" s="582"/>
      <c r="F5" s="582"/>
      <c r="L5" s="582"/>
      <c r="M5" s="582"/>
      <c r="N5" s="582"/>
      <c r="O5" s="582"/>
    </row>
    <row r="6" spans="2:40" ht="17.25" customHeight="1">
      <c r="E6" s="1140" t="str">
        <f>様式1!F5</f>
        <v>横須賀市長　殿</v>
      </c>
      <c r="F6" s="1140"/>
      <c r="G6" s="1140"/>
      <c r="H6" s="1140"/>
      <c r="I6" s="1140"/>
      <c r="J6" s="1140"/>
      <c r="K6" s="1140"/>
      <c r="L6" s="582"/>
      <c r="M6" s="582"/>
      <c r="N6" s="582"/>
    </row>
    <row r="7" spans="2:40" ht="17.25" customHeight="1" thickBot="1">
      <c r="E7" s="582"/>
      <c r="F7" s="582"/>
      <c r="G7" s="582"/>
      <c r="H7" s="582"/>
      <c r="I7" s="582"/>
      <c r="J7" s="582"/>
      <c r="K7" s="582"/>
      <c r="L7" s="582"/>
      <c r="M7" s="582"/>
      <c r="N7" s="582"/>
      <c r="O7" s="582"/>
      <c r="U7" s="583"/>
      <c r="V7" s="583"/>
      <c r="W7" s="583"/>
      <c r="X7" s="583"/>
      <c r="Y7" s="583"/>
      <c r="Z7" s="583"/>
      <c r="AA7" s="583"/>
      <c r="AB7" s="583"/>
      <c r="AC7" s="583"/>
      <c r="AD7" s="583"/>
      <c r="AE7" s="583"/>
      <c r="AF7" s="583"/>
      <c r="AG7" s="583"/>
    </row>
    <row r="8" spans="2:40" ht="17.25" customHeight="1">
      <c r="E8" s="582"/>
      <c r="F8" s="582"/>
      <c r="N8" s="582"/>
      <c r="O8" s="1141" t="s">
        <v>508</v>
      </c>
      <c r="P8" s="1208"/>
      <c r="Q8" s="1208"/>
      <c r="R8" s="1208"/>
      <c r="S8" s="1208"/>
      <c r="T8" s="1208"/>
      <c r="U8" s="1209" t="str">
        <f>様式1!U7</f>
        <v>横須賀市</v>
      </c>
      <c r="V8" s="1209"/>
      <c r="W8" s="1209"/>
      <c r="X8" s="1209"/>
      <c r="Y8" s="1209"/>
      <c r="Z8" s="1209"/>
      <c r="AA8" s="1209"/>
      <c r="AB8" s="1209"/>
      <c r="AC8" s="1209"/>
      <c r="AD8" s="1209"/>
      <c r="AE8" s="1209"/>
      <c r="AF8" s="1209"/>
      <c r="AG8" s="1210"/>
    </row>
    <row r="9" spans="2:40" ht="17.25" customHeight="1">
      <c r="E9" s="582"/>
      <c r="F9" s="582"/>
      <c r="N9" s="582"/>
      <c r="O9" s="1146" t="s">
        <v>507</v>
      </c>
      <c r="P9" s="1211"/>
      <c r="Q9" s="1211"/>
      <c r="R9" s="1211"/>
      <c r="S9" s="1211"/>
      <c r="T9" s="1211"/>
      <c r="U9" s="1212">
        <f>様式1!U8</f>
        <v>0</v>
      </c>
      <c r="V9" s="1212"/>
      <c r="W9" s="1212"/>
      <c r="X9" s="1212"/>
      <c r="Y9" s="1212"/>
      <c r="Z9" s="1212"/>
      <c r="AA9" s="1212"/>
      <c r="AB9" s="1212"/>
      <c r="AC9" s="1212"/>
      <c r="AD9" s="1212"/>
      <c r="AE9" s="1212"/>
      <c r="AF9" s="1212"/>
      <c r="AG9" s="1213"/>
    </row>
    <row r="10" spans="2:40" ht="17.25" customHeight="1" thickBot="1">
      <c r="E10" s="582"/>
      <c r="F10" s="582"/>
      <c r="N10" s="582"/>
      <c r="O10" s="1149" t="s">
        <v>506</v>
      </c>
      <c r="P10" s="1214"/>
      <c r="Q10" s="1214"/>
      <c r="R10" s="1214"/>
      <c r="S10" s="1214"/>
      <c r="T10" s="1214"/>
      <c r="U10" s="1215">
        <f>様式1!U9</f>
        <v>0</v>
      </c>
      <c r="V10" s="1215"/>
      <c r="W10" s="1215"/>
      <c r="X10" s="1215"/>
      <c r="Y10" s="1215"/>
      <c r="Z10" s="1215"/>
      <c r="AA10" s="1215"/>
      <c r="AB10" s="1215"/>
      <c r="AC10" s="1215"/>
      <c r="AD10" s="1215"/>
      <c r="AE10" s="1215"/>
      <c r="AF10" s="1215"/>
      <c r="AG10" s="1216"/>
    </row>
    <row r="11" spans="2:40" ht="18" customHeight="1">
      <c r="O11" s="591"/>
      <c r="P11" s="591"/>
      <c r="Q11" s="591"/>
      <c r="R11" s="591"/>
      <c r="S11" s="591"/>
      <c r="T11" s="591"/>
      <c r="U11" s="612"/>
      <c r="V11" s="612"/>
      <c r="W11" s="612"/>
      <c r="X11" s="612"/>
      <c r="Y11" s="612"/>
      <c r="Z11" s="612"/>
      <c r="AA11" s="612"/>
      <c r="AB11" s="612"/>
      <c r="AC11" s="612"/>
      <c r="AD11" s="612"/>
      <c r="AE11" s="612"/>
      <c r="AF11" s="612"/>
      <c r="AG11" s="612"/>
    </row>
    <row r="12" spans="2:40" ht="18" customHeight="1">
      <c r="O12" s="613"/>
      <c r="P12" s="613"/>
      <c r="Q12" s="613"/>
      <c r="R12" s="613"/>
      <c r="S12" s="613"/>
      <c r="T12" s="613"/>
      <c r="U12" s="612"/>
      <c r="V12" s="612"/>
      <c r="W12" s="612"/>
      <c r="X12" s="612"/>
      <c r="Y12" s="612"/>
      <c r="Z12" s="612"/>
      <c r="AA12" s="612"/>
      <c r="AB12" s="612"/>
      <c r="AC12" s="612"/>
      <c r="AD12" s="612"/>
      <c r="AE12" s="612"/>
      <c r="AF12" s="612"/>
      <c r="AG12" s="612"/>
    </row>
    <row r="13" spans="2:40" ht="18" customHeight="1" thickBot="1">
      <c r="B13" s="576" t="s">
        <v>602</v>
      </c>
      <c r="C13" s="614"/>
      <c r="D13" s="614"/>
      <c r="E13" s="614"/>
      <c r="F13" s="614"/>
      <c r="G13" s="614"/>
      <c r="H13" s="614"/>
      <c r="I13" s="614"/>
      <c r="J13" s="614"/>
      <c r="K13" s="614"/>
      <c r="L13" s="614"/>
      <c r="M13" s="614"/>
      <c r="N13" s="614"/>
      <c r="O13" s="614"/>
      <c r="P13" s="614"/>
      <c r="Q13" s="614"/>
      <c r="R13" s="614"/>
      <c r="S13" s="614"/>
      <c r="T13" s="614"/>
      <c r="U13" s="614"/>
      <c r="V13" s="614"/>
      <c r="W13" s="596"/>
      <c r="X13" s="596"/>
      <c r="Y13" s="596"/>
      <c r="Z13" s="596"/>
      <c r="AA13" s="596"/>
      <c r="AB13" s="596"/>
      <c r="AC13" s="596"/>
      <c r="AD13" s="596"/>
      <c r="AE13" s="596"/>
      <c r="AF13" s="596"/>
      <c r="AG13" s="596"/>
    </row>
    <row r="14" spans="2:40" ht="18" customHeight="1" thickBot="1">
      <c r="B14" s="1223" t="s">
        <v>601</v>
      </c>
      <c r="C14" s="1224"/>
      <c r="D14" s="1224"/>
      <c r="E14" s="1224"/>
      <c r="F14" s="1224"/>
      <c r="G14" s="1226"/>
      <c r="H14" s="1223" t="s">
        <v>600</v>
      </c>
      <c r="I14" s="1224"/>
      <c r="J14" s="1224"/>
      <c r="K14" s="1224"/>
      <c r="L14" s="1225">
        <f>Q15+Q17</f>
        <v>0</v>
      </c>
      <c r="M14" s="1225"/>
      <c r="N14" s="1225"/>
      <c r="O14" s="615" t="s">
        <v>542</v>
      </c>
      <c r="P14" s="1223" t="s">
        <v>599</v>
      </c>
      <c r="Q14" s="1224"/>
      <c r="R14" s="1224"/>
      <c r="S14" s="1224"/>
      <c r="T14" s="1225">
        <f>Q16</f>
        <v>0</v>
      </c>
      <c r="U14" s="1225"/>
      <c r="V14" s="1225"/>
      <c r="W14" s="616" t="s">
        <v>542</v>
      </c>
      <c r="Y14" s="1220" t="s">
        <v>598</v>
      </c>
      <c r="Z14" s="1221"/>
      <c r="AA14" s="1221"/>
      <c r="AB14" s="1221"/>
      <c r="AC14" s="1221"/>
      <c r="AD14" s="1221"/>
      <c r="AE14" s="1222"/>
      <c r="AF14" s="617" t="str">
        <f>IFERROR(IF(T14+L14&gt;=1,"○","×"),"")</f>
        <v>×</v>
      </c>
      <c r="AG14" s="596"/>
      <c r="AM14" s="618" t="str">
        <f>IF(AND($L$14&gt;=$AA$93,$T$14&gt;=$AA$94),"","「区分3計算表」の内容と人数A・人数Bの数値が一致しません。確認してください。")</f>
        <v/>
      </c>
    </row>
    <row r="15" spans="2:40" ht="18" customHeight="1">
      <c r="B15" s="619" t="s">
        <v>597</v>
      </c>
      <c r="C15" s="620"/>
      <c r="D15" s="620"/>
      <c r="E15" s="620"/>
      <c r="F15" s="620"/>
      <c r="G15" s="620"/>
      <c r="H15" s="620"/>
      <c r="I15" s="620"/>
      <c r="J15" s="620"/>
      <c r="K15" s="620"/>
      <c r="L15" s="620"/>
      <c r="M15" s="620"/>
      <c r="N15" s="620"/>
      <c r="O15" s="620"/>
      <c r="P15" s="621"/>
      <c r="Q15" s="1227"/>
      <c r="R15" s="1228"/>
      <c r="S15" s="1228"/>
      <c r="T15" s="1228"/>
      <c r="U15" s="1228"/>
      <c r="V15" s="1228"/>
      <c r="W15" s="622" t="s">
        <v>542</v>
      </c>
      <c r="Z15" s="623"/>
      <c r="AA15" s="623"/>
      <c r="AB15" s="623"/>
      <c r="AC15" s="623"/>
      <c r="AD15" s="623"/>
      <c r="AE15" s="624"/>
      <c r="AN15" s="576">
        <f>COUNTIFS(様式4別添1!$B$11:$B$60,"&lt;&gt;",様式4別添1!$Z$11:$Z$60,様式4別添1!$Z$80)
+COUNTIFS(様式4別添1!$B$11:$B$60,"&lt;&gt;",様式4別添1!$Z$11:$Z$60,様式4別添1!$Z$81)</f>
        <v>0</v>
      </c>
    </row>
    <row r="16" spans="2:40" ht="18" customHeight="1">
      <c r="B16" s="625" t="s">
        <v>596</v>
      </c>
      <c r="C16" s="626"/>
      <c r="D16" s="626"/>
      <c r="E16" s="626"/>
      <c r="F16" s="626"/>
      <c r="G16" s="626"/>
      <c r="H16" s="626"/>
      <c r="I16" s="626"/>
      <c r="J16" s="626"/>
      <c r="K16" s="626"/>
      <c r="L16" s="626"/>
      <c r="M16" s="626"/>
      <c r="N16" s="626"/>
      <c r="O16" s="626"/>
      <c r="P16" s="627"/>
      <c r="Q16" s="1229"/>
      <c r="R16" s="1230"/>
      <c r="S16" s="1230"/>
      <c r="T16" s="1230"/>
      <c r="U16" s="1230"/>
      <c r="V16" s="1230"/>
      <c r="W16" s="628" t="s">
        <v>542</v>
      </c>
      <c r="AN16" s="576">
        <f>COUNTIFS(様式4別添1!$B$11:$B$60,"&lt;&gt;",様式4別添1!$Z$11:$Z$60,様式4別添1!$Z$83)</f>
        <v>0</v>
      </c>
    </row>
    <row r="17" spans="1:40" ht="34.15" customHeight="1" thickBot="1">
      <c r="B17" s="1231" t="s">
        <v>595</v>
      </c>
      <c r="C17" s="1232"/>
      <c r="D17" s="1232"/>
      <c r="E17" s="1232"/>
      <c r="F17" s="1232"/>
      <c r="G17" s="1232"/>
      <c r="H17" s="1232"/>
      <c r="I17" s="1232"/>
      <c r="J17" s="1232"/>
      <c r="K17" s="1232"/>
      <c r="L17" s="1232"/>
      <c r="M17" s="1232"/>
      <c r="N17" s="1232"/>
      <c r="O17" s="1232"/>
      <c r="P17" s="1233"/>
      <c r="Q17" s="1234"/>
      <c r="R17" s="1235"/>
      <c r="S17" s="1235"/>
      <c r="T17" s="1235"/>
      <c r="U17" s="1235"/>
      <c r="V17" s="1235"/>
      <c r="W17" s="629" t="s">
        <v>542</v>
      </c>
      <c r="AN17" s="576">
        <f>COUNTIFS(様式4別添1!$B$11:$B$60,"&lt;&gt;",様式4別添1!$Z$11:$Z$60,様式4別添1!$Z$82)</f>
        <v>0</v>
      </c>
    </row>
    <row r="18" spans="1:40" ht="18" customHeight="1" thickBot="1">
      <c r="B18" s="624"/>
      <c r="C18" s="614"/>
      <c r="D18" s="614"/>
      <c r="E18" s="614"/>
      <c r="F18" s="614"/>
      <c r="G18" s="614"/>
      <c r="H18" s="614"/>
      <c r="I18" s="614"/>
      <c r="J18" s="614"/>
      <c r="K18" s="614"/>
      <c r="L18" s="614"/>
      <c r="M18" s="614"/>
      <c r="N18" s="614"/>
      <c r="O18" s="614"/>
      <c r="P18" s="614"/>
      <c r="Q18" s="614"/>
      <c r="R18" s="614"/>
      <c r="S18" s="614"/>
      <c r="T18" s="614"/>
      <c r="U18" s="614"/>
      <c r="V18" s="614"/>
      <c r="W18" s="614"/>
      <c r="X18" s="614"/>
      <c r="Y18" s="614"/>
      <c r="Z18" s="614"/>
      <c r="AA18" s="596"/>
      <c r="AB18" s="596"/>
      <c r="AC18" s="596"/>
      <c r="AD18" s="596"/>
      <c r="AE18" s="596"/>
      <c r="AF18" s="596"/>
      <c r="AG18" s="596"/>
    </row>
    <row r="19" spans="1:40" ht="18" customHeight="1" thickBot="1">
      <c r="B19" s="1247" t="s">
        <v>594</v>
      </c>
      <c r="C19" s="1248"/>
      <c r="D19" s="1248"/>
      <c r="E19" s="1248"/>
      <c r="F19" s="1248"/>
      <c r="G19" s="1248"/>
      <c r="H19" s="1248"/>
      <c r="I19" s="1248"/>
      <c r="J19" s="1248"/>
      <c r="K19" s="1248"/>
      <c r="L19" s="1248"/>
      <c r="M19" s="1248"/>
      <c r="N19" s="1248"/>
      <c r="O19" s="1248"/>
      <c r="P19" s="1248"/>
      <c r="Q19" s="1248"/>
      <c r="R19" s="1248"/>
      <c r="S19" s="1248"/>
      <c r="T19" s="1248"/>
      <c r="U19" s="1248"/>
      <c r="V19" s="1248"/>
      <c r="W19" s="1248"/>
      <c r="X19" s="1248"/>
      <c r="Y19" s="1248"/>
      <c r="Z19" s="1248"/>
      <c r="AA19" s="1248"/>
      <c r="AB19" s="1248"/>
      <c r="AC19" s="1248"/>
      <c r="AD19" s="1248"/>
      <c r="AE19" s="1248"/>
      <c r="AF19" s="1248"/>
      <c r="AG19" s="1249"/>
    </row>
    <row r="20" spans="1:40" ht="18" customHeight="1">
      <c r="B20" s="1250"/>
      <c r="C20" s="1276" t="s">
        <v>593</v>
      </c>
      <c r="D20" s="1277"/>
      <c r="E20" s="1277"/>
      <c r="F20" s="1277"/>
      <c r="G20" s="1277"/>
      <c r="H20" s="1277"/>
      <c r="I20" s="1277"/>
      <c r="J20" s="1277"/>
      <c r="K20" s="1277"/>
      <c r="L20" s="1277"/>
      <c r="M20" s="1277"/>
      <c r="N20" s="1277"/>
      <c r="O20" s="1277"/>
      <c r="P20" s="1277"/>
      <c r="Q20" s="1277"/>
      <c r="R20" s="1277"/>
      <c r="S20" s="1277"/>
      <c r="T20" s="1277"/>
      <c r="U20" s="1277"/>
      <c r="V20" s="1277"/>
      <c r="W20" s="1277"/>
      <c r="X20" s="1277"/>
      <c r="Y20" s="1277"/>
      <c r="Z20" s="1277"/>
      <c r="AA20" s="1279"/>
      <c r="AB20" s="1280"/>
      <c r="AC20" s="1280"/>
      <c r="AD20" s="1280"/>
      <c r="AE20" s="1280"/>
      <c r="AF20" s="1280"/>
      <c r="AG20" s="1281"/>
    </row>
    <row r="21" spans="1:40" ht="18" customHeight="1" thickBot="1">
      <c r="B21" s="1251"/>
      <c r="C21" s="1278"/>
      <c r="D21" s="1278"/>
      <c r="E21" s="1278"/>
      <c r="F21" s="1278"/>
      <c r="G21" s="1278"/>
      <c r="H21" s="1278"/>
      <c r="I21" s="1278"/>
      <c r="J21" s="1278"/>
      <c r="K21" s="1278"/>
      <c r="L21" s="1278"/>
      <c r="M21" s="1278"/>
      <c r="N21" s="1278"/>
      <c r="O21" s="1278"/>
      <c r="P21" s="1278"/>
      <c r="Q21" s="1278"/>
      <c r="R21" s="1278"/>
      <c r="S21" s="1278"/>
      <c r="T21" s="1278"/>
      <c r="U21" s="1278"/>
      <c r="V21" s="1278"/>
      <c r="W21" s="1278"/>
      <c r="X21" s="1278"/>
      <c r="Y21" s="1278"/>
      <c r="Z21" s="1278"/>
      <c r="AA21" s="1282"/>
      <c r="AB21" s="1283"/>
      <c r="AC21" s="1283"/>
      <c r="AD21" s="1283"/>
      <c r="AE21" s="1283"/>
      <c r="AF21" s="1283"/>
      <c r="AG21" s="1284"/>
    </row>
    <row r="22" spans="1:40" ht="21.6" customHeight="1">
      <c r="B22" s="624"/>
      <c r="C22" s="614"/>
      <c r="D22" s="614"/>
      <c r="E22" s="614"/>
      <c r="F22" s="614"/>
      <c r="G22" s="614"/>
      <c r="H22" s="614"/>
      <c r="I22" s="614"/>
      <c r="J22" s="614"/>
      <c r="K22" s="614"/>
      <c r="L22" s="614"/>
      <c r="M22" s="614"/>
      <c r="N22" s="614"/>
      <c r="O22" s="614"/>
      <c r="P22" s="614"/>
      <c r="Q22" s="614"/>
      <c r="R22" s="614"/>
      <c r="S22" s="614"/>
      <c r="T22" s="614"/>
      <c r="U22" s="614"/>
      <c r="V22" s="614"/>
      <c r="W22" s="614"/>
      <c r="X22" s="614"/>
      <c r="Y22" s="614"/>
      <c r="Z22" s="614"/>
      <c r="AA22" s="596"/>
      <c r="AB22" s="596"/>
      <c r="AC22" s="596"/>
      <c r="AD22" s="596"/>
      <c r="AE22" s="596"/>
      <c r="AF22" s="596"/>
      <c r="AG22" s="596"/>
    </row>
    <row r="23" spans="1:40" ht="21.75" customHeight="1" thickBot="1">
      <c r="B23" s="576" t="s">
        <v>592</v>
      </c>
      <c r="C23" s="630"/>
      <c r="D23" s="630"/>
      <c r="E23" s="630"/>
      <c r="F23" s="630"/>
      <c r="G23" s="584"/>
      <c r="H23" s="584"/>
      <c r="I23" s="584"/>
      <c r="J23" s="631"/>
      <c r="K23" s="631"/>
      <c r="L23" s="631"/>
      <c r="M23" s="631"/>
      <c r="N23" s="631"/>
      <c r="O23" s="631"/>
      <c r="P23" s="631"/>
      <c r="Q23" s="631"/>
      <c r="R23" s="631"/>
      <c r="S23" s="584"/>
      <c r="T23" s="584"/>
      <c r="U23" s="584"/>
      <c r="V23" s="631"/>
      <c r="W23" s="631"/>
      <c r="X23" s="631"/>
      <c r="Y23" s="631"/>
      <c r="Z23" s="631"/>
      <c r="AA23" s="631"/>
      <c r="AB23" s="631"/>
      <c r="AC23" s="631"/>
      <c r="AD23" s="631"/>
      <c r="AE23" s="584"/>
      <c r="AF23" s="584"/>
      <c r="AG23" s="584"/>
    </row>
    <row r="24" spans="1:40" ht="27.75" customHeight="1" thickBot="1">
      <c r="B24" s="1217" t="s">
        <v>591</v>
      </c>
      <c r="C24" s="1218"/>
      <c r="D24" s="1218"/>
      <c r="E24" s="1218"/>
      <c r="F24" s="1219"/>
      <c r="G24" s="1219"/>
      <c r="H24" s="1219"/>
      <c r="I24" s="1219"/>
      <c r="J24" s="1219"/>
      <c r="K24" s="1219"/>
      <c r="L24" s="1219"/>
      <c r="M24" s="1264">
        <f>IF('3_区分3計算表'!$E$7="あり",SUM('3_区分3計算表'!$F$8,'3_区分3計算表'!J8,'3_区分3計算表'!N8),'3_区分3計算表'!$F$8)</f>
        <v>0</v>
      </c>
      <c r="N24" s="1265"/>
      <c r="O24" s="1265"/>
      <c r="P24" s="1265"/>
      <c r="Q24" s="1265"/>
      <c r="R24" s="1265"/>
      <c r="S24" s="1265"/>
      <c r="T24" s="1265"/>
      <c r="U24" s="632" t="s">
        <v>542</v>
      </c>
      <c r="V24" s="631"/>
      <c r="W24" s="631"/>
      <c r="X24" s="631"/>
      <c r="Y24" s="631"/>
      <c r="Z24" s="631"/>
      <c r="AA24" s="631"/>
      <c r="AB24" s="631"/>
      <c r="AC24" s="631"/>
      <c r="AD24" s="631"/>
      <c r="AE24" s="584"/>
      <c r="AF24" s="584"/>
      <c r="AG24" s="584"/>
    </row>
    <row r="25" spans="1:40" s="634" customFormat="1" ht="21" customHeight="1">
      <c r="A25" s="633"/>
      <c r="B25" s="1327" t="s">
        <v>590</v>
      </c>
      <c r="C25" s="1328"/>
      <c r="D25" s="1328"/>
      <c r="E25" s="1329"/>
      <c r="F25" s="1266" t="s">
        <v>589</v>
      </c>
      <c r="G25" s="1253"/>
      <c r="H25" s="1253"/>
      <c r="I25" s="1253"/>
      <c r="J25" s="1253"/>
      <c r="K25" s="1253"/>
      <c r="L25" s="1253"/>
      <c r="M25" s="1252" t="s">
        <v>26</v>
      </c>
      <c r="N25" s="1253"/>
      <c r="O25" s="1253"/>
      <c r="P25" s="1253"/>
      <c r="Q25" s="1253"/>
      <c r="R25" s="1253"/>
      <c r="S25" s="1253"/>
      <c r="T25" s="1252" t="s">
        <v>588</v>
      </c>
      <c r="U25" s="1253"/>
      <c r="V25" s="1253"/>
      <c r="W25" s="1253"/>
      <c r="X25" s="1253"/>
      <c r="Y25" s="1253"/>
      <c r="Z25" s="1253"/>
      <c r="AA25" s="1252" t="s">
        <v>587</v>
      </c>
      <c r="AB25" s="1253"/>
      <c r="AC25" s="1253"/>
      <c r="AD25" s="1253"/>
      <c r="AE25" s="1253"/>
      <c r="AF25" s="1253"/>
      <c r="AG25" s="1285"/>
      <c r="AH25" s="633"/>
    </row>
    <row r="26" spans="1:40" s="634" customFormat="1" ht="21" customHeight="1">
      <c r="A26" s="633"/>
      <c r="B26" s="1330"/>
      <c r="C26" s="1331"/>
      <c r="D26" s="1331"/>
      <c r="E26" s="1332"/>
      <c r="F26" s="1254">
        <f>IF('3_区分3計算表'!$E$7="あり",SUM('3_区分3計算表'!$F$12,'3_区分3計算表'!J12,'3_区分3計算表'!N12),'3_区分3計算表'!$F$12)</f>
        <v>0</v>
      </c>
      <c r="G26" s="1255"/>
      <c r="H26" s="1255"/>
      <c r="I26" s="1255"/>
      <c r="J26" s="1255"/>
      <c r="K26" s="1255"/>
      <c r="L26" s="1289" t="s">
        <v>542</v>
      </c>
      <c r="M26" s="1271">
        <f>IF('3_区分3計算表'!$E$7="あり",SUM('3_区分3計算表'!$F$13,'3_区分3計算表'!J13,'3_区分3計算表'!N13),'3_区分3計算表'!$F$13)</f>
        <v>0</v>
      </c>
      <c r="N26" s="1272"/>
      <c r="O26" s="1272"/>
      <c r="P26" s="1272"/>
      <c r="Q26" s="1272"/>
      <c r="R26" s="1272"/>
      <c r="S26" s="635" t="s">
        <v>542</v>
      </c>
      <c r="T26" s="1271">
        <f>IF('3_区分3計算表'!$E$7="あり",SUM('3_区分3計算表'!$F$15,'3_区分3計算表'!J15,'3_区分3計算表'!N15),'3_区分3計算表'!$F$15)</f>
        <v>0</v>
      </c>
      <c r="U26" s="1255"/>
      <c r="V26" s="1255"/>
      <c r="W26" s="1255"/>
      <c r="X26" s="1255"/>
      <c r="Y26" s="1255"/>
      <c r="Z26" s="1289" t="s">
        <v>542</v>
      </c>
      <c r="AA26" s="1271">
        <f>IF('3_区分3計算表'!$E$7="あり",SUM('3_区分3計算表'!$F$17,'3_区分3計算表'!J17,'3_区分3計算表'!N17),'3_区分3計算表'!$F$17)</f>
        <v>0</v>
      </c>
      <c r="AB26" s="1255"/>
      <c r="AC26" s="1255"/>
      <c r="AD26" s="1255"/>
      <c r="AE26" s="1255"/>
      <c r="AF26" s="1255"/>
      <c r="AG26" s="1318" t="s">
        <v>542</v>
      </c>
      <c r="AH26" s="633"/>
    </row>
    <row r="27" spans="1:40" s="634" customFormat="1" ht="18" customHeight="1">
      <c r="A27" s="633"/>
      <c r="B27" s="1330"/>
      <c r="C27" s="1331"/>
      <c r="D27" s="1331"/>
      <c r="E27" s="1332"/>
      <c r="F27" s="1256"/>
      <c r="G27" s="1257"/>
      <c r="H27" s="1257"/>
      <c r="I27" s="1257"/>
      <c r="J27" s="1257"/>
      <c r="K27" s="1257"/>
      <c r="L27" s="1290"/>
      <c r="M27" s="636"/>
      <c r="N27" s="1261" t="s">
        <v>586</v>
      </c>
      <c r="O27" s="1262"/>
      <c r="P27" s="1262"/>
      <c r="Q27" s="1262"/>
      <c r="R27" s="1262"/>
      <c r="S27" s="1263"/>
      <c r="T27" s="1316"/>
      <c r="U27" s="1257"/>
      <c r="V27" s="1257"/>
      <c r="W27" s="1257"/>
      <c r="X27" s="1257"/>
      <c r="Y27" s="1257"/>
      <c r="Z27" s="1290"/>
      <c r="AA27" s="1316"/>
      <c r="AB27" s="1257"/>
      <c r="AC27" s="1257"/>
      <c r="AD27" s="1257"/>
      <c r="AE27" s="1257"/>
      <c r="AF27" s="1257"/>
      <c r="AG27" s="1319"/>
      <c r="AH27" s="633"/>
    </row>
    <row r="28" spans="1:40" s="634" customFormat="1" ht="21" customHeight="1" thickBot="1">
      <c r="A28" s="633"/>
      <c r="B28" s="1333"/>
      <c r="C28" s="1334"/>
      <c r="D28" s="1334"/>
      <c r="E28" s="1335"/>
      <c r="F28" s="1258"/>
      <c r="G28" s="1259"/>
      <c r="H28" s="1259"/>
      <c r="I28" s="1259"/>
      <c r="J28" s="1259"/>
      <c r="K28" s="1259"/>
      <c r="L28" s="1291"/>
      <c r="M28" s="637"/>
      <c r="N28" s="1260">
        <f>IF('3_区分3計算表'!$E$7="あり",SUM('3_区分3計算表'!$F$14,'3_区分3計算表'!J14,'3_区分3計算表'!N14),'3_区分3計算表'!$F$14)</f>
        <v>0</v>
      </c>
      <c r="O28" s="1260"/>
      <c r="P28" s="1260"/>
      <c r="Q28" s="1260"/>
      <c r="R28" s="1260"/>
      <c r="S28" s="638" t="s">
        <v>542</v>
      </c>
      <c r="T28" s="1317"/>
      <c r="U28" s="1259"/>
      <c r="V28" s="1259"/>
      <c r="W28" s="1259"/>
      <c r="X28" s="1259"/>
      <c r="Y28" s="1259"/>
      <c r="Z28" s="1291"/>
      <c r="AA28" s="1317"/>
      <c r="AB28" s="1259"/>
      <c r="AC28" s="1259"/>
      <c r="AD28" s="1259"/>
      <c r="AE28" s="1259"/>
      <c r="AF28" s="1259"/>
      <c r="AG28" s="1320"/>
      <c r="AH28" s="633"/>
    </row>
    <row r="29" spans="1:40" ht="28.5" customHeight="1">
      <c r="B29" s="1131" t="s">
        <v>585</v>
      </c>
      <c r="C29" s="1132"/>
      <c r="D29" s="1132"/>
      <c r="E29" s="1133"/>
      <c r="F29" s="1336" t="s">
        <v>584</v>
      </c>
      <c r="G29" s="1337"/>
      <c r="H29" s="620" t="s">
        <v>576</v>
      </c>
      <c r="I29" s="639"/>
      <c r="J29" s="639"/>
      <c r="K29" s="640"/>
      <c r="L29" s="640"/>
      <c r="M29" s="640"/>
      <c r="N29" s="640"/>
      <c r="O29" s="640"/>
      <c r="P29" s="640"/>
      <c r="Q29" s="640"/>
      <c r="R29" s="640"/>
      <c r="S29" s="641"/>
      <c r="T29" s="641"/>
      <c r="U29" s="641"/>
      <c r="V29" s="640"/>
      <c r="W29" s="640"/>
      <c r="X29" s="640"/>
      <c r="Y29" s="640"/>
      <c r="Z29" s="640"/>
      <c r="AA29" s="640"/>
      <c r="AB29" s="640"/>
      <c r="AC29" s="640"/>
      <c r="AD29" s="640"/>
      <c r="AE29" s="1346"/>
      <c r="AF29" s="1347"/>
      <c r="AG29" s="1348"/>
    </row>
    <row r="30" spans="1:40" ht="28.5" customHeight="1">
      <c r="B30" s="1296"/>
      <c r="C30" s="1297"/>
      <c r="D30" s="1297"/>
      <c r="E30" s="1298"/>
      <c r="F30" s="1338"/>
      <c r="G30" s="1339"/>
      <c r="H30" s="642" t="s">
        <v>574</v>
      </c>
      <c r="I30" s="642"/>
      <c r="J30" s="642"/>
      <c r="K30" s="643"/>
      <c r="L30" s="643"/>
      <c r="M30" s="643"/>
      <c r="N30" s="643"/>
      <c r="O30" s="643"/>
      <c r="P30" s="643"/>
      <c r="Q30" s="643"/>
      <c r="R30" s="643"/>
      <c r="S30" s="644"/>
      <c r="T30" s="644"/>
      <c r="U30" s="644"/>
      <c r="V30" s="643"/>
      <c r="W30" s="643"/>
      <c r="X30" s="643"/>
      <c r="Y30" s="643"/>
      <c r="Z30" s="643"/>
      <c r="AA30" s="643"/>
      <c r="AB30" s="643"/>
      <c r="AC30" s="643"/>
      <c r="AD30" s="643"/>
      <c r="AE30" s="1237"/>
      <c r="AF30" s="1238"/>
      <c r="AG30" s="1239"/>
    </row>
    <row r="31" spans="1:40" ht="28.5" customHeight="1">
      <c r="B31" s="1296"/>
      <c r="C31" s="1297"/>
      <c r="D31" s="1297"/>
      <c r="E31" s="1298"/>
      <c r="F31" s="1338"/>
      <c r="G31" s="1339"/>
      <c r="H31" s="626" t="s">
        <v>575</v>
      </c>
      <c r="K31" s="631"/>
      <c r="L31" s="631"/>
      <c r="M31" s="631"/>
      <c r="N31" s="631"/>
      <c r="O31" s="631"/>
      <c r="P31" s="631"/>
      <c r="Q31" s="631"/>
      <c r="R31" s="631"/>
      <c r="S31" s="584"/>
      <c r="T31" s="584"/>
      <c r="U31" s="584"/>
      <c r="V31" s="631"/>
      <c r="W31" s="631"/>
      <c r="X31" s="631"/>
      <c r="Y31" s="631"/>
      <c r="Z31" s="631"/>
      <c r="AA31" s="631"/>
      <c r="AB31" s="631"/>
      <c r="AC31" s="631"/>
      <c r="AD31" s="631"/>
      <c r="AE31" s="1237"/>
      <c r="AF31" s="1238"/>
      <c r="AG31" s="1239"/>
    </row>
    <row r="32" spans="1:40" ht="28.5" customHeight="1">
      <c r="B32" s="1296"/>
      <c r="C32" s="1297"/>
      <c r="D32" s="1297"/>
      <c r="E32" s="1298"/>
      <c r="F32" s="1338"/>
      <c r="G32" s="1339"/>
      <c r="H32" s="642" t="s">
        <v>583</v>
      </c>
      <c r="I32" s="642"/>
      <c r="J32" s="642"/>
      <c r="K32" s="643"/>
      <c r="L32" s="643"/>
      <c r="M32" s="643"/>
      <c r="N32" s="643"/>
      <c r="O32" s="643"/>
      <c r="P32" s="643"/>
      <c r="Q32" s="643"/>
      <c r="R32" s="643"/>
      <c r="S32" s="644"/>
      <c r="T32" s="644"/>
      <c r="U32" s="644"/>
      <c r="V32" s="643"/>
      <c r="W32" s="643"/>
      <c r="X32" s="643"/>
      <c r="Y32" s="643"/>
      <c r="Z32" s="643"/>
      <c r="AA32" s="643"/>
      <c r="AB32" s="643"/>
      <c r="AC32" s="643"/>
      <c r="AD32" s="643"/>
      <c r="AE32" s="1237"/>
      <c r="AF32" s="1238"/>
      <c r="AG32" s="1239"/>
    </row>
    <row r="33" spans="2:33" ht="28.5" customHeight="1">
      <c r="B33" s="1296"/>
      <c r="C33" s="1297"/>
      <c r="D33" s="1297"/>
      <c r="E33" s="1298"/>
      <c r="F33" s="1338"/>
      <c r="G33" s="1339"/>
      <c r="H33" s="642" t="s">
        <v>571</v>
      </c>
      <c r="I33" s="642"/>
      <c r="J33" s="642"/>
      <c r="K33" s="643"/>
      <c r="L33" s="643"/>
      <c r="M33" s="643"/>
      <c r="N33" s="643"/>
      <c r="O33" s="643"/>
      <c r="P33" s="643"/>
      <c r="Q33" s="643"/>
      <c r="R33" s="643"/>
      <c r="S33" s="644"/>
      <c r="T33" s="644"/>
      <c r="U33" s="644"/>
      <c r="V33" s="643"/>
      <c r="W33" s="643"/>
      <c r="X33" s="643"/>
      <c r="Y33" s="643"/>
      <c r="Z33" s="643"/>
      <c r="AA33" s="643"/>
      <c r="AB33" s="643"/>
      <c r="AC33" s="643"/>
      <c r="AD33" s="643"/>
      <c r="AE33" s="1237"/>
      <c r="AF33" s="1238"/>
      <c r="AG33" s="1239"/>
    </row>
    <row r="34" spans="2:33" ht="28.5" customHeight="1">
      <c r="B34" s="1296"/>
      <c r="C34" s="1297"/>
      <c r="D34" s="1297"/>
      <c r="E34" s="1298"/>
      <c r="F34" s="1338"/>
      <c r="G34" s="1339"/>
      <c r="H34" s="642" t="s">
        <v>570</v>
      </c>
      <c r="I34" s="642"/>
      <c r="J34" s="642"/>
      <c r="K34" s="643"/>
      <c r="L34" s="643"/>
      <c r="M34" s="643"/>
      <c r="N34" s="643"/>
      <c r="O34" s="643"/>
      <c r="P34" s="643"/>
      <c r="Q34" s="643"/>
      <c r="R34" s="643"/>
      <c r="S34" s="644"/>
      <c r="T34" s="644"/>
      <c r="U34" s="644"/>
      <c r="V34" s="643"/>
      <c r="W34" s="643"/>
      <c r="X34" s="643"/>
      <c r="Y34" s="643"/>
      <c r="Z34" s="643"/>
      <c r="AA34" s="643"/>
      <c r="AB34" s="643"/>
      <c r="AC34" s="643"/>
      <c r="AD34" s="643"/>
      <c r="AE34" s="1237"/>
      <c r="AF34" s="1238"/>
      <c r="AG34" s="1239"/>
    </row>
    <row r="35" spans="2:33" ht="28.5" customHeight="1">
      <c r="B35" s="1296"/>
      <c r="C35" s="1297"/>
      <c r="D35" s="1297"/>
      <c r="E35" s="1298"/>
      <c r="F35" s="1338"/>
      <c r="G35" s="1339"/>
      <c r="H35" s="645" t="s">
        <v>569</v>
      </c>
      <c r="I35" s="645"/>
      <c r="J35" s="645"/>
      <c r="K35" s="646"/>
      <c r="L35" s="646"/>
      <c r="M35" s="646"/>
      <c r="N35" s="643"/>
      <c r="O35" s="642"/>
      <c r="P35" s="647"/>
      <c r="Q35" s="647"/>
      <c r="R35" s="647"/>
      <c r="S35" s="642"/>
      <c r="T35" s="642"/>
      <c r="U35" s="642"/>
      <c r="V35" s="647"/>
      <c r="W35" s="647"/>
      <c r="X35" s="647"/>
      <c r="Y35" s="647"/>
      <c r="Z35" s="647"/>
      <c r="AA35" s="647"/>
      <c r="AB35" s="647"/>
      <c r="AC35" s="647"/>
      <c r="AD35" s="647"/>
      <c r="AE35" s="1237"/>
      <c r="AF35" s="1238"/>
      <c r="AG35" s="1239"/>
    </row>
    <row r="36" spans="2:33" ht="28.5" customHeight="1">
      <c r="B36" s="1296"/>
      <c r="C36" s="1297"/>
      <c r="D36" s="1297"/>
      <c r="E36" s="1298"/>
      <c r="F36" s="1338"/>
      <c r="G36" s="1339"/>
      <c r="H36" s="642" t="s">
        <v>582</v>
      </c>
      <c r="I36" s="642"/>
      <c r="J36" s="642"/>
      <c r="K36" s="643"/>
      <c r="L36" s="643"/>
      <c r="M36" s="643"/>
      <c r="N36" s="643"/>
      <c r="O36" s="643"/>
      <c r="P36" s="643"/>
      <c r="Q36" s="643"/>
      <c r="R36" s="643"/>
      <c r="S36" s="644"/>
      <c r="T36" s="644"/>
      <c r="U36" s="644"/>
      <c r="V36" s="643"/>
      <c r="W36" s="643"/>
      <c r="X36" s="643"/>
      <c r="Y36" s="643"/>
      <c r="Z36" s="643"/>
      <c r="AA36" s="643"/>
      <c r="AB36" s="643"/>
      <c r="AC36" s="643"/>
      <c r="AD36" s="643"/>
      <c r="AE36" s="1237"/>
      <c r="AF36" s="1238"/>
      <c r="AG36" s="1239"/>
    </row>
    <row r="37" spans="2:33" ht="28.5" customHeight="1">
      <c r="B37" s="1296"/>
      <c r="C37" s="1297"/>
      <c r="D37" s="1297"/>
      <c r="E37" s="1298"/>
      <c r="F37" s="1338"/>
      <c r="G37" s="1339"/>
      <c r="H37" s="648" t="s">
        <v>568</v>
      </c>
      <c r="I37" s="642"/>
      <c r="J37" s="642"/>
      <c r="K37" s="643"/>
      <c r="L37" s="643"/>
      <c r="M37" s="643"/>
      <c r="N37" s="643"/>
      <c r="O37" s="643"/>
      <c r="P37" s="643"/>
      <c r="Q37" s="643"/>
      <c r="R37" s="643"/>
      <c r="S37" s="644"/>
      <c r="T37" s="644"/>
      <c r="U37" s="644"/>
      <c r="V37" s="643"/>
      <c r="W37" s="643"/>
      <c r="X37" s="643"/>
      <c r="Y37" s="643"/>
      <c r="Z37" s="643"/>
      <c r="AA37" s="643"/>
      <c r="AB37" s="643"/>
      <c r="AC37" s="643"/>
      <c r="AD37" s="649"/>
      <c r="AE37" s="1237"/>
      <c r="AF37" s="1238"/>
      <c r="AG37" s="1239"/>
    </row>
    <row r="38" spans="2:33" ht="28.5" customHeight="1">
      <c r="B38" s="1296"/>
      <c r="C38" s="1297"/>
      <c r="D38" s="1297"/>
      <c r="E38" s="1298"/>
      <c r="F38" s="1338"/>
      <c r="G38" s="1339"/>
      <c r="H38" s="626" t="s">
        <v>567</v>
      </c>
      <c r="I38" s="626"/>
      <c r="J38" s="626"/>
      <c r="K38" s="650"/>
      <c r="L38" s="650"/>
      <c r="M38" s="650"/>
      <c r="N38" s="650"/>
      <c r="O38" s="650"/>
      <c r="P38" s="650"/>
      <c r="Q38" s="650"/>
      <c r="R38" s="650"/>
      <c r="S38" s="651"/>
      <c r="T38" s="651"/>
      <c r="U38" s="651"/>
      <c r="V38" s="650"/>
      <c r="W38" s="650"/>
      <c r="X38" s="650"/>
      <c r="Y38" s="650"/>
      <c r="Z38" s="650"/>
      <c r="AA38" s="650"/>
      <c r="AB38" s="650"/>
      <c r="AC38" s="650"/>
      <c r="AD38" s="650"/>
      <c r="AE38" s="1237"/>
      <c r="AF38" s="1238"/>
      <c r="AG38" s="1239"/>
    </row>
    <row r="39" spans="2:33" ht="28.5" customHeight="1">
      <c r="B39" s="1296"/>
      <c r="C39" s="1297"/>
      <c r="D39" s="1297"/>
      <c r="E39" s="1298"/>
      <c r="F39" s="1338"/>
      <c r="G39" s="1339"/>
      <c r="H39" s="652" t="s">
        <v>566</v>
      </c>
      <c r="I39" s="645"/>
      <c r="J39" s="645"/>
      <c r="K39" s="646"/>
      <c r="L39" s="646"/>
      <c r="M39" s="646"/>
      <c r="N39" s="646"/>
      <c r="O39" s="646"/>
      <c r="P39" s="646"/>
      <c r="Q39" s="646"/>
      <c r="R39" s="646"/>
      <c r="S39" s="653"/>
      <c r="T39" s="653"/>
      <c r="U39" s="653"/>
      <c r="V39" s="646"/>
      <c r="W39" s="646"/>
      <c r="X39" s="646"/>
      <c r="Y39" s="646"/>
      <c r="Z39" s="646"/>
      <c r="AA39" s="646"/>
      <c r="AB39" s="646"/>
      <c r="AC39" s="646"/>
      <c r="AD39" s="646"/>
      <c r="AE39" s="1273"/>
      <c r="AF39" s="1274"/>
      <c r="AG39" s="1275"/>
    </row>
    <row r="40" spans="2:33" ht="28.5" customHeight="1">
      <c r="B40" s="1296"/>
      <c r="C40" s="1297"/>
      <c r="D40" s="1297"/>
      <c r="E40" s="1298"/>
      <c r="F40" s="1338"/>
      <c r="G40" s="1339"/>
      <c r="H40" s="648" t="s">
        <v>554</v>
      </c>
      <c r="I40" s="642"/>
      <c r="J40" s="642"/>
      <c r="K40" s="643"/>
      <c r="L40" s="643"/>
      <c r="M40" s="643"/>
      <c r="N40" s="643"/>
      <c r="O40" s="643"/>
      <c r="P40" s="643"/>
      <c r="Q40" s="643"/>
      <c r="R40" s="643"/>
      <c r="S40" s="644"/>
      <c r="T40" s="644"/>
      <c r="U40" s="644"/>
      <c r="V40" s="643"/>
      <c r="W40" s="643"/>
      <c r="X40" s="643"/>
      <c r="Y40" s="643"/>
      <c r="Z40" s="643"/>
      <c r="AA40" s="643"/>
      <c r="AB40" s="643"/>
      <c r="AC40" s="643"/>
      <c r="AD40" s="643"/>
      <c r="AE40" s="1237"/>
      <c r="AF40" s="1238"/>
      <c r="AG40" s="1239"/>
    </row>
    <row r="41" spans="2:33" ht="28.5" customHeight="1">
      <c r="B41" s="1296"/>
      <c r="C41" s="1297"/>
      <c r="D41" s="1297"/>
      <c r="E41" s="1298"/>
      <c r="F41" s="1338"/>
      <c r="G41" s="1339"/>
      <c r="H41" s="654" t="s">
        <v>565</v>
      </c>
      <c r="I41" s="626"/>
      <c r="J41" s="626"/>
      <c r="K41" s="650"/>
      <c r="L41" s="650"/>
      <c r="M41" s="650"/>
      <c r="N41" s="650"/>
      <c r="O41" s="650"/>
      <c r="P41" s="650"/>
      <c r="Q41" s="650"/>
      <c r="R41" s="650"/>
      <c r="S41" s="651"/>
      <c r="T41" s="651"/>
      <c r="U41" s="651"/>
      <c r="V41" s="650"/>
      <c r="W41" s="650"/>
      <c r="X41" s="650"/>
      <c r="Y41" s="650"/>
      <c r="Z41" s="650"/>
      <c r="AA41" s="650"/>
      <c r="AB41" s="650"/>
      <c r="AC41" s="650"/>
      <c r="AD41" s="650"/>
      <c r="AE41" s="1309"/>
      <c r="AF41" s="1269"/>
      <c r="AG41" s="1270"/>
    </row>
    <row r="42" spans="2:33" ht="28.5" customHeight="1" thickBot="1">
      <c r="B42" s="1299"/>
      <c r="C42" s="1300"/>
      <c r="D42" s="1300"/>
      <c r="E42" s="1301"/>
      <c r="F42" s="1340"/>
      <c r="G42" s="1341"/>
      <c r="H42" s="655" t="s">
        <v>563</v>
      </c>
      <c r="I42" s="656"/>
      <c r="J42" s="656"/>
      <c r="K42" s="657"/>
      <c r="L42" s="657"/>
      <c r="M42" s="657"/>
      <c r="N42" s="657"/>
      <c r="O42" s="657"/>
      <c r="P42" s="657"/>
      <c r="Q42" s="657"/>
      <c r="R42" s="657"/>
      <c r="S42" s="658"/>
      <c r="T42" s="658"/>
      <c r="U42" s="658"/>
      <c r="V42" s="657"/>
      <c r="W42" s="657"/>
      <c r="X42" s="657"/>
      <c r="Y42" s="657"/>
      <c r="Z42" s="657"/>
      <c r="AA42" s="657"/>
      <c r="AB42" s="657"/>
      <c r="AC42" s="657"/>
      <c r="AD42" s="657"/>
      <c r="AE42" s="1286"/>
      <c r="AF42" s="1287"/>
      <c r="AG42" s="1288"/>
    </row>
    <row r="43" spans="2:33" s="624" customFormat="1" ht="9.75" customHeight="1"/>
    <row r="44" spans="2:33" s="624" customFormat="1" ht="9.75" customHeight="1" thickBot="1"/>
    <row r="45" spans="2:33" ht="28.5" customHeight="1">
      <c r="B45" s="1131" t="s">
        <v>561</v>
      </c>
      <c r="C45" s="1132"/>
      <c r="D45" s="1132"/>
      <c r="E45" s="1133"/>
      <c r="F45" s="1336" t="s">
        <v>581</v>
      </c>
      <c r="G45" s="1337"/>
      <c r="H45" s="659" t="s">
        <v>576</v>
      </c>
      <c r="I45" s="620"/>
      <c r="J45" s="620"/>
      <c r="K45" s="660"/>
      <c r="L45" s="660"/>
      <c r="M45" s="660"/>
      <c r="N45" s="660"/>
      <c r="O45" s="660"/>
      <c r="P45" s="660"/>
      <c r="Q45" s="660"/>
      <c r="R45" s="660"/>
      <c r="S45" s="661"/>
      <c r="T45" s="661"/>
      <c r="U45" s="661"/>
      <c r="V45" s="660"/>
      <c r="W45" s="660"/>
      <c r="X45" s="660"/>
      <c r="Y45" s="660"/>
      <c r="Z45" s="660"/>
      <c r="AA45" s="660"/>
      <c r="AB45" s="660"/>
      <c r="AC45" s="660"/>
      <c r="AD45" s="662"/>
      <c r="AE45" s="1242"/>
      <c r="AF45" s="1243"/>
      <c r="AG45" s="1244"/>
    </row>
    <row r="46" spans="2:33" ht="28.5" customHeight="1">
      <c r="B46" s="1296"/>
      <c r="C46" s="1297"/>
      <c r="D46" s="1297"/>
      <c r="E46" s="1298"/>
      <c r="F46" s="1338"/>
      <c r="G46" s="1339"/>
      <c r="H46" s="626" t="s">
        <v>575</v>
      </c>
      <c r="I46" s="626"/>
      <c r="J46" s="626"/>
      <c r="K46" s="650"/>
      <c r="L46" s="650"/>
      <c r="M46" s="650"/>
      <c r="N46" s="650"/>
      <c r="O46" s="650"/>
      <c r="P46" s="650"/>
      <c r="Q46" s="650"/>
      <c r="R46" s="650"/>
      <c r="S46" s="651"/>
      <c r="T46" s="651"/>
      <c r="U46" s="651"/>
      <c r="V46" s="650"/>
      <c r="W46" s="650"/>
      <c r="X46" s="650"/>
      <c r="Y46" s="650"/>
      <c r="Z46" s="650"/>
      <c r="AA46" s="650"/>
      <c r="AB46" s="650"/>
      <c r="AC46" s="650"/>
      <c r="AD46" s="663"/>
      <c r="AE46" s="1268"/>
      <c r="AF46" s="1269"/>
      <c r="AG46" s="1270"/>
    </row>
    <row r="47" spans="2:33" ht="28.5" customHeight="1">
      <c r="B47" s="1296"/>
      <c r="C47" s="1297"/>
      <c r="D47" s="1297"/>
      <c r="E47" s="1298"/>
      <c r="F47" s="1338"/>
      <c r="G47" s="1339"/>
      <c r="H47" s="626" t="s">
        <v>557</v>
      </c>
      <c r="I47" s="626"/>
      <c r="J47" s="626"/>
      <c r="K47" s="650"/>
      <c r="L47" s="650"/>
      <c r="M47" s="650"/>
      <c r="N47" s="650"/>
      <c r="O47" s="650"/>
      <c r="P47" s="650"/>
      <c r="Q47" s="650"/>
      <c r="R47" s="650"/>
      <c r="S47" s="651"/>
      <c r="T47" s="651"/>
      <c r="U47" s="651"/>
      <c r="V47" s="650"/>
      <c r="W47" s="650"/>
      <c r="X47" s="650"/>
      <c r="Y47" s="650"/>
      <c r="Z47" s="650"/>
      <c r="AA47" s="650"/>
      <c r="AB47" s="650"/>
      <c r="AC47" s="650"/>
      <c r="AD47" s="663"/>
      <c r="AE47" s="1268"/>
      <c r="AF47" s="1269"/>
      <c r="AG47" s="1270"/>
    </row>
    <row r="48" spans="2:33" ht="28.5" customHeight="1">
      <c r="B48" s="1296"/>
      <c r="C48" s="1297"/>
      <c r="D48" s="1297"/>
      <c r="E48" s="1298"/>
      <c r="F48" s="1338"/>
      <c r="G48" s="1339"/>
      <c r="H48" s="626" t="s">
        <v>556</v>
      </c>
      <c r="I48" s="626"/>
      <c r="J48" s="626"/>
      <c r="K48" s="650"/>
      <c r="L48" s="650"/>
      <c r="M48" s="650"/>
      <c r="N48" s="650"/>
      <c r="O48" s="650"/>
      <c r="P48" s="650"/>
      <c r="Q48" s="650"/>
      <c r="R48" s="650"/>
      <c r="S48" s="651"/>
      <c r="T48" s="651"/>
      <c r="U48" s="651"/>
      <c r="V48" s="650"/>
      <c r="W48" s="650"/>
      <c r="X48" s="650"/>
      <c r="Y48" s="650"/>
      <c r="Z48" s="650"/>
      <c r="AA48" s="650"/>
      <c r="AB48" s="650"/>
      <c r="AC48" s="650"/>
      <c r="AD48" s="663"/>
      <c r="AE48" s="1268"/>
      <c r="AF48" s="1269"/>
      <c r="AG48" s="1270"/>
    </row>
    <row r="49" spans="2:33" ht="28.5" customHeight="1">
      <c r="B49" s="1296"/>
      <c r="C49" s="1297"/>
      <c r="D49" s="1297"/>
      <c r="E49" s="1298"/>
      <c r="F49" s="1338"/>
      <c r="G49" s="1339"/>
      <c r="H49" s="642" t="s">
        <v>580</v>
      </c>
      <c r="I49" s="642"/>
      <c r="J49" s="642"/>
      <c r="K49" s="643"/>
      <c r="L49" s="643"/>
      <c r="M49" s="643"/>
      <c r="N49" s="643"/>
      <c r="O49" s="643"/>
      <c r="P49" s="643"/>
      <c r="Q49" s="643"/>
      <c r="R49" s="643"/>
      <c r="S49" s="644"/>
      <c r="T49" s="644"/>
      <c r="U49" s="644"/>
      <c r="V49" s="643"/>
      <c r="W49" s="643"/>
      <c r="X49" s="643"/>
      <c r="Y49" s="643"/>
      <c r="Z49" s="643"/>
      <c r="AA49" s="643"/>
      <c r="AB49" s="643"/>
      <c r="AC49" s="643"/>
      <c r="AD49" s="664"/>
      <c r="AE49" s="1267"/>
      <c r="AF49" s="1238"/>
      <c r="AG49" s="1239"/>
    </row>
    <row r="50" spans="2:33" ht="28.5" customHeight="1">
      <c r="B50" s="1296"/>
      <c r="C50" s="1297"/>
      <c r="D50" s="1297"/>
      <c r="E50" s="1298"/>
      <c r="F50" s="1338"/>
      <c r="G50" s="1339"/>
      <c r="H50" s="642" t="s">
        <v>579</v>
      </c>
      <c r="I50" s="642"/>
      <c r="J50" s="642"/>
      <c r="K50" s="643"/>
      <c r="L50" s="643"/>
      <c r="M50" s="643"/>
      <c r="N50" s="643"/>
      <c r="O50" s="643"/>
      <c r="P50" s="643"/>
      <c r="Q50" s="643"/>
      <c r="R50" s="643"/>
      <c r="S50" s="644"/>
      <c r="T50" s="644"/>
      <c r="U50" s="644"/>
      <c r="V50" s="643"/>
      <c r="W50" s="643"/>
      <c r="X50" s="643"/>
      <c r="Y50" s="643"/>
      <c r="Z50" s="643"/>
      <c r="AA50" s="643"/>
      <c r="AB50" s="643"/>
      <c r="AC50" s="643"/>
      <c r="AD50" s="664"/>
      <c r="AE50" s="1267"/>
      <c r="AF50" s="1238"/>
      <c r="AG50" s="1239"/>
    </row>
    <row r="51" spans="2:33" ht="28.5" customHeight="1">
      <c r="B51" s="1296"/>
      <c r="C51" s="1297"/>
      <c r="D51" s="1297"/>
      <c r="E51" s="1298"/>
      <c r="F51" s="1338"/>
      <c r="G51" s="1339"/>
      <c r="H51" s="642" t="s">
        <v>555</v>
      </c>
      <c r="I51" s="642"/>
      <c r="J51" s="642"/>
      <c r="K51" s="643"/>
      <c r="L51" s="643"/>
      <c r="M51" s="643"/>
      <c r="N51" s="643"/>
      <c r="O51" s="643"/>
      <c r="P51" s="643"/>
      <c r="Q51" s="643"/>
      <c r="R51" s="643"/>
      <c r="S51" s="644"/>
      <c r="T51" s="644"/>
      <c r="U51" s="644"/>
      <c r="V51" s="643"/>
      <c r="W51" s="643"/>
      <c r="X51" s="643"/>
      <c r="Y51" s="643"/>
      <c r="Z51" s="643"/>
      <c r="AA51" s="643"/>
      <c r="AB51" s="643"/>
      <c r="AC51" s="643"/>
      <c r="AD51" s="664"/>
      <c r="AE51" s="1267"/>
      <c r="AF51" s="1238"/>
      <c r="AG51" s="1239"/>
    </row>
    <row r="52" spans="2:33" ht="28.5" customHeight="1">
      <c r="B52" s="1296"/>
      <c r="C52" s="1297"/>
      <c r="D52" s="1297"/>
      <c r="E52" s="1298"/>
      <c r="F52" s="1338"/>
      <c r="G52" s="1339"/>
      <c r="H52" s="645" t="s">
        <v>578</v>
      </c>
      <c r="I52" s="645"/>
      <c r="J52" s="645"/>
      <c r="K52" s="646"/>
      <c r="L52" s="646"/>
      <c r="M52" s="646"/>
      <c r="N52" s="646"/>
      <c r="O52" s="646"/>
      <c r="P52" s="646"/>
      <c r="Q52" s="646"/>
      <c r="R52" s="646"/>
      <c r="S52" s="653"/>
      <c r="T52" s="653"/>
      <c r="U52" s="653"/>
      <c r="V52" s="646"/>
      <c r="W52" s="646"/>
      <c r="X52" s="646"/>
      <c r="Y52" s="646"/>
      <c r="Z52" s="646"/>
      <c r="AA52" s="646"/>
      <c r="AB52" s="646"/>
      <c r="AC52" s="646"/>
      <c r="AD52" s="665"/>
      <c r="AE52" s="1267"/>
      <c r="AF52" s="1238"/>
      <c r="AG52" s="1239"/>
    </row>
    <row r="53" spans="2:33" ht="28.5" customHeight="1" thickBot="1">
      <c r="B53" s="1296"/>
      <c r="C53" s="1297"/>
      <c r="D53" s="1297"/>
      <c r="E53" s="1298"/>
      <c r="F53" s="1351"/>
      <c r="G53" s="1352"/>
      <c r="H53" s="666" t="s">
        <v>554</v>
      </c>
      <c r="I53" s="667"/>
      <c r="J53" s="667"/>
      <c r="K53" s="668"/>
      <c r="L53" s="668"/>
      <c r="M53" s="668"/>
      <c r="N53" s="668"/>
      <c r="O53" s="668"/>
      <c r="P53" s="668"/>
      <c r="Q53" s="668"/>
      <c r="R53" s="668"/>
      <c r="S53" s="669"/>
      <c r="T53" s="669"/>
      <c r="U53" s="669"/>
      <c r="V53" s="668"/>
      <c r="W53" s="668"/>
      <c r="X53" s="668"/>
      <c r="Y53" s="668"/>
      <c r="Z53" s="668"/>
      <c r="AA53" s="668"/>
      <c r="AB53" s="668"/>
      <c r="AC53" s="668"/>
      <c r="AD53" s="670"/>
      <c r="AE53" s="1313"/>
      <c r="AF53" s="1287"/>
      <c r="AG53" s="1288"/>
    </row>
    <row r="54" spans="2:33" ht="28.5" customHeight="1">
      <c r="B54" s="1296"/>
      <c r="C54" s="1297"/>
      <c r="D54" s="1297"/>
      <c r="E54" s="1298"/>
      <c r="F54" s="1353" t="s">
        <v>577</v>
      </c>
      <c r="G54" s="1354"/>
      <c r="H54" s="620" t="s">
        <v>576</v>
      </c>
      <c r="I54" s="620"/>
      <c r="J54" s="620"/>
      <c r="K54" s="660"/>
      <c r="L54" s="660"/>
      <c r="M54" s="660"/>
      <c r="N54" s="660"/>
      <c r="O54" s="660"/>
      <c r="P54" s="660"/>
      <c r="Q54" s="660"/>
      <c r="R54" s="660"/>
      <c r="S54" s="661"/>
      <c r="T54" s="661"/>
      <c r="U54" s="661"/>
      <c r="V54" s="660"/>
      <c r="W54" s="660"/>
      <c r="X54" s="660"/>
      <c r="Y54" s="660"/>
      <c r="Z54" s="660"/>
      <c r="AA54" s="660"/>
      <c r="AB54" s="660"/>
      <c r="AC54" s="660"/>
      <c r="AD54" s="662"/>
      <c r="AE54" s="1240" t="str">
        <f>IF('3_区分3計算表'!$E27="あり","有","無")</f>
        <v>無</v>
      </c>
      <c r="AF54" s="1240"/>
      <c r="AG54" s="1241"/>
    </row>
    <row r="55" spans="2:33" ht="28.5" customHeight="1">
      <c r="B55" s="1296"/>
      <c r="C55" s="1297"/>
      <c r="D55" s="1297"/>
      <c r="E55" s="1298"/>
      <c r="F55" s="1355"/>
      <c r="G55" s="1356"/>
      <c r="H55" s="648" t="s">
        <v>575</v>
      </c>
      <c r="I55" s="642"/>
      <c r="J55" s="642"/>
      <c r="K55" s="643"/>
      <c r="L55" s="643"/>
      <c r="M55" s="643"/>
      <c r="N55" s="643"/>
      <c r="O55" s="643"/>
      <c r="P55" s="643"/>
      <c r="Q55" s="643"/>
      <c r="R55" s="643"/>
      <c r="S55" s="644"/>
      <c r="T55" s="644"/>
      <c r="U55" s="644"/>
      <c r="V55" s="643"/>
      <c r="W55" s="643"/>
      <c r="X55" s="643"/>
      <c r="Y55" s="643"/>
      <c r="Z55" s="643"/>
      <c r="AA55" s="643"/>
      <c r="AB55" s="643"/>
      <c r="AC55" s="643"/>
      <c r="AD55" s="664"/>
      <c r="AE55" s="1294" t="str">
        <f>IF('3_区分3計算表'!$E25="あり","有","無")</f>
        <v>無</v>
      </c>
      <c r="AF55" s="1294"/>
      <c r="AG55" s="1295"/>
    </row>
    <row r="56" spans="2:33" ht="28.5" customHeight="1">
      <c r="B56" s="1296"/>
      <c r="C56" s="1297"/>
      <c r="D56" s="1297"/>
      <c r="E56" s="1298"/>
      <c r="F56" s="1355"/>
      <c r="G56" s="1356"/>
      <c r="H56" s="626" t="s">
        <v>557</v>
      </c>
      <c r="I56" s="626"/>
      <c r="J56" s="626"/>
      <c r="K56" s="650"/>
      <c r="L56" s="650"/>
      <c r="M56" s="650"/>
      <c r="N56" s="650"/>
      <c r="O56" s="650"/>
      <c r="P56" s="650"/>
      <c r="Q56" s="650"/>
      <c r="R56" s="650"/>
      <c r="S56" s="651"/>
      <c r="T56" s="651"/>
      <c r="U56" s="651"/>
      <c r="V56" s="650"/>
      <c r="W56" s="650"/>
      <c r="X56" s="650"/>
      <c r="Y56" s="650"/>
      <c r="Z56" s="650"/>
      <c r="AA56" s="650"/>
      <c r="AB56" s="650"/>
      <c r="AC56" s="650"/>
      <c r="AD56" s="663"/>
      <c r="AE56" s="1245" t="str">
        <f>IF('3_区分3計算表'!$E30="あり","有","無")</f>
        <v>無</v>
      </c>
      <c r="AF56" s="1245"/>
      <c r="AG56" s="1246"/>
    </row>
    <row r="57" spans="2:33" ht="28.5" customHeight="1">
      <c r="B57" s="1296"/>
      <c r="C57" s="1297"/>
      <c r="D57" s="1297"/>
      <c r="E57" s="1298"/>
      <c r="F57" s="1355"/>
      <c r="G57" s="1356"/>
      <c r="H57" s="642" t="s">
        <v>574</v>
      </c>
      <c r="I57" s="642"/>
      <c r="J57" s="642"/>
      <c r="K57" s="643"/>
      <c r="L57" s="643"/>
      <c r="M57" s="643"/>
      <c r="N57" s="643"/>
      <c r="O57" s="643"/>
      <c r="P57" s="643"/>
      <c r="Q57" s="643"/>
      <c r="R57" s="643"/>
      <c r="S57" s="644"/>
      <c r="T57" s="644"/>
      <c r="U57" s="644"/>
      <c r="V57" s="643"/>
      <c r="W57" s="643"/>
      <c r="X57" s="643"/>
      <c r="Y57" s="643"/>
      <c r="Z57" s="643"/>
      <c r="AA57" s="643"/>
      <c r="AB57" s="643"/>
      <c r="AC57" s="643"/>
      <c r="AD57" s="664"/>
      <c r="AE57" s="1294" t="str">
        <f>IF('3_区分3計算表'!$E28="あり","有","無")</f>
        <v>無</v>
      </c>
      <c r="AF57" s="1294"/>
      <c r="AG57" s="1295"/>
    </row>
    <row r="58" spans="2:33" ht="28.5" customHeight="1">
      <c r="B58" s="1296"/>
      <c r="C58" s="1297"/>
      <c r="D58" s="1297"/>
      <c r="E58" s="1298"/>
      <c r="F58" s="1355"/>
      <c r="G58" s="1356"/>
      <c r="H58" s="626" t="s">
        <v>556</v>
      </c>
      <c r="I58" s="626"/>
      <c r="J58" s="626"/>
      <c r="K58" s="650"/>
      <c r="L58" s="650"/>
      <c r="M58" s="650"/>
      <c r="N58" s="650"/>
      <c r="O58" s="650"/>
      <c r="P58" s="650"/>
      <c r="Q58" s="650"/>
      <c r="R58" s="650"/>
      <c r="S58" s="651"/>
      <c r="T58" s="651"/>
      <c r="U58" s="651"/>
      <c r="V58" s="650"/>
      <c r="W58" s="650"/>
      <c r="X58" s="650"/>
      <c r="Y58" s="650"/>
      <c r="Z58" s="650"/>
      <c r="AA58" s="650"/>
      <c r="AB58" s="650"/>
      <c r="AC58" s="650"/>
      <c r="AD58" s="663"/>
      <c r="AE58" s="1294" t="str">
        <f>IF('3_区分3計算表'!$E35="あり","有","無")</f>
        <v>無</v>
      </c>
      <c r="AF58" s="1294"/>
      <c r="AG58" s="1295"/>
    </row>
    <row r="59" spans="2:33" ht="28.5" customHeight="1">
      <c r="B59" s="1296"/>
      <c r="C59" s="1297"/>
      <c r="D59" s="1297"/>
      <c r="E59" s="1298"/>
      <c r="F59" s="1355"/>
      <c r="G59" s="1356"/>
      <c r="H59" s="626" t="s">
        <v>573</v>
      </c>
      <c r="I59" s="626"/>
      <c r="J59" s="626"/>
      <c r="K59" s="650"/>
      <c r="L59" s="650"/>
      <c r="M59" s="650"/>
      <c r="N59" s="650"/>
      <c r="O59" s="650"/>
      <c r="P59" s="650"/>
      <c r="Q59" s="650"/>
      <c r="R59" s="650"/>
      <c r="S59" s="651"/>
      <c r="T59" s="651"/>
      <c r="U59" s="651"/>
      <c r="V59" s="650"/>
      <c r="W59" s="650"/>
      <c r="X59" s="650"/>
      <c r="Y59" s="650"/>
      <c r="Z59" s="650"/>
      <c r="AA59" s="650"/>
      <c r="AB59" s="650"/>
      <c r="AC59" s="650"/>
      <c r="AD59" s="663"/>
      <c r="AE59" s="1294" t="str">
        <f>IF('3_区分3計算表'!$E36="あり","有","無")</f>
        <v>無</v>
      </c>
      <c r="AF59" s="1294"/>
      <c r="AG59" s="1295"/>
    </row>
    <row r="60" spans="2:33" ht="28.5" customHeight="1">
      <c r="B60" s="1296"/>
      <c r="C60" s="1297"/>
      <c r="D60" s="1297"/>
      <c r="E60" s="1298"/>
      <c r="F60" s="1355"/>
      <c r="G60" s="1356"/>
      <c r="H60" s="642" t="s">
        <v>572</v>
      </c>
      <c r="I60" s="642"/>
      <c r="J60" s="642"/>
      <c r="K60" s="643"/>
      <c r="L60" s="643"/>
      <c r="M60" s="643"/>
      <c r="N60" s="643"/>
      <c r="O60" s="643"/>
      <c r="P60" s="643"/>
      <c r="Q60" s="643"/>
      <c r="R60" s="643"/>
      <c r="S60" s="644"/>
      <c r="T60" s="644"/>
      <c r="U60" s="644"/>
      <c r="V60" s="643"/>
      <c r="W60" s="643"/>
      <c r="X60" s="643"/>
      <c r="Y60" s="643"/>
      <c r="Z60" s="643"/>
      <c r="AA60" s="643"/>
      <c r="AB60" s="643"/>
      <c r="AC60" s="643"/>
      <c r="AD60" s="664"/>
      <c r="AE60" s="1294" t="str">
        <f>IF('3_区分3計算表'!$E37="あり","有","無")</f>
        <v>無</v>
      </c>
      <c r="AF60" s="1294"/>
      <c r="AG60" s="1295"/>
    </row>
    <row r="61" spans="2:33" ht="28.5" customHeight="1">
      <c r="B61" s="1296"/>
      <c r="C61" s="1297"/>
      <c r="D61" s="1297"/>
      <c r="E61" s="1298"/>
      <c r="F61" s="1355"/>
      <c r="G61" s="1356"/>
      <c r="H61" s="642" t="s">
        <v>571</v>
      </c>
      <c r="I61" s="642"/>
      <c r="J61" s="642"/>
      <c r="K61" s="643"/>
      <c r="L61" s="643"/>
      <c r="M61" s="643"/>
      <c r="N61" s="643"/>
      <c r="O61" s="643"/>
      <c r="P61" s="643"/>
      <c r="Q61" s="643"/>
      <c r="R61" s="643"/>
      <c r="S61" s="644"/>
      <c r="T61" s="644"/>
      <c r="U61" s="644"/>
      <c r="V61" s="643"/>
      <c r="W61" s="643"/>
      <c r="X61" s="643"/>
      <c r="Y61" s="643"/>
      <c r="Z61" s="643"/>
      <c r="AA61" s="643"/>
      <c r="AB61" s="643"/>
      <c r="AC61" s="643"/>
      <c r="AD61" s="664"/>
      <c r="AE61" s="1294" t="str">
        <f>IF('3_区分3計算表'!$E38="あり","有","無")</f>
        <v>無</v>
      </c>
      <c r="AF61" s="1294"/>
      <c r="AG61" s="1295"/>
    </row>
    <row r="62" spans="2:33" ht="28.5" customHeight="1">
      <c r="B62" s="1296"/>
      <c r="C62" s="1297"/>
      <c r="D62" s="1297"/>
      <c r="E62" s="1298"/>
      <c r="F62" s="1355"/>
      <c r="G62" s="1356"/>
      <c r="H62" s="642" t="s">
        <v>570</v>
      </c>
      <c r="I62" s="642"/>
      <c r="J62" s="642"/>
      <c r="K62" s="643"/>
      <c r="L62" s="643"/>
      <c r="M62" s="643"/>
      <c r="N62" s="643"/>
      <c r="O62" s="643"/>
      <c r="P62" s="643"/>
      <c r="Q62" s="643"/>
      <c r="R62" s="643"/>
      <c r="S62" s="644"/>
      <c r="T62" s="644"/>
      <c r="U62" s="644"/>
      <c r="V62" s="643"/>
      <c r="W62" s="643"/>
      <c r="X62" s="643"/>
      <c r="Y62" s="643"/>
      <c r="Z62" s="643"/>
      <c r="AA62" s="643"/>
      <c r="AB62" s="643"/>
      <c r="AC62" s="643"/>
      <c r="AD62" s="664"/>
      <c r="AE62" s="1294" t="str">
        <f>IF('3_区分3計算表'!$E39="あり","有","無")</f>
        <v>無</v>
      </c>
      <c r="AF62" s="1294"/>
      <c r="AG62" s="1295"/>
    </row>
    <row r="63" spans="2:33" ht="28.5" customHeight="1">
      <c r="B63" s="1296"/>
      <c r="C63" s="1297"/>
      <c r="D63" s="1297"/>
      <c r="E63" s="1298"/>
      <c r="F63" s="1355"/>
      <c r="G63" s="1356"/>
      <c r="H63" s="645" t="s">
        <v>569</v>
      </c>
      <c r="I63" s="645"/>
      <c r="J63" s="645"/>
      <c r="K63" s="646"/>
      <c r="L63" s="646"/>
      <c r="M63" s="646"/>
      <c r="N63" s="646"/>
      <c r="O63" s="642"/>
      <c r="P63" s="647"/>
      <c r="Q63" s="647"/>
      <c r="R63" s="647"/>
      <c r="S63" s="642"/>
      <c r="T63" s="642"/>
      <c r="U63" s="642"/>
      <c r="V63" s="647"/>
      <c r="W63" s="647"/>
      <c r="X63" s="647"/>
      <c r="Y63" s="647"/>
      <c r="Z63" s="647"/>
      <c r="AA63" s="647"/>
      <c r="AB63" s="647"/>
      <c r="AC63" s="647"/>
      <c r="AD63" s="671"/>
      <c r="AE63" s="1294" t="str">
        <f>IF('3_区分3計算表'!$E40="あり","有","無")</f>
        <v>無</v>
      </c>
      <c r="AF63" s="1294"/>
      <c r="AG63" s="1295"/>
    </row>
    <row r="64" spans="2:33" ht="28.5" customHeight="1">
      <c r="B64" s="1296"/>
      <c r="C64" s="1297"/>
      <c r="D64" s="1297"/>
      <c r="E64" s="1298"/>
      <c r="F64" s="1355"/>
      <c r="G64" s="1356"/>
      <c r="H64" s="642" t="s">
        <v>555</v>
      </c>
      <c r="I64" s="642"/>
      <c r="J64" s="642"/>
      <c r="K64" s="643"/>
      <c r="L64" s="643"/>
      <c r="M64" s="643"/>
      <c r="N64" s="643"/>
      <c r="O64" s="643"/>
      <c r="P64" s="643"/>
      <c r="Q64" s="643"/>
      <c r="R64" s="643"/>
      <c r="S64" s="644"/>
      <c r="T64" s="644"/>
      <c r="U64" s="644"/>
      <c r="V64" s="643"/>
      <c r="W64" s="643"/>
      <c r="X64" s="643"/>
      <c r="Y64" s="643"/>
      <c r="Z64" s="643"/>
      <c r="AA64" s="643"/>
      <c r="AB64" s="643"/>
      <c r="AC64" s="643"/>
      <c r="AD64" s="664"/>
      <c r="AE64" s="1294" t="str">
        <f>IF('3_区分3計算表'!$E41="あり","有","無")</f>
        <v>無</v>
      </c>
      <c r="AF64" s="1294"/>
      <c r="AG64" s="1295"/>
    </row>
    <row r="65" spans="2:34" ht="28.5" customHeight="1">
      <c r="B65" s="1296"/>
      <c r="C65" s="1297"/>
      <c r="D65" s="1297"/>
      <c r="E65" s="1298"/>
      <c r="F65" s="1355"/>
      <c r="G65" s="1356"/>
      <c r="H65" s="642" t="s">
        <v>568</v>
      </c>
      <c r="I65" s="645"/>
      <c r="J65" s="645"/>
      <c r="K65" s="646"/>
      <c r="L65" s="646"/>
      <c r="M65" s="646"/>
      <c r="N65" s="646"/>
      <c r="O65" s="646"/>
      <c r="P65" s="646"/>
      <c r="Q65" s="646"/>
      <c r="R65" s="646"/>
      <c r="S65" s="653"/>
      <c r="T65" s="653"/>
      <c r="U65" s="653"/>
      <c r="V65" s="646"/>
      <c r="W65" s="646"/>
      <c r="X65" s="646"/>
      <c r="Y65" s="646"/>
      <c r="Z65" s="646"/>
      <c r="AA65" s="646"/>
      <c r="AB65" s="646"/>
      <c r="AC65" s="646"/>
      <c r="AD65" s="665"/>
      <c r="AE65" s="1294" t="str">
        <f>IF('3_区分3計算表'!$E42="あり","有","無")</f>
        <v>無</v>
      </c>
      <c r="AF65" s="1294"/>
      <c r="AG65" s="1295"/>
    </row>
    <row r="66" spans="2:34" ht="28.5" customHeight="1">
      <c r="B66" s="1296"/>
      <c r="C66" s="1297"/>
      <c r="D66" s="1297"/>
      <c r="E66" s="1298"/>
      <c r="F66" s="1355"/>
      <c r="G66" s="1356"/>
      <c r="H66" s="642" t="s">
        <v>567</v>
      </c>
      <c r="I66" s="642"/>
      <c r="J66" s="642"/>
      <c r="K66" s="643"/>
      <c r="L66" s="643"/>
      <c r="M66" s="643"/>
      <c r="N66" s="643"/>
      <c r="O66" s="643"/>
      <c r="P66" s="643"/>
      <c r="Q66" s="643"/>
      <c r="R66" s="643"/>
      <c r="S66" s="644"/>
      <c r="T66" s="644"/>
      <c r="U66" s="644"/>
      <c r="V66" s="643"/>
      <c r="W66" s="643"/>
      <c r="X66" s="643"/>
      <c r="Y66" s="643"/>
      <c r="Z66" s="643"/>
      <c r="AA66" s="643"/>
      <c r="AB66" s="643"/>
      <c r="AC66" s="643"/>
      <c r="AD66" s="664"/>
      <c r="AE66" s="1294" t="str">
        <f>IF('3_区分3計算表'!$E43="あり","有","無")</f>
        <v>無</v>
      </c>
      <c r="AF66" s="1294"/>
      <c r="AG66" s="1295"/>
    </row>
    <row r="67" spans="2:34" ht="28.5" customHeight="1">
      <c r="B67" s="1296"/>
      <c r="C67" s="1297"/>
      <c r="D67" s="1297"/>
      <c r="E67" s="1298"/>
      <c r="F67" s="1355"/>
      <c r="G67" s="1356"/>
      <c r="H67" s="642" t="s">
        <v>566</v>
      </c>
      <c r="I67" s="645"/>
      <c r="J67" s="645"/>
      <c r="K67" s="646"/>
      <c r="L67" s="646"/>
      <c r="M67" s="646"/>
      <c r="N67" s="646"/>
      <c r="O67" s="646"/>
      <c r="P67" s="646"/>
      <c r="Q67" s="646"/>
      <c r="R67" s="646"/>
      <c r="S67" s="653"/>
      <c r="T67" s="653"/>
      <c r="U67" s="653"/>
      <c r="V67" s="646"/>
      <c r="W67" s="646"/>
      <c r="X67" s="646"/>
      <c r="Y67" s="646"/>
      <c r="Z67" s="646"/>
      <c r="AA67" s="646"/>
      <c r="AB67" s="646"/>
      <c r="AC67" s="646"/>
      <c r="AD67" s="665"/>
      <c r="AE67" s="1294" t="str">
        <f>IF('3_区分3計算表'!$E44="あり","有","無")</f>
        <v>無</v>
      </c>
      <c r="AF67" s="1294"/>
      <c r="AG67" s="1295"/>
    </row>
    <row r="68" spans="2:34" ht="28.5" customHeight="1">
      <c r="B68" s="1296"/>
      <c r="C68" s="1297"/>
      <c r="D68" s="1297"/>
      <c r="E68" s="1298"/>
      <c r="F68" s="1355"/>
      <c r="G68" s="1356"/>
      <c r="H68" s="645" t="s">
        <v>554</v>
      </c>
      <c r="I68" s="645"/>
      <c r="J68" s="645"/>
      <c r="K68" s="646"/>
      <c r="L68" s="646"/>
      <c r="M68" s="646"/>
      <c r="N68" s="646"/>
      <c r="O68" s="646"/>
      <c r="P68" s="646"/>
      <c r="Q68" s="646"/>
      <c r="R68" s="646"/>
      <c r="S68" s="653"/>
      <c r="T68" s="653"/>
      <c r="U68" s="653"/>
      <c r="V68" s="646"/>
      <c r="W68" s="646"/>
      <c r="X68" s="646"/>
      <c r="Y68" s="646"/>
      <c r="Z68" s="646"/>
      <c r="AA68" s="646"/>
      <c r="AB68" s="646"/>
      <c r="AC68" s="646"/>
      <c r="AD68" s="665"/>
      <c r="AE68" s="1384" t="str">
        <f>IF('3_区分3計算表'!$E45="あり","有","無")</f>
        <v>無</v>
      </c>
      <c r="AF68" s="1384"/>
      <c r="AG68" s="1385"/>
    </row>
    <row r="69" spans="2:34" ht="28.5" customHeight="1">
      <c r="B69" s="1296"/>
      <c r="C69" s="1297"/>
      <c r="D69" s="1297"/>
      <c r="E69" s="1298"/>
      <c r="F69" s="1355"/>
      <c r="G69" s="1356"/>
      <c r="H69" s="648" t="s">
        <v>565</v>
      </c>
      <c r="I69" s="642"/>
      <c r="J69" s="642"/>
      <c r="K69" s="643"/>
      <c r="L69" s="643"/>
      <c r="M69" s="643"/>
      <c r="N69" s="643"/>
      <c r="O69" s="643"/>
      <c r="P69" s="643"/>
      <c r="Q69" s="643"/>
      <c r="R69" s="643"/>
      <c r="S69" s="644"/>
      <c r="T69" s="644"/>
      <c r="U69" s="644"/>
      <c r="V69" s="643"/>
      <c r="W69" s="643"/>
      <c r="X69" s="643"/>
      <c r="Y69" s="643"/>
      <c r="Z69" s="643"/>
      <c r="AA69" s="643"/>
      <c r="AB69" s="643"/>
      <c r="AC69" s="643"/>
      <c r="AD69" s="664"/>
      <c r="AE69" s="1294" t="str">
        <f>IF('3_区分3計算表'!$E46="あり","有","無")</f>
        <v>無</v>
      </c>
      <c r="AF69" s="1294"/>
      <c r="AG69" s="1295"/>
    </row>
    <row r="70" spans="2:34" ht="28.5" customHeight="1">
      <c r="B70" s="1296"/>
      <c r="C70" s="1297"/>
      <c r="D70" s="1297"/>
      <c r="E70" s="1298"/>
      <c r="F70" s="1355"/>
      <c r="G70" s="1356"/>
      <c r="H70" s="1302" t="s">
        <v>564</v>
      </c>
      <c r="I70" s="1303"/>
      <c r="J70" s="1303"/>
      <c r="K70" s="1303"/>
      <c r="L70" s="1303"/>
      <c r="M70" s="1303"/>
      <c r="N70" s="1303"/>
      <c r="O70" s="1303"/>
      <c r="P70" s="1303"/>
      <c r="Q70" s="1303"/>
      <c r="R70" s="1303"/>
      <c r="S70" s="1303"/>
      <c r="T70" s="1303"/>
      <c r="U70" s="1303"/>
      <c r="V70" s="1303"/>
      <c r="W70" s="1303"/>
      <c r="X70" s="1303"/>
      <c r="Y70" s="1303"/>
      <c r="Z70" s="1303"/>
      <c r="AA70" s="1303"/>
      <c r="AB70" s="1303"/>
      <c r="AC70" s="1303"/>
      <c r="AD70" s="1304"/>
      <c r="AE70" s="1294" t="str">
        <f>IF('3_区分3計算表'!$E47="該当","有","無")</f>
        <v>無</v>
      </c>
      <c r="AF70" s="1294"/>
      <c r="AG70" s="1295"/>
    </row>
    <row r="71" spans="2:34" ht="28.5" customHeight="1">
      <c r="B71" s="1296"/>
      <c r="C71" s="1297"/>
      <c r="D71" s="1297"/>
      <c r="E71" s="1298"/>
      <c r="F71" s="1357"/>
      <c r="G71" s="1358"/>
      <c r="H71" s="666" t="s">
        <v>563</v>
      </c>
      <c r="I71" s="667"/>
      <c r="J71" s="667"/>
      <c r="K71" s="668"/>
      <c r="L71" s="668"/>
      <c r="M71" s="668"/>
      <c r="N71" s="668"/>
      <c r="O71" s="668"/>
      <c r="P71" s="668"/>
      <c r="Q71" s="668"/>
      <c r="R71" s="668"/>
      <c r="S71" s="669"/>
      <c r="T71" s="669"/>
      <c r="U71" s="669"/>
      <c r="V71" s="668"/>
      <c r="W71" s="668"/>
      <c r="X71" s="668"/>
      <c r="Y71" s="668"/>
      <c r="Z71" s="668"/>
      <c r="AA71" s="668"/>
      <c r="AB71" s="668"/>
      <c r="AC71" s="668"/>
      <c r="AD71" s="670"/>
      <c r="AE71" s="1367" t="str">
        <f>IF('3_区分3計算表'!$E48="該当","有","無")</f>
        <v>無</v>
      </c>
      <c r="AF71" s="1367"/>
      <c r="AG71" s="1368"/>
    </row>
    <row r="72" spans="2:34" ht="28.5" customHeight="1">
      <c r="B72" s="1296"/>
      <c r="C72" s="1297"/>
      <c r="D72" s="1297"/>
      <c r="E72" s="1298"/>
      <c r="F72" s="1380" t="s">
        <v>562</v>
      </c>
      <c r="G72" s="1381"/>
      <c r="H72" s="654" t="s">
        <v>558</v>
      </c>
      <c r="I72" s="626"/>
      <c r="J72" s="626"/>
      <c r="K72" s="650"/>
      <c r="L72" s="650"/>
      <c r="M72" s="650"/>
      <c r="N72" s="650"/>
      <c r="O72" s="650"/>
      <c r="P72" s="650"/>
      <c r="Q72" s="650"/>
      <c r="R72" s="650"/>
      <c r="S72" s="651"/>
      <c r="T72" s="651"/>
      <c r="U72" s="651"/>
      <c r="V72" s="650"/>
      <c r="W72" s="650"/>
      <c r="X72" s="650"/>
      <c r="Y72" s="650"/>
      <c r="Z72" s="650"/>
      <c r="AA72" s="650"/>
      <c r="AB72" s="650"/>
      <c r="AC72" s="650"/>
      <c r="AD72" s="663"/>
      <c r="AE72" s="1342"/>
      <c r="AF72" s="1343"/>
      <c r="AG72" s="1344"/>
    </row>
    <row r="73" spans="2:34" ht="28.5" customHeight="1">
      <c r="B73" s="1296"/>
      <c r="C73" s="1297"/>
      <c r="D73" s="1297"/>
      <c r="E73" s="1298"/>
      <c r="F73" s="1355"/>
      <c r="G73" s="1356"/>
      <c r="H73" s="654" t="s">
        <v>557</v>
      </c>
      <c r="I73" s="626"/>
      <c r="J73" s="626"/>
      <c r="K73" s="650"/>
      <c r="L73" s="650"/>
      <c r="M73" s="650"/>
      <c r="N73" s="650"/>
      <c r="O73" s="650"/>
      <c r="P73" s="650"/>
      <c r="Q73" s="650"/>
      <c r="R73" s="650"/>
      <c r="S73" s="651"/>
      <c r="T73" s="651"/>
      <c r="U73" s="651"/>
      <c r="V73" s="650"/>
      <c r="W73" s="650"/>
      <c r="X73" s="650"/>
      <c r="Y73" s="650"/>
      <c r="Z73" s="650"/>
      <c r="AA73" s="650"/>
      <c r="AB73" s="650"/>
      <c r="AC73" s="650"/>
      <c r="AD73" s="663"/>
      <c r="AE73" s="1267"/>
      <c r="AF73" s="1238"/>
      <c r="AG73" s="1239"/>
    </row>
    <row r="74" spans="2:34" ht="28.5" customHeight="1">
      <c r="B74" s="1296"/>
      <c r="C74" s="1297"/>
      <c r="D74" s="1297"/>
      <c r="E74" s="1298"/>
      <c r="F74" s="1355"/>
      <c r="G74" s="1356"/>
      <c r="H74" s="654" t="s">
        <v>556</v>
      </c>
      <c r="I74" s="626"/>
      <c r="J74" s="626"/>
      <c r="K74" s="650"/>
      <c r="L74" s="650"/>
      <c r="M74" s="650"/>
      <c r="N74" s="650"/>
      <c r="O74" s="650"/>
      <c r="P74" s="650"/>
      <c r="Q74" s="650"/>
      <c r="R74" s="650"/>
      <c r="S74" s="651"/>
      <c r="T74" s="651"/>
      <c r="U74" s="651"/>
      <c r="V74" s="650"/>
      <c r="W74" s="650"/>
      <c r="X74" s="650"/>
      <c r="Y74" s="650"/>
      <c r="Z74" s="650"/>
      <c r="AA74" s="650"/>
      <c r="AB74" s="650"/>
      <c r="AC74" s="650"/>
      <c r="AD74" s="663"/>
      <c r="AE74" s="1267"/>
      <c r="AF74" s="1238"/>
      <c r="AG74" s="1239"/>
    </row>
    <row r="75" spans="2:34" ht="28.5" customHeight="1">
      <c r="B75" s="1296"/>
      <c r="C75" s="1297"/>
      <c r="D75" s="1297"/>
      <c r="E75" s="1298"/>
      <c r="F75" s="1355"/>
      <c r="G75" s="1356"/>
      <c r="H75" s="672" t="s">
        <v>555</v>
      </c>
      <c r="K75" s="631"/>
      <c r="L75" s="631"/>
      <c r="M75" s="631"/>
      <c r="N75" s="631"/>
      <c r="O75" s="631"/>
      <c r="P75" s="631"/>
      <c r="Q75" s="631"/>
      <c r="R75" s="631"/>
      <c r="S75" s="584"/>
      <c r="T75" s="584"/>
      <c r="U75" s="584"/>
      <c r="V75" s="631"/>
      <c r="W75" s="631"/>
      <c r="X75" s="631"/>
      <c r="Y75" s="631"/>
      <c r="Z75" s="631"/>
      <c r="AA75" s="631"/>
      <c r="AB75" s="631"/>
      <c r="AC75" s="631"/>
      <c r="AD75" s="673"/>
      <c r="AE75" s="1267"/>
      <c r="AF75" s="1238"/>
      <c r="AG75" s="1239"/>
    </row>
    <row r="76" spans="2:34" ht="28.5" customHeight="1">
      <c r="B76" s="1296"/>
      <c r="C76" s="1297"/>
      <c r="D76" s="1297"/>
      <c r="E76" s="1298"/>
      <c r="F76" s="1355"/>
      <c r="G76" s="1356"/>
      <c r="H76" s="652" t="s">
        <v>554</v>
      </c>
      <c r="I76" s="645"/>
      <c r="J76" s="645"/>
      <c r="K76" s="646"/>
      <c r="L76" s="646"/>
      <c r="M76" s="646"/>
      <c r="N76" s="646"/>
      <c r="O76" s="646"/>
      <c r="P76" s="646"/>
      <c r="Q76" s="646"/>
      <c r="R76" s="646"/>
      <c r="S76" s="653"/>
      <c r="T76" s="653"/>
      <c r="U76" s="653"/>
      <c r="V76" s="646"/>
      <c r="W76" s="646"/>
      <c r="X76" s="646"/>
      <c r="Y76" s="646"/>
      <c r="Z76" s="646"/>
      <c r="AA76" s="646"/>
      <c r="AB76" s="646"/>
      <c r="AC76" s="646"/>
      <c r="AD76" s="665"/>
      <c r="AE76" s="1366"/>
      <c r="AF76" s="1274"/>
      <c r="AG76" s="1275"/>
    </row>
    <row r="77" spans="2:34" ht="28.5" customHeight="1" thickBot="1">
      <c r="B77" s="1299"/>
      <c r="C77" s="1300"/>
      <c r="D77" s="1300"/>
      <c r="E77" s="1301"/>
      <c r="F77" s="1382"/>
      <c r="G77" s="1383"/>
      <c r="H77" s="1310" t="s">
        <v>553</v>
      </c>
      <c r="I77" s="1311"/>
      <c r="J77" s="1311"/>
      <c r="K77" s="1311"/>
      <c r="L77" s="1311"/>
      <c r="M77" s="1311"/>
      <c r="N77" s="1311"/>
      <c r="O77" s="1311"/>
      <c r="P77" s="1311"/>
      <c r="Q77" s="1311"/>
      <c r="R77" s="1311"/>
      <c r="S77" s="1311"/>
      <c r="T77" s="1311"/>
      <c r="U77" s="1311"/>
      <c r="V77" s="1311"/>
      <c r="W77" s="1311"/>
      <c r="X77" s="1311"/>
      <c r="Y77" s="1311"/>
      <c r="Z77" s="1311"/>
      <c r="AA77" s="1311"/>
      <c r="AB77" s="1311"/>
      <c r="AC77" s="1311"/>
      <c r="AD77" s="1312"/>
      <c r="AE77" s="1313"/>
      <c r="AF77" s="1287"/>
      <c r="AG77" s="1288"/>
    </row>
    <row r="78" spans="2:34" ht="9" customHeight="1">
      <c r="B78" s="624"/>
      <c r="C78" s="624"/>
      <c r="D78" s="624"/>
      <c r="E78" s="624"/>
      <c r="F78" s="624"/>
      <c r="G78" s="624"/>
      <c r="H78" s="624"/>
      <c r="I78" s="624"/>
      <c r="J78" s="624"/>
      <c r="K78" s="624"/>
      <c r="L78" s="624"/>
      <c r="M78" s="624"/>
      <c r="N78" s="624"/>
      <c r="O78" s="624"/>
      <c r="P78" s="624"/>
      <c r="Q78" s="624"/>
      <c r="R78" s="624"/>
      <c r="S78" s="624"/>
      <c r="T78" s="624"/>
      <c r="U78" s="624"/>
      <c r="V78" s="624"/>
      <c r="W78" s="624"/>
      <c r="X78" s="624"/>
      <c r="Y78" s="624"/>
      <c r="Z78" s="624"/>
      <c r="AA78" s="624"/>
      <c r="AB78" s="624"/>
      <c r="AC78" s="624"/>
      <c r="AD78" s="624"/>
      <c r="AE78" s="624"/>
      <c r="AF78" s="624"/>
      <c r="AG78" s="624"/>
      <c r="AH78" s="624"/>
    </row>
    <row r="79" spans="2:34" ht="9" customHeight="1" thickBot="1">
      <c r="B79" s="624"/>
      <c r="C79" s="624"/>
      <c r="D79" s="624"/>
      <c r="E79" s="624"/>
      <c r="F79" s="624"/>
      <c r="G79" s="624"/>
      <c r="H79" s="624"/>
      <c r="I79" s="624"/>
      <c r="J79" s="624"/>
      <c r="K79" s="624"/>
      <c r="L79" s="624"/>
      <c r="M79" s="624"/>
      <c r="N79" s="624"/>
      <c r="O79" s="624"/>
      <c r="P79" s="624"/>
      <c r="Q79" s="624"/>
      <c r="R79" s="624"/>
      <c r="S79" s="624"/>
      <c r="T79" s="624"/>
      <c r="U79" s="624"/>
      <c r="V79" s="624"/>
      <c r="W79" s="624"/>
      <c r="X79" s="624"/>
      <c r="Y79" s="624"/>
      <c r="Z79" s="624"/>
      <c r="AA79" s="624"/>
      <c r="AB79" s="624"/>
      <c r="AC79" s="624"/>
      <c r="AD79" s="624"/>
      <c r="AE79" s="624"/>
      <c r="AF79" s="624"/>
      <c r="AG79" s="624"/>
      <c r="AH79" s="624"/>
    </row>
    <row r="80" spans="2:34" ht="28.5" customHeight="1">
      <c r="B80" s="1131" t="s">
        <v>561</v>
      </c>
      <c r="C80" s="1132"/>
      <c r="D80" s="1132"/>
      <c r="E80" s="1133"/>
      <c r="F80" s="1353" t="s">
        <v>560</v>
      </c>
      <c r="G80" s="1354"/>
      <c r="H80" s="659" t="s">
        <v>558</v>
      </c>
      <c r="I80" s="620"/>
      <c r="J80" s="620"/>
      <c r="K80" s="660"/>
      <c r="L80" s="660"/>
      <c r="M80" s="660"/>
      <c r="N80" s="660"/>
      <c r="O80" s="660"/>
      <c r="P80" s="660"/>
      <c r="Q80" s="660"/>
      <c r="R80" s="660"/>
      <c r="S80" s="661"/>
      <c r="T80" s="661"/>
      <c r="U80" s="661"/>
      <c r="V80" s="660"/>
      <c r="W80" s="660"/>
      <c r="X80" s="660"/>
      <c r="Y80" s="660"/>
      <c r="Z80" s="660"/>
      <c r="AA80" s="660"/>
      <c r="AB80" s="660"/>
      <c r="AC80" s="660"/>
      <c r="AD80" s="674"/>
      <c r="AE80" s="1359"/>
      <c r="AF80" s="1243"/>
      <c r="AG80" s="1244"/>
    </row>
    <row r="81" spans="2:33" ht="28.5" customHeight="1">
      <c r="B81" s="1296"/>
      <c r="C81" s="1297"/>
      <c r="D81" s="1297"/>
      <c r="E81" s="1298"/>
      <c r="F81" s="1355"/>
      <c r="G81" s="1356"/>
      <c r="H81" s="672" t="s">
        <v>556</v>
      </c>
      <c r="K81" s="631"/>
      <c r="L81" s="631"/>
      <c r="M81" s="631"/>
      <c r="N81" s="631"/>
      <c r="O81" s="631"/>
      <c r="P81" s="631"/>
      <c r="Q81" s="631"/>
      <c r="R81" s="631"/>
      <c r="S81" s="584"/>
      <c r="T81" s="584"/>
      <c r="U81" s="584"/>
      <c r="V81" s="631"/>
      <c r="W81" s="631"/>
      <c r="X81" s="631"/>
      <c r="Y81" s="631"/>
      <c r="Z81" s="631"/>
      <c r="AA81" s="631"/>
      <c r="AB81" s="631"/>
      <c r="AC81" s="631"/>
      <c r="AD81" s="675"/>
      <c r="AE81" s="1273"/>
      <c r="AF81" s="1274"/>
      <c r="AG81" s="1275"/>
    </row>
    <row r="82" spans="2:33" ht="28.5" customHeight="1">
      <c r="B82" s="1296"/>
      <c r="C82" s="1297"/>
      <c r="D82" s="1297"/>
      <c r="E82" s="1298"/>
      <c r="F82" s="1355"/>
      <c r="G82" s="1356"/>
      <c r="H82" s="652" t="s">
        <v>554</v>
      </c>
      <c r="I82" s="645"/>
      <c r="J82" s="645"/>
      <c r="K82" s="646"/>
      <c r="L82" s="646"/>
      <c r="M82" s="646"/>
      <c r="N82" s="646"/>
      <c r="O82" s="646"/>
      <c r="P82" s="646"/>
      <c r="Q82" s="646"/>
      <c r="R82" s="646"/>
      <c r="S82" s="653"/>
      <c r="T82" s="653"/>
      <c r="U82" s="653"/>
      <c r="V82" s="646"/>
      <c r="W82" s="646"/>
      <c r="X82" s="646"/>
      <c r="Y82" s="646"/>
      <c r="Z82" s="646"/>
      <c r="AA82" s="646"/>
      <c r="AB82" s="646"/>
      <c r="AC82" s="646"/>
      <c r="AD82" s="676"/>
      <c r="AE82" s="1273"/>
      <c r="AF82" s="1274"/>
      <c r="AG82" s="1275"/>
    </row>
    <row r="83" spans="2:33" ht="28.5" customHeight="1">
      <c r="B83" s="1296"/>
      <c r="C83" s="1297"/>
      <c r="D83" s="1297"/>
      <c r="E83" s="1298"/>
      <c r="F83" s="1357"/>
      <c r="G83" s="1358"/>
      <c r="H83" s="1360" t="s">
        <v>553</v>
      </c>
      <c r="I83" s="1361"/>
      <c r="J83" s="1361"/>
      <c r="K83" s="1361"/>
      <c r="L83" s="1361"/>
      <c r="M83" s="1361"/>
      <c r="N83" s="1361"/>
      <c r="O83" s="1361"/>
      <c r="P83" s="1361"/>
      <c r="Q83" s="1361"/>
      <c r="R83" s="1361"/>
      <c r="S83" s="1361"/>
      <c r="T83" s="1361"/>
      <c r="U83" s="1361"/>
      <c r="V83" s="1361"/>
      <c r="W83" s="1361"/>
      <c r="X83" s="1361"/>
      <c r="Y83" s="1361"/>
      <c r="Z83" s="1361"/>
      <c r="AA83" s="1361"/>
      <c r="AB83" s="1361"/>
      <c r="AC83" s="1361"/>
      <c r="AD83" s="1362"/>
      <c r="AE83" s="1363"/>
      <c r="AF83" s="1364"/>
      <c r="AG83" s="1365"/>
    </row>
    <row r="84" spans="2:33" ht="28.5" customHeight="1">
      <c r="B84" s="1296"/>
      <c r="C84" s="1297"/>
      <c r="D84" s="1297"/>
      <c r="E84" s="1298"/>
      <c r="F84" s="1380" t="s">
        <v>559</v>
      </c>
      <c r="G84" s="1381"/>
      <c r="H84" s="654" t="s">
        <v>558</v>
      </c>
      <c r="I84" s="626"/>
      <c r="J84" s="626"/>
      <c r="K84" s="650"/>
      <c r="L84" s="650"/>
      <c r="M84" s="650"/>
      <c r="N84" s="650"/>
      <c r="O84" s="650"/>
      <c r="P84" s="650"/>
      <c r="Q84" s="650"/>
      <c r="R84" s="650"/>
      <c r="S84" s="651"/>
      <c r="T84" s="651"/>
      <c r="U84" s="651"/>
      <c r="V84" s="650"/>
      <c r="W84" s="650"/>
      <c r="X84" s="650"/>
      <c r="Y84" s="650"/>
      <c r="Z84" s="650"/>
      <c r="AA84" s="650"/>
      <c r="AB84" s="650"/>
      <c r="AC84" s="650"/>
      <c r="AD84" s="677"/>
      <c r="AE84" s="1309"/>
      <c r="AF84" s="1269"/>
      <c r="AG84" s="1270"/>
    </row>
    <row r="85" spans="2:33" ht="28.5" customHeight="1">
      <c r="B85" s="1296"/>
      <c r="C85" s="1297"/>
      <c r="D85" s="1297"/>
      <c r="E85" s="1298"/>
      <c r="F85" s="1355"/>
      <c r="G85" s="1356"/>
      <c r="H85" s="648" t="s">
        <v>557</v>
      </c>
      <c r="I85" s="642"/>
      <c r="J85" s="642"/>
      <c r="K85" s="643"/>
      <c r="L85" s="643"/>
      <c r="M85" s="643"/>
      <c r="N85" s="643"/>
      <c r="O85" s="643"/>
      <c r="P85" s="643"/>
      <c r="Q85" s="643"/>
      <c r="R85" s="643"/>
      <c r="S85" s="644"/>
      <c r="T85" s="644"/>
      <c r="U85" s="644"/>
      <c r="V85" s="643"/>
      <c r="W85" s="643"/>
      <c r="X85" s="643"/>
      <c r="Y85" s="643"/>
      <c r="Z85" s="643"/>
      <c r="AA85" s="643"/>
      <c r="AB85" s="643"/>
      <c r="AC85" s="643"/>
      <c r="AD85" s="649"/>
      <c r="AE85" s="1237"/>
      <c r="AF85" s="1238"/>
      <c r="AG85" s="1239"/>
    </row>
    <row r="86" spans="2:33" ht="28.5" customHeight="1">
      <c r="B86" s="1296"/>
      <c r="C86" s="1297"/>
      <c r="D86" s="1297"/>
      <c r="E86" s="1298"/>
      <c r="F86" s="1355"/>
      <c r="G86" s="1356"/>
      <c r="H86" s="654" t="s">
        <v>556</v>
      </c>
      <c r="I86" s="626"/>
      <c r="J86" s="626"/>
      <c r="K86" s="650"/>
      <c r="L86" s="650"/>
      <c r="M86" s="650"/>
      <c r="N86" s="650"/>
      <c r="O86" s="650"/>
      <c r="P86" s="650"/>
      <c r="Q86" s="650"/>
      <c r="R86" s="650"/>
      <c r="S86" s="651"/>
      <c r="T86" s="651"/>
      <c r="U86" s="651"/>
      <c r="V86" s="650"/>
      <c r="W86" s="650"/>
      <c r="X86" s="650"/>
      <c r="Y86" s="650"/>
      <c r="Z86" s="650"/>
      <c r="AA86" s="650"/>
      <c r="AB86" s="650"/>
      <c r="AC86" s="650"/>
      <c r="AD86" s="677"/>
      <c r="AE86" s="1309"/>
      <c r="AF86" s="1269"/>
      <c r="AG86" s="1270"/>
    </row>
    <row r="87" spans="2:33" ht="28.5" customHeight="1">
      <c r="B87" s="1296"/>
      <c r="C87" s="1297"/>
      <c r="D87" s="1297"/>
      <c r="E87" s="1298"/>
      <c r="F87" s="1355"/>
      <c r="G87" s="1356"/>
      <c r="H87" s="652" t="s">
        <v>555</v>
      </c>
      <c r="I87" s="645"/>
      <c r="J87" s="645"/>
      <c r="K87" s="646"/>
      <c r="L87" s="646"/>
      <c r="M87" s="646"/>
      <c r="N87" s="646"/>
      <c r="O87" s="646"/>
      <c r="P87" s="646"/>
      <c r="Q87" s="646"/>
      <c r="R87" s="646"/>
      <c r="S87" s="653"/>
      <c r="T87" s="653"/>
      <c r="U87" s="653"/>
      <c r="V87" s="646"/>
      <c r="W87" s="646"/>
      <c r="X87" s="646"/>
      <c r="Y87" s="646"/>
      <c r="Z87" s="646"/>
      <c r="AA87" s="646"/>
      <c r="AB87" s="646"/>
      <c r="AC87" s="646"/>
      <c r="AD87" s="676"/>
      <c r="AE87" s="1273"/>
      <c r="AF87" s="1274"/>
      <c r="AG87" s="1275"/>
    </row>
    <row r="88" spans="2:33" ht="28.5" customHeight="1">
      <c r="B88" s="1296"/>
      <c r="C88" s="1297"/>
      <c r="D88" s="1297"/>
      <c r="E88" s="1298"/>
      <c r="F88" s="1355"/>
      <c r="G88" s="1356"/>
      <c r="H88" s="652" t="s">
        <v>554</v>
      </c>
      <c r="I88" s="645"/>
      <c r="J88" s="645"/>
      <c r="K88" s="646"/>
      <c r="L88" s="646"/>
      <c r="M88" s="646"/>
      <c r="N88" s="646"/>
      <c r="O88" s="646"/>
      <c r="P88" s="646"/>
      <c r="Q88" s="646"/>
      <c r="R88" s="646"/>
      <c r="S88" s="653"/>
      <c r="T88" s="653"/>
      <c r="U88" s="653"/>
      <c r="V88" s="646"/>
      <c r="W88" s="646"/>
      <c r="X88" s="646"/>
      <c r="Y88" s="646"/>
      <c r="Z88" s="646"/>
      <c r="AA88" s="646"/>
      <c r="AB88" s="646"/>
      <c r="AC88" s="646"/>
      <c r="AD88" s="676"/>
      <c r="AE88" s="1237"/>
      <c r="AF88" s="1238"/>
      <c r="AG88" s="1239"/>
    </row>
    <row r="89" spans="2:33" ht="28.5" customHeight="1" thickBot="1">
      <c r="B89" s="1299"/>
      <c r="C89" s="1300"/>
      <c r="D89" s="1300"/>
      <c r="E89" s="1301"/>
      <c r="F89" s="1382"/>
      <c r="G89" s="1383"/>
      <c r="H89" s="1310" t="s">
        <v>553</v>
      </c>
      <c r="I89" s="1311"/>
      <c r="J89" s="1311"/>
      <c r="K89" s="1311"/>
      <c r="L89" s="1311"/>
      <c r="M89" s="1311"/>
      <c r="N89" s="1311"/>
      <c r="O89" s="1311"/>
      <c r="P89" s="1311"/>
      <c r="Q89" s="1311"/>
      <c r="R89" s="1311"/>
      <c r="S89" s="1311"/>
      <c r="T89" s="1311"/>
      <c r="U89" s="1311"/>
      <c r="V89" s="1311"/>
      <c r="W89" s="1311"/>
      <c r="X89" s="1311"/>
      <c r="Y89" s="1311"/>
      <c r="Z89" s="1311"/>
      <c r="AA89" s="1311"/>
      <c r="AB89" s="1311"/>
      <c r="AC89" s="1311"/>
      <c r="AD89" s="1345"/>
      <c r="AE89" s="1286"/>
      <c r="AF89" s="1287"/>
      <c r="AG89" s="1288"/>
    </row>
    <row r="90" spans="2:33" ht="31.5" customHeight="1">
      <c r="B90" s="1321" t="s">
        <v>552</v>
      </c>
      <c r="C90" s="1277"/>
      <c r="D90" s="1277"/>
      <c r="E90" s="1369"/>
      <c r="F90" s="1247" t="s">
        <v>551</v>
      </c>
      <c r="G90" s="1248"/>
      <c r="H90" s="1248"/>
      <c r="I90" s="1248"/>
      <c r="J90" s="1248"/>
      <c r="K90" s="1248"/>
      <c r="L90" s="1248"/>
      <c r="M90" s="1248"/>
      <c r="N90" s="1248"/>
      <c r="O90" s="1248"/>
      <c r="P90" s="1248"/>
      <c r="Q90" s="1248"/>
      <c r="R90" s="1248"/>
      <c r="S90" s="1248"/>
      <c r="T90" s="1248"/>
      <c r="U90" s="1248"/>
      <c r="V90" s="1248"/>
      <c r="W90" s="1248"/>
      <c r="X90" s="1248"/>
      <c r="Y90" s="1248"/>
      <c r="Z90" s="1372"/>
      <c r="AA90" s="1376" t="s">
        <v>550</v>
      </c>
      <c r="AB90" s="1377"/>
      <c r="AC90" s="1377"/>
      <c r="AD90" s="1377"/>
      <c r="AE90" s="1305"/>
      <c r="AF90" s="1306"/>
      <c r="AG90" s="678" t="s">
        <v>547</v>
      </c>
    </row>
    <row r="91" spans="2:33" ht="31.5" customHeight="1" thickBot="1">
      <c r="B91" s="1370"/>
      <c r="C91" s="1278"/>
      <c r="D91" s="1278"/>
      <c r="E91" s="1371"/>
      <c r="F91" s="1373" t="s">
        <v>549</v>
      </c>
      <c r="G91" s="1374"/>
      <c r="H91" s="1374"/>
      <c r="I91" s="1374"/>
      <c r="J91" s="1374"/>
      <c r="K91" s="1374"/>
      <c r="L91" s="1374"/>
      <c r="M91" s="1374"/>
      <c r="N91" s="1374"/>
      <c r="O91" s="1374"/>
      <c r="P91" s="1374"/>
      <c r="Q91" s="1374"/>
      <c r="R91" s="1374"/>
      <c r="S91" s="1374"/>
      <c r="T91" s="1374"/>
      <c r="U91" s="1374"/>
      <c r="V91" s="1374"/>
      <c r="W91" s="1374"/>
      <c r="X91" s="1374"/>
      <c r="Y91" s="1374"/>
      <c r="Z91" s="1375"/>
      <c r="AA91" s="1378" t="s">
        <v>548</v>
      </c>
      <c r="AB91" s="1379"/>
      <c r="AC91" s="1379"/>
      <c r="AD91" s="1379"/>
      <c r="AE91" s="1307"/>
      <c r="AF91" s="1308"/>
      <c r="AG91" s="679" t="s">
        <v>547</v>
      </c>
    </row>
    <row r="92" spans="2:33" ht="28.5" customHeight="1" thickBot="1">
      <c r="B92" s="680" t="s">
        <v>546</v>
      </c>
      <c r="C92" s="681"/>
      <c r="D92" s="681"/>
      <c r="E92" s="681"/>
      <c r="F92" s="681"/>
      <c r="G92" s="681"/>
      <c r="H92" s="681"/>
      <c r="I92" s="681"/>
      <c r="J92" s="681"/>
      <c r="K92" s="682"/>
      <c r="L92" s="682"/>
      <c r="M92" s="682"/>
      <c r="N92" s="682"/>
      <c r="O92" s="682"/>
      <c r="P92" s="682"/>
      <c r="Q92" s="682"/>
      <c r="R92" s="682"/>
      <c r="S92" s="683"/>
      <c r="T92" s="683"/>
      <c r="U92" s="683"/>
      <c r="V92" s="682"/>
      <c r="W92" s="682"/>
      <c r="X92" s="682"/>
      <c r="Y92" s="682"/>
      <c r="Z92" s="682"/>
      <c r="AA92" s="1314">
        <f>SUM('3_区分3計算表'!$H$51,'3_区分3計算表'!$L$51)</f>
        <v>1</v>
      </c>
      <c r="AB92" s="1315"/>
      <c r="AC92" s="1315"/>
      <c r="AD92" s="1315"/>
      <c r="AE92" s="1315"/>
      <c r="AF92" s="1315"/>
      <c r="AG92" s="616" t="s">
        <v>542</v>
      </c>
    </row>
    <row r="93" spans="2:33" ht="28.5" customHeight="1">
      <c r="B93" s="1321" t="s">
        <v>545</v>
      </c>
      <c r="C93" s="1322"/>
      <c r="D93" s="1322"/>
      <c r="E93" s="1323"/>
      <c r="F93" s="620" t="s">
        <v>544</v>
      </c>
      <c r="G93" s="620"/>
      <c r="H93" s="620"/>
      <c r="I93" s="620"/>
      <c r="J93" s="620"/>
      <c r="K93" s="660"/>
      <c r="L93" s="660"/>
      <c r="M93" s="660"/>
      <c r="N93" s="660"/>
      <c r="O93" s="660"/>
      <c r="P93" s="660"/>
      <c r="Q93" s="660"/>
      <c r="R93" s="660"/>
      <c r="S93" s="661"/>
      <c r="T93" s="661"/>
      <c r="U93" s="661"/>
      <c r="V93" s="660"/>
      <c r="W93" s="660"/>
      <c r="X93" s="660"/>
      <c r="Y93" s="660"/>
      <c r="Z93" s="660"/>
      <c r="AA93" s="1292">
        <f>【参考】計算結果!$D17</f>
        <v>0</v>
      </c>
      <c r="AB93" s="1293"/>
      <c r="AC93" s="1293"/>
      <c r="AD93" s="1293"/>
      <c r="AE93" s="1293"/>
      <c r="AF93" s="1293"/>
      <c r="AG93" s="622" t="s">
        <v>542</v>
      </c>
    </row>
    <row r="94" spans="2:33" ht="28.5" customHeight="1" thickBot="1">
      <c r="B94" s="1324"/>
      <c r="C94" s="1325"/>
      <c r="D94" s="1325"/>
      <c r="E94" s="1326"/>
      <c r="F94" s="684" t="s">
        <v>543</v>
      </c>
      <c r="G94" s="685"/>
      <c r="H94" s="685"/>
      <c r="I94" s="685"/>
      <c r="J94" s="686"/>
      <c r="K94" s="686"/>
      <c r="L94" s="686"/>
      <c r="M94" s="686"/>
      <c r="N94" s="686"/>
      <c r="O94" s="686"/>
      <c r="P94" s="686"/>
      <c r="Q94" s="686"/>
      <c r="R94" s="686"/>
      <c r="S94" s="685"/>
      <c r="T94" s="685"/>
      <c r="U94" s="685"/>
      <c r="V94" s="686"/>
      <c r="W94" s="686"/>
      <c r="X94" s="686"/>
      <c r="Y94" s="686"/>
      <c r="Z94" s="686"/>
      <c r="AA94" s="1349">
        <f>【参考】計算結果!$D18</f>
        <v>0</v>
      </c>
      <c r="AB94" s="1350"/>
      <c r="AC94" s="1350"/>
      <c r="AD94" s="1350"/>
      <c r="AE94" s="1350"/>
      <c r="AF94" s="1350"/>
      <c r="AG94" s="687" t="s">
        <v>542</v>
      </c>
    </row>
    <row r="95" spans="2:33" ht="15" customHeight="1">
      <c r="B95" s="587" t="s">
        <v>541</v>
      </c>
      <c r="C95" s="630"/>
      <c r="D95" s="630"/>
      <c r="E95" s="630"/>
      <c r="F95" s="630"/>
      <c r="G95" s="584"/>
      <c r="H95" s="584"/>
      <c r="I95" s="584"/>
      <c r="J95" s="631"/>
      <c r="K95" s="631"/>
      <c r="L95" s="631"/>
      <c r="M95" s="631"/>
      <c r="N95" s="631"/>
      <c r="O95" s="631"/>
      <c r="P95" s="631"/>
      <c r="Q95" s="631"/>
      <c r="R95" s="631"/>
      <c r="S95" s="584"/>
      <c r="T95" s="584"/>
      <c r="U95" s="584"/>
      <c r="V95" s="631"/>
      <c r="W95" s="631"/>
      <c r="X95" s="631"/>
      <c r="Y95" s="631"/>
      <c r="Z95" s="631"/>
      <c r="AA95" s="631"/>
      <c r="AB95" s="631"/>
      <c r="AC95" s="631"/>
      <c r="AD95" s="631"/>
      <c r="AE95" s="584"/>
      <c r="AF95" s="584"/>
      <c r="AG95" s="584"/>
    </row>
    <row r="96" spans="2:33" ht="15" customHeight="1">
      <c r="B96" s="587" t="s">
        <v>540</v>
      </c>
      <c r="C96" s="630"/>
      <c r="D96" s="630"/>
      <c r="E96" s="630"/>
      <c r="F96" s="630"/>
      <c r="G96" s="584"/>
      <c r="H96" s="584"/>
      <c r="I96" s="584"/>
      <c r="J96" s="631"/>
      <c r="K96" s="631"/>
      <c r="L96" s="631"/>
      <c r="M96" s="631"/>
      <c r="N96" s="631"/>
      <c r="O96" s="631"/>
      <c r="P96" s="631"/>
      <c r="Q96" s="631"/>
      <c r="R96" s="631"/>
      <c r="S96" s="584"/>
      <c r="T96" s="584"/>
      <c r="U96" s="584"/>
      <c r="V96" s="631"/>
      <c r="W96" s="631"/>
      <c r="X96" s="631"/>
      <c r="Y96" s="631"/>
      <c r="Z96" s="631"/>
      <c r="AA96" s="631"/>
      <c r="AB96" s="631"/>
      <c r="AC96" s="631"/>
      <c r="AD96" s="631"/>
      <c r="AE96" s="584"/>
      <c r="AF96" s="584"/>
      <c r="AG96" s="584"/>
    </row>
    <row r="97" spans="2:33" ht="15" customHeight="1">
      <c r="B97" s="587" t="s">
        <v>539</v>
      </c>
      <c r="C97" s="630"/>
      <c r="D97" s="630"/>
      <c r="E97" s="630"/>
      <c r="F97" s="630"/>
      <c r="G97" s="584"/>
      <c r="H97" s="584"/>
      <c r="I97" s="584"/>
      <c r="J97" s="631"/>
      <c r="K97" s="631"/>
      <c r="L97" s="631"/>
      <c r="M97" s="631"/>
      <c r="N97" s="631"/>
      <c r="O97" s="631"/>
      <c r="P97" s="631"/>
      <c r="Q97" s="631"/>
      <c r="R97" s="631"/>
      <c r="S97" s="584"/>
      <c r="T97" s="584"/>
      <c r="U97" s="584"/>
      <c r="V97" s="631"/>
      <c r="W97" s="631"/>
      <c r="X97" s="631"/>
      <c r="Y97" s="631"/>
      <c r="Z97" s="631"/>
      <c r="AA97" s="631"/>
      <c r="AB97" s="631"/>
      <c r="AC97" s="631"/>
      <c r="AD97" s="631"/>
      <c r="AE97" s="584"/>
      <c r="AF97" s="584"/>
      <c r="AG97" s="584"/>
    </row>
    <row r="98" spans="2:33" ht="15" customHeight="1">
      <c r="B98" s="586" t="s">
        <v>538</v>
      </c>
    </row>
    <row r="99" spans="2:33" ht="15" customHeight="1">
      <c r="B99" s="586" t="s">
        <v>537</v>
      </c>
    </row>
    <row r="100" spans="2:33" ht="15" customHeight="1">
      <c r="B100" s="586" t="s">
        <v>536</v>
      </c>
    </row>
    <row r="101" spans="2:33" ht="20.25" customHeight="1">
      <c r="V101" s="591"/>
      <c r="W101" s="591"/>
      <c r="X101" s="591"/>
      <c r="Y101" s="591"/>
      <c r="Z101" s="612"/>
      <c r="AA101" s="612"/>
      <c r="AB101" s="612"/>
      <c r="AC101" s="612"/>
      <c r="AD101" s="612"/>
      <c r="AE101" s="612"/>
      <c r="AF101" s="612"/>
      <c r="AG101" s="612"/>
    </row>
    <row r="102" spans="2:33" ht="20.25" customHeight="1" thickBot="1">
      <c r="B102" s="841" t="s">
        <v>861</v>
      </c>
      <c r="C102" s="841"/>
      <c r="D102" s="841"/>
      <c r="E102" s="841"/>
      <c r="F102" s="841"/>
      <c r="G102" s="841"/>
      <c r="H102" s="841"/>
      <c r="I102" s="841"/>
      <c r="J102" s="841"/>
      <c r="K102" s="841"/>
      <c r="L102" s="841"/>
      <c r="M102" s="841"/>
      <c r="N102" s="841"/>
      <c r="O102" s="841"/>
      <c r="P102" s="841"/>
      <c r="Q102" s="841"/>
      <c r="R102" s="841"/>
      <c r="S102" s="841"/>
      <c r="T102" s="841"/>
      <c r="U102" s="841"/>
      <c r="V102" s="841"/>
      <c r="W102" s="841"/>
      <c r="X102" s="841"/>
      <c r="Y102" s="841"/>
      <c r="Z102" s="841"/>
      <c r="AA102" s="841"/>
      <c r="AB102" s="841"/>
      <c r="AC102" s="841"/>
      <c r="AD102" s="841"/>
      <c r="AE102" s="841"/>
      <c r="AF102" s="841"/>
      <c r="AG102" s="841"/>
    </row>
    <row r="103" spans="2:33" ht="18" customHeight="1" thickBot="1">
      <c r="B103" s="1390" t="s">
        <v>856</v>
      </c>
      <c r="C103" s="1391"/>
      <c r="D103" s="1391"/>
      <c r="E103" s="1391"/>
      <c r="F103" s="1391"/>
      <c r="G103" s="1391"/>
      <c r="H103" s="1391"/>
      <c r="I103" s="1391"/>
      <c r="J103" s="1391"/>
      <c r="K103" s="1391"/>
      <c r="L103" s="1391"/>
      <c r="M103" s="1391"/>
      <c r="N103" s="1391"/>
      <c r="O103" s="1391"/>
      <c r="P103" s="1391"/>
      <c r="Q103" s="1391"/>
      <c r="R103" s="1391"/>
      <c r="S103" s="1391"/>
      <c r="T103" s="1391"/>
      <c r="U103" s="1391"/>
      <c r="V103" s="1391"/>
      <c r="W103" s="1391"/>
      <c r="X103" s="1391"/>
      <c r="Y103" s="1391"/>
      <c r="Z103" s="1391"/>
      <c r="AA103" s="1391"/>
      <c r="AB103" s="1391"/>
      <c r="AC103" s="1391"/>
      <c r="AD103" s="1391"/>
      <c r="AE103" s="1391"/>
      <c r="AF103" s="1391"/>
      <c r="AG103" s="1392"/>
    </row>
    <row r="104" spans="2:33" ht="18" customHeight="1">
      <c r="B104" s="1393"/>
      <c r="C104" s="1395" t="s">
        <v>877</v>
      </c>
      <c r="D104" s="1396"/>
      <c r="E104" s="1396"/>
      <c r="F104" s="1396"/>
      <c r="G104" s="1396"/>
      <c r="H104" s="1396"/>
      <c r="I104" s="1396"/>
      <c r="J104" s="1396"/>
      <c r="K104" s="1396"/>
      <c r="L104" s="1396"/>
      <c r="M104" s="1396"/>
      <c r="N104" s="1396"/>
      <c r="O104" s="1396"/>
      <c r="P104" s="1396"/>
      <c r="Q104" s="1396"/>
      <c r="R104" s="1396"/>
      <c r="S104" s="1396"/>
      <c r="T104" s="1396"/>
      <c r="U104" s="1396"/>
      <c r="V104" s="1396"/>
      <c r="W104" s="1396"/>
      <c r="X104" s="1396"/>
      <c r="Y104" s="1396"/>
      <c r="Z104" s="1397"/>
      <c r="AA104" s="1400"/>
      <c r="AB104" s="1401"/>
      <c r="AC104" s="1401"/>
      <c r="AD104" s="1401"/>
      <c r="AE104" s="1401"/>
      <c r="AF104" s="1401"/>
      <c r="AG104" s="1402"/>
    </row>
    <row r="105" spans="2:33" ht="18" customHeight="1" thickBot="1">
      <c r="B105" s="1394"/>
      <c r="C105" s="1398"/>
      <c r="D105" s="1398"/>
      <c r="E105" s="1398"/>
      <c r="F105" s="1398"/>
      <c r="G105" s="1398"/>
      <c r="H105" s="1398"/>
      <c r="I105" s="1398"/>
      <c r="J105" s="1398"/>
      <c r="K105" s="1398"/>
      <c r="L105" s="1398"/>
      <c r="M105" s="1398"/>
      <c r="N105" s="1398"/>
      <c r="O105" s="1398"/>
      <c r="P105" s="1398"/>
      <c r="Q105" s="1398"/>
      <c r="R105" s="1398"/>
      <c r="S105" s="1398"/>
      <c r="T105" s="1398"/>
      <c r="U105" s="1398"/>
      <c r="V105" s="1398"/>
      <c r="W105" s="1398"/>
      <c r="X105" s="1398"/>
      <c r="Y105" s="1398"/>
      <c r="Z105" s="1399"/>
      <c r="AA105" s="1403"/>
      <c r="AB105" s="1404"/>
      <c r="AC105" s="1404"/>
      <c r="AD105" s="1404"/>
      <c r="AE105" s="1404"/>
      <c r="AF105" s="1404"/>
      <c r="AG105" s="1405"/>
    </row>
    <row r="106" spans="2:33" ht="18" customHeight="1">
      <c r="B106" s="842"/>
      <c r="C106" s="841"/>
      <c r="D106" s="841"/>
      <c r="E106" s="841"/>
      <c r="F106" s="841"/>
      <c r="G106" s="841"/>
      <c r="H106" s="841"/>
      <c r="I106" s="841"/>
      <c r="J106" s="841"/>
      <c r="K106" s="841"/>
      <c r="L106" s="841"/>
      <c r="M106" s="841"/>
      <c r="N106" s="841"/>
      <c r="O106" s="841"/>
      <c r="P106" s="841"/>
      <c r="Q106" s="841"/>
      <c r="R106" s="841"/>
      <c r="S106" s="841"/>
      <c r="T106" s="841"/>
      <c r="U106" s="841"/>
      <c r="V106" s="841"/>
      <c r="W106" s="841"/>
      <c r="X106" s="841"/>
      <c r="Y106" s="841"/>
      <c r="Z106" s="841"/>
      <c r="AA106" s="841"/>
      <c r="AB106" s="841"/>
      <c r="AC106" s="841"/>
      <c r="AD106" s="841"/>
      <c r="AE106" s="841"/>
      <c r="AF106" s="841"/>
      <c r="AG106" s="841"/>
    </row>
    <row r="107" spans="2:33" ht="31.5" customHeight="1">
      <c r="B107" s="1406" t="s">
        <v>857</v>
      </c>
      <c r="C107" s="1407"/>
      <c r="D107" s="1407"/>
      <c r="E107" s="1407"/>
      <c r="F107" s="1407"/>
      <c r="G107" s="1407"/>
      <c r="H107" s="1407"/>
      <c r="I107" s="1407"/>
      <c r="J107" s="1407"/>
      <c r="K107" s="1407"/>
      <c r="L107" s="1407"/>
      <c r="M107" s="1407"/>
      <c r="N107" s="1407"/>
      <c r="O107" s="1407"/>
      <c r="P107" s="1407"/>
      <c r="Q107" s="1407"/>
      <c r="R107" s="1407"/>
      <c r="S107" s="1407"/>
      <c r="T107" s="1407"/>
      <c r="U107" s="1407"/>
      <c r="V107" s="1407"/>
      <c r="W107" s="1407"/>
      <c r="X107" s="1407"/>
      <c r="Y107" s="1407"/>
      <c r="Z107" s="1407"/>
      <c r="AA107" s="1408">
        <f>処遇改善等加算に係る経験年数算定表!L103+処遇改善等加算に係る経験年数算定表!L106</f>
        <v>0</v>
      </c>
      <c r="AB107" s="1409"/>
      <c r="AC107" s="1409"/>
      <c r="AD107" s="1409"/>
      <c r="AE107" s="1409"/>
      <c r="AF107" s="1409"/>
      <c r="AG107" s="843" t="s">
        <v>813</v>
      </c>
    </row>
    <row r="108" spans="2:33" ht="18" customHeight="1" thickBot="1">
      <c r="B108" s="1410" t="s">
        <v>858</v>
      </c>
      <c r="C108" s="1411"/>
      <c r="D108" s="1411"/>
      <c r="E108" s="1411"/>
      <c r="F108" s="1411"/>
      <c r="G108" s="1411"/>
      <c r="H108" s="1411"/>
      <c r="I108" s="1411"/>
      <c r="J108" s="1411"/>
      <c r="K108" s="1411"/>
      <c r="L108" s="1411"/>
      <c r="M108" s="1411"/>
      <c r="N108" s="1411"/>
      <c r="O108" s="1411"/>
      <c r="P108" s="1411"/>
      <c r="Q108" s="1411"/>
      <c r="R108" s="1411"/>
      <c r="S108" s="1411"/>
      <c r="T108" s="1411"/>
      <c r="U108" s="1411"/>
      <c r="V108" s="1411"/>
      <c r="W108" s="1411"/>
      <c r="X108" s="1411"/>
      <c r="Y108" s="1411"/>
      <c r="Z108" s="1411"/>
      <c r="AA108" s="1412">
        <f>+AA93</f>
        <v>0</v>
      </c>
      <c r="AB108" s="1413"/>
      <c r="AC108" s="1413"/>
      <c r="AD108" s="1413"/>
      <c r="AE108" s="1413"/>
      <c r="AF108" s="1413"/>
      <c r="AG108" s="844" t="s">
        <v>813</v>
      </c>
    </row>
    <row r="109" spans="2:33" ht="18" customHeight="1" thickTop="1">
      <c r="B109" s="1414" t="s">
        <v>859</v>
      </c>
      <c r="C109" s="1415"/>
      <c r="D109" s="1415"/>
      <c r="E109" s="1415"/>
      <c r="F109" s="1415"/>
      <c r="G109" s="1415"/>
      <c r="H109" s="1415"/>
      <c r="I109" s="1415"/>
      <c r="J109" s="1415"/>
      <c r="K109" s="1415"/>
      <c r="L109" s="1415"/>
      <c r="M109" s="1415"/>
      <c r="N109" s="1415"/>
      <c r="O109" s="1415"/>
      <c r="P109" s="1415"/>
      <c r="Q109" s="1415"/>
      <c r="R109" s="1415"/>
      <c r="S109" s="1415"/>
      <c r="T109" s="1415"/>
      <c r="U109" s="1415"/>
      <c r="V109" s="1415"/>
      <c r="W109" s="1415"/>
      <c r="X109" s="1415"/>
      <c r="Y109" s="1415"/>
      <c r="Z109" s="1415"/>
      <c r="AA109" s="1416">
        <f>+IF(AA107&gt;=AA108,AA107-AA108,0)</f>
        <v>0</v>
      </c>
      <c r="AB109" s="1417"/>
      <c r="AC109" s="1417"/>
      <c r="AD109" s="1417"/>
      <c r="AE109" s="1417"/>
      <c r="AF109" s="1417"/>
      <c r="AG109" s="845" t="s">
        <v>813</v>
      </c>
    </row>
    <row r="110" spans="2:33" ht="18" customHeight="1" thickBot="1">
      <c r="B110" s="1386" t="s">
        <v>860</v>
      </c>
      <c r="C110" s="1387"/>
      <c r="D110" s="1387"/>
      <c r="E110" s="1387"/>
      <c r="F110" s="1387"/>
      <c r="G110" s="1387"/>
      <c r="H110" s="1387"/>
      <c r="I110" s="1387"/>
      <c r="J110" s="1387"/>
      <c r="K110" s="1387"/>
      <c r="L110" s="1387"/>
      <c r="M110" s="1387"/>
      <c r="N110" s="1387"/>
      <c r="O110" s="1387"/>
      <c r="P110" s="1387"/>
      <c r="Q110" s="1387"/>
      <c r="R110" s="1387"/>
      <c r="S110" s="1387"/>
      <c r="T110" s="1387"/>
      <c r="U110" s="1387"/>
      <c r="V110" s="1387"/>
      <c r="W110" s="1387"/>
      <c r="X110" s="1387"/>
      <c r="Y110" s="1387"/>
      <c r="Z110" s="1387"/>
      <c r="AA110" s="1388"/>
      <c r="AB110" s="1389"/>
      <c r="AC110" s="1389"/>
      <c r="AD110" s="1389"/>
      <c r="AE110" s="1389"/>
      <c r="AF110" s="1389"/>
      <c r="AG110" s="846" t="s">
        <v>813</v>
      </c>
    </row>
    <row r="111" spans="2:33" ht="18" customHeight="1" thickTop="1"/>
  </sheetData>
  <dataConsolidate link="1"/>
  <mergeCells count="132">
    <mergeCell ref="B110:Z110"/>
    <mergeCell ref="AA110:AF110"/>
    <mergeCell ref="B103:AG103"/>
    <mergeCell ref="B104:B105"/>
    <mergeCell ref="C104:Z105"/>
    <mergeCell ref="AA104:AG105"/>
    <mergeCell ref="B107:Z107"/>
    <mergeCell ref="AA107:AF107"/>
    <mergeCell ref="B108:Z108"/>
    <mergeCell ref="AA108:AF108"/>
    <mergeCell ref="B109:Z109"/>
    <mergeCell ref="AA109:AF109"/>
    <mergeCell ref="B80:E89"/>
    <mergeCell ref="AE71:AG71"/>
    <mergeCell ref="AE64:AG64"/>
    <mergeCell ref="F80:G83"/>
    <mergeCell ref="B90:E91"/>
    <mergeCell ref="F90:Z90"/>
    <mergeCell ref="F91:Z91"/>
    <mergeCell ref="AA90:AD90"/>
    <mergeCell ref="AA91:AD91"/>
    <mergeCell ref="F84:G89"/>
    <mergeCell ref="F72:G77"/>
    <mergeCell ref="AE75:AG75"/>
    <mergeCell ref="AE81:AG81"/>
    <mergeCell ref="AE66:AG66"/>
    <mergeCell ref="AE68:AG68"/>
    <mergeCell ref="AE67:AG67"/>
    <mergeCell ref="AE73:AG73"/>
    <mergeCell ref="AE88:AG88"/>
    <mergeCell ref="F45:G53"/>
    <mergeCell ref="F54:G71"/>
    <mergeCell ref="AE48:AG48"/>
    <mergeCell ref="AE80:AG80"/>
    <mergeCell ref="AE82:AG82"/>
    <mergeCell ref="H83:AD83"/>
    <mergeCell ref="AE83:AG83"/>
    <mergeCell ref="AE74:AG74"/>
    <mergeCell ref="AE76:AG76"/>
    <mergeCell ref="AE60:AG60"/>
    <mergeCell ref="L26:L28"/>
    <mergeCell ref="AA26:AF28"/>
    <mergeCell ref="T26:Y28"/>
    <mergeCell ref="AE32:AG32"/>
    <mergeCell ref="AG26:AG28"/>
    <mergeCell ref="AE52:AG52"/>
    <mergeCell ref="B93:E94"/>
    <mergeCell ref="B25:E28"/>
    <mergeCell ref="AE53:AG53"/>
    <mergeCell ref="F29:G42"/>
    <mergeCell ref="AE72:AG72"/>
    <mergeCell ref="AE34:AG34"/>
    <mergeCell ref="AE87:AG87"/>
    <mergeCell ref="H89:AD89"/>
    <mergeCell ref="AE33:AG33"/>
    <mergeCell ref="AE50:AG50"/>
    <mergeCell ref="AE36:AG36"/>
    <mergeCell ref="AE49:AG49"/>
    <mergeCell ref="AE31:AG31"/>
    <mergeCell ref="AE29:AG29"/>
    <mergeCell ref="AE30:AG30"/>
    <mergeCell ref="AE41:AG41"/>
    <mergeCell ref="AE35:AG35"/>
    <mergeCell ref="AA94:AF94"/>
    <mergeCell ref="AA93:AF93"/>
    <mergeCell ref="AE55:AG55"/>
    <mergeCell ref="AE59:AG59"/>
    <mergeCell ref="AE58:AG58"/>
    <mergeCell ref="AE61:AG61"/>
    <mergeCell ref="AE57:AG57"/>
    <mergeCell ref="B29:E42"/>
    <mergeCell ref="B45:E77"/>
    <mergeCell ref="H70:AD70"/>
    <mergeCell ref="AE90:AF90"/>
    <mergeCell ref="AE91:AF91"/>
    <mergeCell ref="AE62:AG62"/>
    <mergeCell ref="AE63:AG63"/>
    <mergeCell ref="AE65:AG65"/>
    <mergeCell ref="AE84:AG84"/>
    <mergeCell ref="AE70:AG70"/>
    <mergeCell ref="AE69:AG69"/>
    <mergeCell ref="AE85:AG85"/>
    <mergeCell ref="H77:AD77"/>
    <mergeCell ref="AE77:AG77"/>
    <mergeCell ref="AE89:AG89"/>
    <mergeCell ref="AE86:AG86"/>
    <mergeCell ref="AA92:AF92"/>
    <mergeCell ref="AE46:AG46"/>
    <mergeCell ref="AE40:AG40"/>
    <mergeCell ref="AE37:AG37"/>
    <mergeCell ref="AE54:AG54"/>
    <mergeCell ref="AE45:AG45"/>
    <mergeCell ref="AE56:AG56"/>
    <mergeCell ref="B19:AG19"/>
    <mergeCell ref="B20:B21"/>
    <mergeCell ref="T25:Z25"/>
    <mergeCell ref="M25:S25"/>
    <mergeCell ref="F26:K28"/>
    <mergeCell ref="N28:R28"/>
    <mergeCell ref="N27:S27"/>
    <mergeCell ref="M24:T24"/>
    <mergeCell ref="F25:L25"/>
    <mergeCell ref="AE51:AG51"/>
    <mergeCell ref="AE47:AG47"/>
    <mergeCell ref="AE38:AG38"/>
    <mergeCell ref="M26:R26"/>
    <mergeCell ref="AE39:AG39"/>
    <mergeCell ref="C20:Z21"/>
    <mergeCell ref="AA20:AG21"/>
    <mergeCell ref="AA25:AG25"/>
    <mergeCell ref="AE42:AG42"/>
    <mergeCell ref="Z26:Z28"/>
    <mergeCell ref="B3:AG3"/>
    <mergeCell ref="O8:T8"/>
    <mergeCell ref="U8:AG8"/>
    <mergeCell ref="O9:T9"/>
    <mergeCell ref="U9:AG9"/>
    <mergeCell ref="O10:T10"/>
    <mergeCell ref="U10:AG10"/>
    <mergeCell ref="E6:K6"/>
    <mergeCell ref="B24:L24"/>
    <mergeCell ref="Y14:AE14"/>
    <mergeCell ref="P14:S14"/>
    <mergeCell ref="L14:N14"/>
    <mergeCell ref="B14:G14"/>
    <mergeCell ref="H14:K14"/>
    <mergeCell ref="Q15:V15"/>
    <mergeCell ref="Q16:V16"/>
    <mergeCell ref="B17:P17"/>
    <mergeCell ref="T14:V14"/>
    <mergeCell ref="Q17:V17"/>
    <mergeCell ref="B4:AE4"/>
  </mergeCells>
  <phoneticPr fontId="4"/>
  <dataValidations count="5">
    <dataValidation type="list" allowBlank="1" showInputMessage="1" showErrorMessage="1" sqref="AA20:AG21" xr:uid="{00000000-0002-0000-0200-000001000000}">
      <formula1>$AK$1</formula1>
    </dataValidation>
    <dataValidation type="list" allowBlank="1" showInputMessage="1" showErrorMessage="1" sqref="AF53:AG53 AE45:AE53 AF45:AG51 AE80:AG89 AE54:AG77 AE29:AG42" xr:uid="{00000000-0002-0000-0200-000000000000}">
      <formula1>$AL$1:$AL$2</formula1>
    </dataValidation>
    <dataValidation type="whole" allowBlank="1" showInputMessage="1" showErrorMessage="1" sqref="Q15:V17" xr:uid="{9D08215D-5AB1-4D9E-BD38-D04A0DEE9045}">
      <formula1>0</formula1>
      <formula2>1000</formula2>
    </dataValidation>
    <dataValidation type="list" allowBlank="1" showInputMessage="1" showErrorMessage="1" sqref="AA104:AG105" xr:uid="{816BE87A-3B19-426B-8937-CEFEC65427E8}">
      <formula1>"該当,非該当"</formula1>
    </dataValidation>
    <dataValidation allowBlank="1" showErrorMessage="1" sqref="AA108:AF108" xr:uid="{1AB9CBE4-89FD-44C0-A56D-447ACF7422F3}"/>
  </dataValidations>
  <printOptions horizontalCentered="1"/>
  <pageMargins left="0.78740157480314965" right="0.78740157480314965" top="0.59055118110236227" bottom="0.59055118110236227" header="0.51181102362204722" footer="0.51181102362204722"/>
  <pageSetup paperSize="9" scale="73" fitToHeight="0" orientation="portrait" r:id="rId1"/>
  <headerFooter alignWithMargins="0"/>
  <rowBreaks count="2" manualBreakCount="2">
    <brk id="43" max="35" man="1"/>
    <brk id="78" max="3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B318-08EF-4382-A19E-760E3921C453}">
  <sheetPr>
    <pageSetUpPr fitToPage="1"/>
  </sheetPr>
  <dimension ref="B1:BA46"/>
  <sheetViews>
    <sheetView showGridLines="0" view="pageBreakPreview" topLeftCell="A20" zoomScale="85" zoomScaleNormal="100" zoomScaleSheetLayoutView="85" workbookViewId="0">
      <selection activeCell="Y25" sqref="Y25:AG25"/>
    </sheetView>
  </sheetViews>
  <sheetFormatPr defaultColWidth="9" defaultRowHeight="18" customHeight="1"/>
  <cols>
    <col min="1" max="1" width="2.5" style="576" customWidth="1"/>
    <col min="2" max="34" width="3.375" style="576" customWidth="1"/>
    <col min="35" max="35" width="2.5" style="576" customWidth="1"/>
    <col min="36" max="36" width="3" style="576" customWidth="1"/>
    <col min="37" max="40" width="3" style="576" hidden="1" customWidth="1"/>
    <col min="41" max="47" width="3" style="576" customWidth="1"/>
    <col min="48" max="51" width="9" style="576"/>
    <col min="52" max="53" width="21.375" style="576" customWidth="1"/>
    <col min="54" max="16384" width="9" style="576"/>
  </cols>
  <sheetData>
    <row r="1" spans="2:51" ht="18" customHeight="1">
      <c r="B1" s="575" t="s">
        <v>641</v>
      </c>
      <c r="AM1" s="576" t="s">
        <v>640</v>
      </c>
      <c r="AN1" s="576" t="s">
        <v>639</v>
      </c>
    </row>
    <row r="2" spans="2:51" ht="42.75" customHeight="1">
      <c r="B2" s="1207" t="str">
        <f>様式1!$AQ$1&amp;様式1!$AQ$2&amp;"年度賃金改善計画書（処遇改善等加算）"</f>
        <v>令和８年度賃金改善計画書（処遇改善等加算）</v>
      </c>
      <c r="C2" s="1207"/>
      <c r="D2" s="1207"/>
      <c r="E2" s="1207"/>
      <c r="F2" s="1207"/>
      <c r="G2" s="1207"/>
      <c r="H2" s="1207"/>
      <c r="I2" s="1207"/>
      <c r="J2" s="1207"/>
      <c r="K2" s="1207"/>
      <c r="L2" s="1207"/>
      <c r="M2" s="1207"/>
      <c r="N2" s="1207"/>
      <c r="O2" s="1207"/>
      <c r="P2" s="1207"/>
      <c r="Q2" s="1207"/>
      <c r="R2" s="1207"/>
      <c r="S2" s="1207"/>
      <c r="T2" s="1207"/>
      <c r="U2" s="1207"/>
      <c r="V2" s="1207"/>
      <c r="W2" s="1207"/>
      <c r="X2" s="1207"/>
      <c r="Y2" s="1207"/>
      <c r="Z2" s="1207"/>
      <c r="AA2" s="1207"/>
      <c r="AB2" s="1207"/>
      <c r="AC2" s="1207"/>
      <c r="AD2" s="1207"/>
      <c r="AE2" s="1207"/>
      <c r="AF2" s="1207"/>
      <c r="AG2" s="1207"/>
      <c r="AH2" s="1207"/>
      <c r="AI2" s="1207"/>
      <c r="AJ2" s="1207"/>
    </row>
    <row r="3" spans="2:51" ht="26.25" customHeight="1" thickBot="1">
      <c r="B3" s="580"/>
      <c r="C3" s="580"/>
      <c r="D3" s="580"/>
      <c r="E3" s="580"/>
      <c r="F3" s="580"/>
      <c r="G3" s="580"/>
      <c r="H3" s="580"/>
      <c r="I3" s="580"/>
      <c r="J3" s="580"/>
      <c r="K3" s="580"/>
      <c r="L3" s="580"/>
      <c r="M3" s="580"/>
      <c r="N3" s="580"/>
      <c r="O3" s="580"/>
      <c r="P3" s="580"/>
      <c r="Q3" s="580"/>
      <c r="R3" s="580"/>
      <c r="S3" s="580"/>
      <c r="T3" s="580"/>
      <c r="U3" s="580"/>
      <c r="V3" s="580"/>
      <c r="W3" s="580"/>
      <c r="X3" s="580"/>
      <c r="Y3" s="580"/>
      <c r="Z3" s="580"/>
      <c r="AA3" s="580"/>
      <c r="AB3" s="580"/>
      <c r="AC3" s="580"/>
      <c r="AD3" s="580"/>
      <c r="AE3" s="580"/>
      <c r="AF3" s="580"/>
    </row>
    <row r="4" spans="2:51" ht="20.25" customHeight="1">
      <c r="D4" s="582"/>
      <c r="E4" s="582"/>
      <c r="F4" s="582"/>
      <c r="G4" s="582"/>
      <c r="H4" s="582"/>
      <c r="I4" s="582"/>
      <c r="J4" s="582"/>
      <c r="K4" s="582"/>
      <c r="L4" s="582"/>
      <c r="M4" s="582"/>
      <c r="N4" s="582"/>
      <c r="O4" s="582"/>
      <c r="P4" s="582"/>
      <c r="R4" s="1141" t="s">
        <v>508</v>
      </c>
      <c r="S4" s="1208"/>
      <c r="T4" s="1208"/>
      <c r="U4" s="1208"/>
      <c r="V4" s="1208"/>
      <c r="W4" s="1208"/>
      <c r="X4" s="1460" t="str">
        <f>様式1!U7</f>
        <v>横須賀市</v>
      </c>
      <c r="Y4" s="1461"/>
      <c r="Z4" s="1461"/>
      <c r="AA4" s="1461"/>
      <c r="AB4" s="1461"/>
      <c r="AC4" s="1461"/>
      <c r="AD4" s="1461"/>
      <c r="AE4" s="1461"/>
      <c r="AF4" s="1461"/>
      <c r="AG4" s="1461"/>
      <c r="AH4" s="1461"/>
      <c r="AI4" s="1461"/>
      <c r="AJ4" s="1462"/>
    </row>
    <row r="5" spans="2:51" ht="20.25" customHeight="1">
      <c r="D5" s="582"/>
      <c r="E5" s="582"/>
      <c r="F5" s="582"/>
      <c r="G5" s="582"/>
      <c r="H5" s="582"/>
      <c r="I5" s="582"/>
      <c r="J5" s="582"/>
      <c r="K5" s="582"/>
      <c r="L5" s="582"/>
      <c r="M5" s="582"/>
      <c r="N5" s="582"/>
      <c r="O5" s="582"/>
      <c r="P5" s="582"/>
      <c r="R5" s="1146" t="s">
        <v>507</v>
      </c>
      <c r="S5" s="1211"/>
      <c r="T5" s="1211"/>
      <c r="U5" s="1211"/>
      <c r="V5" s="1211"/>
      <c r="W5" s="1211"/>
      <c r="X5" s="1463">
        <f>様式1!U8</f>
        <v>0</v>
      </c>
      <c r="Y5" s="1464"/>
      <c r="Z5" s="1464"/>
      <c r="AA5" s="1464"/>
      <c r="AB5" s="1464"/>
      <c r="AC5" s="1464"/>
      <c r="AD5" s="1464"/>
      <c r="AE5" s="1464"/>
      <c r="AF5" s="1464"/>
      <c r="AG5" s="1464"/>
      <c r="AH5" s="1464"/>
      <c r="AI5" s="1464"/>
      <c r="AJ5" s="1465"/>
    </row>
    <row r="6" spans="2:51" ht="20.25" customHeight="1" thickBot="1">
      <c r="D6" s="582"/>
      <c r="E6" s="582"/>
      <c r="F6" s="582"/>
      <c r="G6" s="582"/>
      <c r="H6" s="582"/>
      <c r="I6" s="582"/>
      <c r="J6" s="582"/>
      <c r="K6" s="582"/>
      <c r="L6" s="582"/>
      <c r="M6" s="582"/>
      <c r="N6" s="582"/>
      <c r="O6" s="582"/>
      <c r="P6" s="582"/>
      <c r="R6" s="1149" t="s">
        <v>506</v>
      </c>
      <c r="S6" s="1214"/>
      <c r="T6" s="1214"/>
      <c r="U6" s="1214"/>
      <c r="V6" s="1214"/>
      <c r="W6" s="1214"/>
      <c r="X6" s="1457">
        <f>様式1!U9</f>
        <v>0</v>
      </c>
      <c r="Y6" s="1458"/>
      <c r="Z6" s="1458"/>
      <c r="AA6" s="1458"/>
      <c r="AB6" s="1458"/>
      <c r="AC6" s="1458"/>
      <c r="AD6" s="1458"/>
      <c r="AE6" s="1458"/>
      <c r="AF6" s="1458"/>
      <c r="AG6" s="1458"/>
      <c r="AH6" s="1458"/>
      <c r="AI6" s="1458"/>
      <c r="AJ6" s="1459"/>
    </row>
    <row r="7" spans="2:51" ht="9" customHeight="1">
      <c r="R7" s="584"/>
      <c r="S7" s="584"/>
      <c r="T7" s="584"/>
      <c r="U7" s="584"/>
      <c r="V7" s="584"/>
      <c r="W7" s="584"/>
      <c r="X7" s="584"/>
      <c r="Y7" s="584"/>
    </row>
    <row r="8" spans="2:51" ht="9" customHeight="1">
      <c r="R8" s="584"/>
      <c r="S8" s="584"/>
      <c r="T8" s="584"/>
      <c r="U8" s="584"/>
      <c r="V8" s="584"/>
      <c r="W8" s="584"/>
      <c r="X8" s="584"/>
      <c r="Y8" s="584"/>
    </row>
    <row r="9" spans="2:51" ht="18" customHeight="1" thickBot="1">
      <c r="B9" s="576" t="s">
        <v>638</v>
      </c>
    </row>
    <row r="10" spans="2:51" ht="29.25" customHeight="1" thickBot="1">
      <c r="C10" s="688"/>
      <c r="D10" s="689"/>
      <c r="E10" s="689"/>
      <c r="F10" s="689"/>
      <c r="G10" s="689"/>
      <c r="H10" s="689"/>
      <c r="I10" s="689"/>
      <c r="J10" s="689"/>
      <c r="K10" s="689"/>
      <c r="L10" s="689"/>
      <c r="M10" s="690"/>
      <c r="N10" s="1262" t="s">
        <v>612</v>
      </c>
      <c r="O10" s="1262"/>
      <c r="P10" s="1262"/>
      <c r="Q10" s="1262"/>
      <c r="R10" s="1262"/>
      <c r="S10" s="1262"/>
      <c r="T10" s="1262"/>
      <c r="U10" s="1262"/>
      <c r="V10" s="1263"/>
      <c r="W10" s="1454" t="s">
        <v>637</v>
      </c>
      <c r="X10" s="1455"/>
      <c r="Y10" s="1455"/>
      <c r="Z10" s="1455"/>
      <c r="AA10" s="1455"/>
      <c r="AB10" s="1455"/>
      <c r="AC10" s="1455"/>
      <c r="AD10" s="1455"/>
      <c r="AE10" s="1456"/>
      <c r="AG10" s="1446" t="s">
        <v>636</v>
      </c>
      <c r="AH10" s="1447"/>
      <c r="AI10" s="1448"/>
      <c r="AJ10" s="617" t="str">
        <f>IFERROR(IF(N12&gt;=N11,"○","×"),"")</f>
        <v/>
      </c>
    </row>
    <row r="11" spans="2:51" ht="27.75" customHeight="1" thickBot="1">
      <c r="C11" s="691" t="s">
        <v>531</v>
      </c>
      <c r="D11" s="1449" t="s">
        <v>635</v>
      </c>
      <c r="E11" s="1449"/>
      <c r="F11" s="1449"/>
      <c r="G11" s="1449"/>
      <c r="H11" s="1449"/>
      <c r="I11" s="1449"/>
      <c r="J11" s="1449"/>
      <c r="K11" s="1449"/>
      <c r="L11" s="1449"/>
      <c r="M11" s="1449"/>
      <c r="N11" s="1450" t="e">
        <f>【参考】計算結果!$D$14-N39+N40</f>
        <v>#N/A</v>
      </c>
      <c r="O11" s="1450"/>
      <c r="P11" s="1450"/>
      <c r="Q11" s="1450"/>
      <c r="R11" s="1450"/>
      <c r="S11" s="1450"/>
      <c r="T11" s="1450"/>
      <c r="U11" s="1450"/>
      <c r="V11" s="692" t="s">
        <v>609</v>
      </c>
      <c r="W11" s="1450">
        <f>【参考】計算結果!$D$20</f>
        <v>0</v>
      </c>
      <c r="X11" s="1450"/>
      <c r="Y11" s="1450"/>
      <c r="Z11" s="1450"/>
      <c r="AA11" s="1450"/>
      <c r="AB11" s="1450"/>
      <c r="AC11" s="1450"/>
      <c r="AD11" s="1450"/>
      <c r="AE11" s="693" t="s">
        <v>609</v>
      </c>
      <c r="AF11" s="603"/>
      <c r="AG11" s="1451" t="s">
        <v>634</v>
      </c>
      <c r="AH11" s="1452"/>
      <c r="AI11" s="1453"/>
      <c r="AJ11" s="617" t="str">
        <f>IFERROR(IF(W12&gt;=W11,"○","×"),"")</f>
        <v>○</v>
      </c>
    </row>
    <row r="12" spans="2:51" ht="27.75" customHeight="1">
      <c r="C12" s="694" t="s">
        <v>524</v>
      </c>
      <c r="D12" s="1428" t="s">
        <v>633</v>
      </c>
      <c r="E12" s="1429"/>
      <c r="F12" s="1429"/>
      <c r="G12" s="1429"/>
      <c r="H12" s="1429"/>
      <c r="I12" s="1429"/>
      <c r="J12" s="1429"/>
      <c r="K12" s="1429"/>
      <c r="L12" s="1429"/>
      <c r="M12" s="1430"/>
      <c r="N12" s="1444">
        <f>ROUNDDOWN(N13+N14,-3)</f>
        <v>0</v>
      </c>
      <c r="O12" s="1444"/>
      <c r="P12" s="1444"/>
      <c r="Q12" s="1444"/>
      <c r="R12" s="1444"/>
      <c r="S12" s="1444"/>
      <c r="T12" s="1444"/>
      <c r="U12" s="1444"/>
      <c r="V12" s="738" t="s">
        <v>609</v>
      </c>
      <c r="W12" s="1444">
        <f>ROUNDDOWN(W13+W14,-3)</f>
        <v>0</v>
      </c>
      <c r="X12" s="1444"/>
      <c r="Y12" s="1444"/>
      <c r="Z12" s="1444"/>
      <c r="AA12" s="1444"/>
      <c r="AB12" s="1444"/>
      <c r="AC12" s="1444"/>
      <c r="AD12" s="1444"/>
      <c r="AE12" s="739" t="s">
        <v>609</v>
      </c>
      <c r="AF12" s="603"/>
      <c r="AG12" s="603"/>
    </row>
    <row r="13" spans="2:51" ht="27.75" customHeight="1">
      <c r="C13" s="694"/>
      <c r="D13" s="1428" t="s">
        <v>632</v>
      </c>
      <c r="E13" s="1429"/>
      <c r="F13" s="1429"/>
      <c r="G13" s="1429"/>
      <c r="H13" s="1429"/>
      <c r="I13" s="1429"/>
      <c r="J13" s="1429"/>
      <c r="K13" s="1429"/>
      <c r="L13" s="1429"/>
      <c r="M13" s="1430"/>
      <c r="N13" s="1445">
        <f>様式4別添1!U61</f>
        <v>0</v>
      </c>
      <c r="O13" s="1445"/>
      <c r="P13" s="1445"/>
      <c r="Q13" s="1445"/>
      <c r="R13" s="1445"/>
      <c r="S13" s="1445"/>
      <c r="T13" s="1445"/>
      <c r="U13" s="1445"/>
      <c r="V13" s="695" t="s">
        <v>609</v>
      </c>
      <c r="W13" s="1445">
        <f>様式4別添1!Y61</f>
        <v>0</v>
      </c>
      <c r="X13" s="1445"/>
      <c r="Y13" s="1445"/>
      <c r="Z13" s="1445"/>
      <c r="AA13" s="1445"/>
      <c r="AB13" s="1445"/>
      <c r="AC13" s="1445"/>
      <c r="AD13" s="1445"/>
      <c r="AE13" s="695" t="s">
        <v>609</v>
      </c>
      <c r="AF13" s="603"/>
      <c r="AG13" s="603"/>
    </row>
    <row r="14" spans="2:51" ht="27.75" customHeight="1">
      <c r="C14" s="694"/>
      <c r="D14" s="1428" t="s">
        <v>631</v>
      </c>
      <c r="E14" s="1429"/>
      <c r="F14" s="1429"/>
      <c r="G14" s="1429"/>
      <c r="H14" s="1429"/>
      <c r="I14" s="1429"/>
      <c r="J14" s="1429"/>
      <c r="K14" s="1429"/>
      <c r="L14" s="1429"/>
      <c r="M14" s="1430"/>
      <c r="N14" s="1440"/>
      <c r="O14" s="1440"/>
      <c r="P14" s="1440"/>
      <c r="Q14" s="1440"/>
      <c r="R14" s="1440"/>
      <c r="S14" s="1440"/>
      <c r="T14" s="1440"/>
      <c r="U14" s="1440"/>
      <c r="V14" s="695" t="s">
        <v>609</v>
      </c>
      <c r="W14" s="1440"/>
      <c r="X14" s="1440"/>
      <c r="Y14" s="1440"/>
      <c r="Z14" s="1440"/>
      <c r="AA14" s="1440"/>
      <c r="AB14" s="1440"/>
      <c r="AC14" s="1440"/>
      <c r="AD14" s="1440"/>
      <c r="AE14" s="692" t="s">
        <v>609</v>
      </c>
      <c r="AF14" s="603"/>
      <c r="AG14" s="603"/>
    </row>
    <row r="15" spans="2:51" ht="27.75" customHeight="1">
      <c r="C15" s="596"/>
      <c r="D15" s="696"/>
      <c r="E15" s="696"/>
      <c r="F15" s="696"/>
      <c r="G15" s="696"/>
      <c r="H15" s="696"/>
      <c r="I15" s="696"/>
      <c r="J15" s="696"/>
      <c r="K15" s="696"/>
      <c r="L15" s="696"/>
      <c r="M15" s="696"/>
      <c r="O15" s="697"/>
      <c r="P15" s="697"/>
      <c r="Q15" s="697"/>
      <c r="R15" s="697"/>
      <c r="S15" s="697"/>
      <c r="T15" s="697"/>
      <c r="U15" s="697"/>
      <c r="V15" s="697"/>
      <c r="W15" s="697"/>
      <c r="X15" s="698"/>
      <c r="Y15" s="697"/>
      <c r="Z15" s="697"/>
      <c r="AA15" s="697"/>
      <c r="AB15" s="697"/>
      <c r="AC15" s="697"/>
      <c r="AD15" s="697"/>
      <c r="AE15" s="697"/>
      <c r="AF15" s="697"/>
      <c r="AG15" s="697"/>
      <c r="AH15" s="603"/>
    </row>
    <row r="16" spans="2:51" ht="18" customHeight="1" thickBot="1">
      <c r="B16" s="576" t="s">
        <v>630</v>
      </c>
      <c r="AY16" s="582"/>
    </row>
    <row r="17" spans="3:53" ht="30.75" customHeight="1" thickBot="1">
      <c r="C17" s="699" t="s">
        <v>531</v>
      </c>
      <c r="D17" s="1441" t="s">
        <v>885</v>
      </c>
      <c r="E17" s="1441"/>
      <c r="F17" s="1441"/>
      <c r="G17" s="1441"/>
      <c r="H17" s="1441"/>
      <c r="I17" s="1441"/>
      <c r="J17" s="1441"/>
      <c r="K17" s="1441"/>
      <c r="L17" s="1441"/>
      <c r="M17" s="1441"/>
      <c r="N17" s="1441"/>
      <c r="O17" s="1441"/>
      <c r="P17" s="1441"/>
      <c r="Q17" s="1441"/>
      <c r="R17" s="1441"/>
      <c r="S17" s="1441"/>
      <c r="T17" s="1441"/>
      <c r="U17" s="1441"/>
      <c r="V17" s="1441"/>
      <c r="W17" s="1441"/>
      <c r="X17" s="1442"/>
      <c r="Y17" s="1420">
        <f>Y18-Y19-Y20-Y21-Y22-Y23</f>
        <v>0</v>
      </c>
      <c r="Z17" s="1421"/>
      <c r="AA17" s="1421"/>
      <c r="AB17" s="1421"/>
      <c r="AC17" s="1421"/>
      <c r="AD17" s="1421"/>
      <c r="AE17" s="1421"/>
      <c r="AF17" s="1421"/>
      <c r="AG17" s="1422"/>
      <c r="AH17" s="693" t="s">
        <v>609</v>
      </c>
      <c r="AJ17" s="700" t="str">
        <f>IFERROR(IF(Y17&gt;=Y24,"○","×"),"")</f>
        <v>○</v>
      </c>
      <c r="AY17" s="582" t="s">
        <v>629</v>
      </c>
      <c r="AZ17" s="475"/>
    </row>
    <row r="18" spans="3:53" ht="27.75" customHeight="1">
      <c r="C18" s="701"/>
      <c r="D18" s="1428" t="s">
        <v>628</v>
      </c>
      <c r="E18" s="1429"/>
      <c r="F18" s="1429"/>
      <c r="G18" s="1429"/>
      <c r="H18" s="1429"/>
      <c r="I18" s="1429"/>
      <c r="J18" s="1429"/>
      <c r="K18" s="1429"/>
      <c r="L18" s="1429"/>
      <c r="M18" s="1429"/>
      <c r="N18" s="1429"/>
      <c r="O18" s="1429"/>
      <c r="P18" s="1429"/>
      <c r="Q18" s="1429"/>
      <c r="R18" s="1429"/>
      <c r="S18" s="1429"/>
      <c r="T18" s="1429"/>
      <c r="U18" s="1429"/>
      <c r="V18" s="1429"/>
      <c r="W18" s="1429"/>
      <c r="X18" s="1430"/>
      <c r="Y18" s="1420">
        <f>様式4別添1!T61</f>
        <v>0</v>
      </c>
      <c r="Z18" s="1421"/>
      <c r="AA18" s="1421"/>
      <c r="AB18" s="1421"/>
      <c r="AC18" s="1421"/>
      <c r="AD18" s="1421"/>
      <c r="AE18" s="1421"/>
      <c r="AF18" s="1421"/>
      <c r="AG18" s="1422"/>
      <c r="AH18" s="693" t="s">
        <v>609</v>
      </c>
      <c r="AY18" s="582" t="s">
        <v>627</v>
      </c>
      <c r="AZ18" s="475"/>
    </row>
    <row r="19" spans="3:53" ht="27.75" customHeight="1">
      <c r="C19" s="701"/>
      <c r="D19" s="1428" t="s">
        <v>626</v>
      </c>
      <c r="E19" s="1429"/>
      <c r="F19" s="1429"/>
      <c r="G19" s="1429"/>
      <c r="H19" s="1429"/>
      <c r="I19" s="1429"/>
      <c r="J19" s="1429"/>
      <c r="K19" s="1429"/>
      <c r="L19" s="1429"/>
      <c r="M19" s="1429"/>
      <c r="N19" s="1429"/>
      <c r="O19" s="1429"/>
      <c r="P19" s="1429"/>
      <c r="Q19" s="1429"/>
      <c r="R19" s="1429"/>
      <c r="S19" s="1429"/>
      <c r="T19" s="1429"/>
      <c r="U19" s="1429"/>
      <c r="V19" s="1429"/>
      <c r="W19" s="1429"/>
      <c r="X19" s="1430"/>
      <c r="Y19" s="1420">
        <f>N13+W13</f>
        <v>0</v>
      </c>
      <c r="Z19" s="1421"/>
      <c r="AA19" s="1421"/>
      <c r="AB19" s="1421"/>
      <c r="AC19" s="1421"/>
      <c r="AD19" s="1421"/>
      <c r="AE19" s="1421"/>
      <c r="AF19" s="1421"/>
      <c r="AG19" s="1422"/>
      <c r="AH19" s="693" t="s">
        <v>609</v>
      </c>
      <c r="AX19" s="578"/>
      <c r="AY19" s="702" t="s">
        <v>625</v>
      </c>
      <c r="AZ19" s="703" t="e">
        <f>$AZ$17/$AZ$18*$N$13</f>
        <v>#DIV/0!</v>
      </c>
      <c r="BA19" s="703" t="e">
        <f>$AZ$17/$AZ$18*$W$13</f>
        <v>#DIV/0!</v>
      </c>
    </row>
    <row r="20" spans="3:53" ht="27.75" customHeight="1">
      <c r="C20" s="701"/>
      <c r="D20" s="1443" t="s">
        <v>887</v>
      </c>
      <c r="E20" s="1418"/>
      <c r="F20" s="1418"/>
      <c r="G20" s="1418"/>
      <c r="H20" s="1418"/>
      <c r="I20" s="1418"/>
      <c r="J20" s="1418"/>
      <c r="K20" s="1418"/>
      <c r="L20" s="1418"/>
      <c r="M20" s="1418"/>
      <c r="N20" s="1418"/>
      <c r="O20" s="1418"/>
      <c r="P20" s="1418"/>
      <c r="Q20" s="1418"/>
      <c r="R20" s="1418"/>
      <c r="S20" s="1418"/>
      <c r="T20" s="1418"/>
      <c r="U20" s="1418"/>
      <c r="V20" s="1418"/>
      <c r="W20" s="1418"/>
      <c r="X20" s="1419"/>
      <c r="Y20" s="1420">
        <f>様式4別添1!AB61</f>
        <v>0</v>
      </c>
      <c r="Z20" s="1421"/>
      <c r="AA20" s="1421"/>
      <c r="AB20" s="1421"/>
      <c r="AC20" s="1421"/>
      <c r="AD20" s="1421"/>
      <c r="AE20" s="1421"/>
      <c r="AF20" s="1421"/>
      <c r="AG20" s="1422"/>
      <c r="AH20" s="693" t="s">
        <v>609</v>
      </c>
      <c r="AX20" s="578"/>
      <c r="AY20" s="702"/>
      <c r="AZ20" s="872"/>
      <c r="BA20" s="872"/>
    </row>
    <row r="21" spans="3:53" ht="27.75" customHeight="1">
      <c r="C21" s="701"/>
      <c r="D21" s="1428" t="s">
        <v>882</v>
      </c>
      <c r="E21" s="1429"/>
      <c r="F21" s="1429"/>
      <c r="G21" s="1429"/>
      <c r="H21" s="1429"/>
      <c r="I21" s="1429"/>
      <c r="J21" s="1429"/>
      <c r="K21" s="1429"/>
      <c r="L21" s="1429"/>
      <c r="M21" s="1429"/>
      <c r="N21" s="1429"/>
      <c r="O21" s="1429"/>
      <c r="P21" s="1429"/>
      <c r="Q21" s="1429"/>
      <c r="R21" s="1429"/>
      <c r="S21" s="1429"/>
      <c r="T21" s="1429"/>
      <c r="U21" s="1429"/>
      <c r="V21" s="1429"/>
      <c r="W21" s="1429"/>
      <c r="X21" s="1430"/>
      <c r="Y21" s="1420">
        <f>様式4別添1!AC61</f>
        <v>0</v>
      </c>
      <c r="Z21" s="1421"/>
      <c r="AA21" s="1421"/>
      <c r="AB21" s="1421"/>
      <c r="AC21" s="1421"/>
      <c r="AD21" s="1421"/>
      <c r="AE21" s="1421"/>
      <c r="AF21" s="1421"/>
      <c r="AG21" s="1422"/>
      <c r="AH21" s="692" t="s">
        <v>609</v>
      </c>
      <c r="AZ21" s="704" t="s">
        <v>624</v>
      </c>
      <c r="BA21" s="704" t="s">
        <v>623</v>
      </c>
    </row>
    <row r="22" spans="3:53" ht="27.75" customHeight="1">
      <c r="C22" s="701"/>
      <c r="D22" s="1428" t="s">
        <v>883</v>
      </c>
      <c r="E22" s="1429"/>
      <c r="F22" s="1429"/>
      <c r="G22" s="1429"/>
      <c r="H22" s="1429"/>
      <c r="I22" s="1429"/>
      <c r="J22" s="1429"/>
      <c r="K22" s="1429"/>
      <c r="L22" s="1429"/>
      <c r="M22" s="1429"/>
      <c r="N22" s="1429"/>
      <c r="O22" s="1429"/>
      <c r="P22" s="1429"/>
      <c r="Q22" s="1429"/>
      <c r="R22" s="1429"/>
      <c r="S22" s="1429"/>
      <c r="T22" s="1429"/>
      <c r="U22" s="1429"/>
      <c r="V22" s="1429"/>
      <c r="W22" s="1429"/>
      <c r="X22" s="1430"/>
      <c r="Y22" s="1420">
        <f>様式4別添1!AD61</f>
        <v>0</v>
      </c>
      <c r="Z22" s="1421"/>
      <c r="AA22" s="1421"/>
      <c r="AB22" s="1421"/>
      <c r="AC22" s="1421"/>
      <c r="AD22" s="1421"/>
      <c r="AE22" s="1421"/>
      <c r="AF22" s="1421"/>
      <c r="AG22" s="1422"/>
      <c r="AH22" s="692" t="s">
        <v>609</v>
      </c>
    </row>
    <row r="23" spans="3:53" ht="27.75" customHeight="1">
      <c r="C23" s="701"/>
      <c r="D23" s="1428" t="s">
        <v>884</v>
      </c>
      <c r="E23" s="1429"/>
      <c r="F23" s="1429"/>
      <c r="G23" s="1429"/>
      <c r="H23" s="1429"/>
      <c r="I23" s="1429"/>
      <c r="J23" s="1429"/>
      <c r="K23" s="1429"/>
      <c r="L23" s="1429"/>
      <c r="M23" s="1429"/>
      <c r="N23" s="1429"/>
      <c r="O23" s="1429"/>
      <c r="P23" s="1429"/>
      <c r="Q23" s="1429"/>
      <c r="R23" s="1429"/>
      <c r="S23" s="1429"/>
      <c r="T23" s="1429"/>
      <c r="U23" s="1429"/>
      <c r="V23" s="1429"/>
      <c r="W23" s="1429"/>
      <c r="X23" s="1430"/>
      <c r="Y23" s="1420">
        <f>様式4別添1!AE61</f>
        <v>0</v>
      </c>
      <c r="Z23" s="1421"/>
      <c r="AA23" s="1421"/>
      <c r="AB23" s="1421"/>
      <c r="AC23" s="1421"/>
      <c r="AD23" s="1421"/>
      <c r="AE23" s="1421"/>
      <c r="AF23" s="1421"/>
      <c r="AG23" s="1422"/>
      <c r="AH23" s="692" t="s">
        <v>609</v>
      </c>
    </row>
    <row r="24" spans="3:53" ht="27.75" customHeight="1">
      <c r="C24" s="699" t="s">
        <v>524</v>
      </c>
      <c r="D24" s="1429" t="s">
        <v>886</v>
      </c>
      <c r="E24" s="1429"/>
      <c r="F24" s="1429"/>
      <c r="G24" s="1429"/>
      <c r="H24" s="1429"/>
      <c r="I24" s="1429"/>
      <c r="J24" s="1429"/>
      <c r="K24" s="1429"/>
      <c r="L24" s="1429"/>
      <c r="M24" s="1429"/>
      <c r="N24" s="1429"/>
      <c r="O24" s="1429"/>
      <c r="P24" s="1429"/>
      <c r="Q24" s="1429"/>
      <c r="R24" s="1429"/>
      <c r="S24" s="1429"/>
      <c r="T24" s="1429"/>
      <c r="U24" s="1429"/>
      <c r="V24" s="1429"/>
      <c r="W24" s="1429"/>
      <c r="X24" s="1430"/>
      <c r="Y24" s="1420">
        <f>Y25-(Y26-Y27)-Y28-Y29-Y30+Y31</f>
        <v>0</v>
      </c>
      <c r="Z24" s="1421"/>
      <c r="AA24" s="1421"/>
      <c r="AB24" s="1421"/>
      <c r="AC24" s="1421"/>
      <c r="AD24" s="1421"/>
      <c r="AE24" s="1421"/>
      <c r="AF24" s="1421"/>
      <c r="AG24" s="1422"/>
      <c r="AH24" s="693" t="s">
        <v>609</v>
      </c>
    </row>
    <row r="25" spans="3:53" ht="27.75" customHeight="1">
      <c r="C25" s="701"/>
      <c r="D25" s="1428" t="s">
        <v>622</v>
      </c>
      <c r="E25" s="1429"/>
      <c r="F25" s="1429"/>
      <c r="G25" s="1429"/>
      <c r="H25" s="1429"/>
      <c r="I25" s="1429"/>
      <c r="J25" s="1429"/>
      <c r="K25" s="1429"/>
      <c r="L25" s="1429"/>
      <c r="M25" s="1429"/>
      <c r="N25" s="1429"/>
      <c r="O25" s="1429"/>
      <c r="P25" s="1429"/>
      <c r="Q25" s="1429"/>
      <c r="R25" s="1429"/>
      <c r="S25" s="1429"/>
      <c r="T25" s="1429"/>
      <c r="U25" s="1429"/>
      <c r="V25" s="1429"/>
      <c r="W25" s="1429"/>
      <c r="X25" s="1430"/>
      <c r="Y25" s="1420">
        <f>様式4別添1!K61</f>
        <v>0</v>
      </c>
      <c r="Z25" s="1421"/>
      <c r="AA25" s="1421"/>
      <c r="AB25" s="1421"/>
      <c r="AC25" s="1421"/>
      <c r="AD25" s="1421"/>
      <c r="AE25" s="1421"/>
      <c r="AF25" s="1421"/>
      <c r="AG25" s="1422"/>
      <c r="AH25" s="693" t="s">
        <v>609</v>
      </c>
    </row>
    <row r="26" spans="3:53" ht="27.75" customHeight="1">
      <c r="C26" s="701"/>
      <c r="D26" s="1428" t="s">
        <v>621</v>
      </c>
      <c r="E26" s="1429"/>
      <c r="F26" s="1429"/>
      <c r="G26" s="1429"/>
      <c r="H26" s="1429"/>
      <c r="I26" s="1429"/>
      <c r="J26" s="1429"/>
      <c r="K26" s="1429"/>
      <c r="L26" s="1429"/>
      <c r="M26" s="1429"/>
      <c r="N26" s="1429"/>
      <c r="O26" s="1429"/>
      <c r="P26" s="1429"/>
      <c r="Q26" s="1429"/>
      <c r="R26" s="1429"/>
      <c r="S26" s="1429"/>
      <c r="T26" s="1429"/>
      <c r="U26" s="1429"/>
      <c r="V26" s="1429"/>
      <c r="W26" s="1429"/>
      <c r="X26" s="1430"/>
      <c r="Y26" s="1420">
        <f>様式4別添1!L61</f>
        <v>0</v>
      </c>
      <c r="Z26" s="1421"/>
      <c r="AA26" s="1421"/>
      <c r="AB26" s="1421"/>
      <c r="AC26" s="1421"/>
      <c r="AD26" s="1421"/>
      <c r="AE26" s="1421"/>
      <c r="AF26" s="1421"/>
      <c r="AG26" s="1422"/>
      <c r="AH26" s="693" t="s">
        <v>609</v>
      </c>
    </row>
    <row r="27" spans="3:53" ht="27.75" customHeight="1">
      <c r="C27" s="701"/>
      <c r="D27" s="1428" t="s">
        <v>620</v>
      </c>
      <c r="E27" s="1429"/>
      <c r="F27" s="1429"/>
      <c r="G27" s="1429"/>
      <c r="H27" s="1429"/>
      <c r="I27" s="1429"/>
      <c r="J27" s="1429"/>
      <c r="K27" s="1429"/>
      <c r="L27" s="1429"/>
      <c r="M27" s="1429"/>
      <c r="N27" s="1429"/>
      <c r="O27" s="1429"/>
      <c r="P27" s="1429"/>
      <c r="Q27" s="1429"/>
      <c r="R27" s="1429"/>
      <c r="S27" s="1429"/>
      <c r="T27" s="1429"/>
      <c r="U27" s="1429"/>
      <c r="V27" s="1429"/>
      <c r="W27" s="1429"/>
      <c r="X27" s="1430"/>
      <c r="Y27" s="1420">
        <f>様式4別添1!M61</f>
        <v>0</v>
      </c>
      <c r="Z27" s="1421"/>
      <c r="AA27" s="1421"/>
      <c r="AB27" s="1421"/>
      <c r="AC27" s="1421"/>
      <c r="AD27" s="1421"/>
      <c r="AE27" s="1421"/>
      <c r="AF27" s="1421"/>
      <c r="AG27" s="1422"/>
      <c r="AH27" s="693" t="s">
        <v>609</v>
      </c>
    </row>
    <row r="28" spans="3:53" ht="27.75" customHeight="1">
      <c r="C28" s="701"/>
      <c r="D28" s="1428" t="s">
        <v>619</v>
      </c>
      <c r="E28" s="1429"/>
      <c r="F28" s="1429"/>
      <c r="G28" s="1429"/>
      <c r="H28" s="1429"/>
      <c r="I28" s="1429"/>
      <c r="J28" s="1429"/>
      <c r="K28" s="1429"/>
      <c r="L28" s="1429"/>
      <c r="M28" s="1429"/>
      <c r="N28" s="1429"/>
      <c r="O28" s="1429"/>
      <c r="P28" s="1429"/>
      <c r="Q28" s="1429"/>
      <c r="R28" s="1429"/>
      <c r="S28" s="1429"/>
      <c r="T28" s="1429"/>
      <c r="U28" s="1429"/>
      <c r="V28" s="1429"/>
      <c r="W28" s="1429"/>
      <c r="X28" s="1430"/>
      <c r="Y28" s="1420">
        <f>様式4別添1!N61</f>
        <v>0</v>
      </c>
      <c r="Z28" s="1421"/>
      <c r="AA28" s="1421"/>
      <c r="AB28" s="1421"/>
      <c r="AC28" s="1421"/>
      <c r="AD28" s="1421"/>
      <c r="AE28" s="1421"/>
      <c r="AF28" s="1421"/>
      <c r="AG28" s="1422"/>
      <c r="AH28" s="693" t="s">
        <v>609</v>
      </c>
    </row>
    <row r="29" spans="3:53" ht="27.75" customHeight="1">
      <c r="C29" s="705"/>
      <c r="D29" s="1429" t="s">
        <v>618</v>
      </c>
      <c r="E29" s="1429"/>
      <c r="F29" s="1429"/>
      <c r="G29" s="1429"/>
      <c r="H29" s="1429"/>
      <c r="I29" s="1429"/>
      <c r="J29" s="1429"/>
      <c r="K29" s="1429"/>
      <c r="L29" s="1429"/>
      <c r="M29" s="1429"/>
      <c r="N29" s="1429"/>
      <c r="O29" s="1429"/>
      <c r="P29" s="1429"/>
      <c r="Q29" s="1429"/>
      <c r="R29" s="1429"/>
      <c r="S29" s="1429"/>
      <c r="T29" s="1429"/>
      <c r="U29" s="1429"/>
      <c r="V29" s="1429"/>
      <c r="W29" s="1429"/>
      <c r="X29" s="1430"/>
      <c r="Y29" s="1420">
        <f>様式4別添1!O61</f>
        <v>0</v>
      </c>
      <c r="Z29" s="1421"/>
      <c r="AA29" s="1421"/>
      <c r="AB29" s="1421"/>
      <c r="AC29" s="1421"/>
      <c r="AD29" s="1421"/>
      <c r="AE29" s="1421"/>
      <c r="AF29" s="1421"/>
      <c r="AG29" s="1422"/>
      <c r="AH29" s="692" t="s">
        <v>609</v>
      </c>
    </row>
    <row r="30" spans="3:53" ht="27.75" customHeight="1">
      <c r="C30" s="705"/>
      <c r="D30" s="1418" t="s">
        <v>888</v>
      </c>
      <c r="E30" s="1418"/>
      <c r="F30" s="1418"/>
      <c r="G30" s="1418"/>
      <c r="H30" s="1418"/>
      <c r="I30" s="1418"/>
      <c r="J30" s="1418"/>
      <c r="K30" s="1418"/>
      <c r="L30" s="1418"/>
      <c r="M30" s="1418"/>
      <c r="N30" s="1418"/>
      <c r="O30" s="1418"/>
      <c r="P30" s="1418"/>
      <c r="Q30" s="1418"/>
      <c r="R30" s="1418"/>
      <c r="S30" s="1418"/>
      <c r="T30" s="1418"/>
      <c r="U30" s="1418"/>
      <c r="V30" s="1418"/>
      <c r="W30" s="1418"/>
      <c r="X30" s="1419"/>
      <c r="Y30" s="1420">
        <f>様式4別添1!P61</f>
        <v>0</v>
      </c>
      <c r="Z30" s="1421"/>
      <c r="AA30" s="1421"/>
      <c r="AB30" s="1421"/>
      <c r="AC30" s="1421"/>
      <c r="AD30" s="1421"/>
      <c r="AE30" s="1421"/>
      <c r="AF30" s="1421"/>
      <c r="AG30" s="1422"/>
      <c r="AH30" s="692" t="s">
        <v>609</v>
      </c>
    </row>
    <row r="31" spans="3:53" ht="27.75" customHeight="1">
      <c r="C31" s="691"/>
      <c r="D31" s="1428" t="s">
        <v>617</v>
      </c>
      <c r="E31" s="1429"/>
      <c r="F31" s="1429"/>
      <c r="G31" s="1429"/>
      <c r="H31" s="1429"/>
      <c r="I31" s="1429"/>
      <c r="J31" s="1429"/>
      <c r="K31" s="1429"/>
      <c r="L31" s="1429"/>
      <c r="M31" s="1429"/>
      <c r="N31" s="1429"/>
      <c r="O31" s="1429"/>
      <c r="P31" s="1429"/>
      <c r="Q31" s="1429"/>
      <c r="R31" s="1429"/>
      <c r="S31" s="1429"/>
      <c r="T31" s="1429"/>
      <c r="U31" s="1429"/>
      <c r="V31" s="1429"/>
      <c r="W31" s="1429"/>
      <c r="X31" s="1430"/>
      <c r="Y31" s="1420">
        <f>様式4別添1!Q61</f>
        <v>0</v>
      </c>
      <c r="Z31" s="1421"/>
      <c r="AA31" s="1421"/>
      <c r="AB31" s="1421"/>
      <c r="AC31" s="1421"/>
      <c r="AD31" s="1421"/>
      <c r="AE31" s="1421"/>
      <c r="AF31" s="1421"/>
      <c r="AG31" s="1422"/>
      <c r="AH31" s="692" t="s">
        <v>609</v>
      </c>
    </row>
    <row r="32" spans="3:53" ht="9" customHeight="1">
      <c r="C32" s="596"/>
      <c r="D32" s="696"/>
      <c r="E32" s="696"/>
      <c r="F32" s="696"/>
      <c r="G32" s="696"/>
      <c r="H32" s="696"/>
      <c r="I32" s="696"/>
      <c r="J32" s="696"/>
      <c r="K32" s="696"/>
      <c r="L32" s="696"/>
      <c r="M32" s="696"/>
      <c r="N32" s="696"/>
      <c r="O32" s="696"/>
      <c r="P32" s="696"/>
      <c r="Q32" s="696"/>
      <c r="R32" s="696"/>
      <c r="S32" s="696"/>
      <c r="T32" s="696"/>
      <c r="U32" s="696"/>
      <c r="V32" s="696"/>
      <c r="W32" s="696"/>
      <c r="X32" s="696"/>
      <c r="Y32" s="706"/>
      <c r="Z32" s="706"/>
      <c r="AA32" s="706"/>
      <c r="AB32" s="706"/>
      <c r="AC32" s="706"/>
      <c r="AD32" s="706"/>
      <c r="AE32" s="706"/>
      <c r="AF32" s="706"/>
      <c r="AG32" s="706"/>
      <c r="AH32" s="603"/>
    </row>
    <row r="33" spans="2:34" ht="21" customHeight="1">
      <c r="B33" s="576" t="s">
        <v>616</v>
      </c>
    </row>
    <row r="34" spans="2:34" ht="29.25" customHeight="1">
      <c r="C34" s="1428" t="s">
        <v>615</v>
      </c>
      <c r="D34" s="1429"/>
      <c r="E34" s="1429"/>
      <c r="F34" s="1429"/>
      <c r="G34" s="1429"/>
      <c r="H34" s="1429"/>
      <c r="I34" s="1430"/>
      <c r="J34" s="1437"/>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9"/>
    </row>
    <row r="35" spans="2:34" ht="29.25" customHeight="1">
      <c r="C35" s="1428" t="s">
        <v>614</v>
      </c>
      <c r="D35" s="1429"/>
      <c r="E35" s="1429"/>
      <c r="F35" s="1429"/>
      <c r="G35" s="1429"/>
      <c r="H35" s="1429"/>
      <c r="I35" s="1430"/>
      <c r="J35" s="1437"/>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9"/>
    </row>
    <row r="37" spans="2:34" ht="27" customHeight="1">
      <c r="B37" s="576" t="s">
        <v>613</v>
      </c>
    </row>
    <row r="38" spans="2:34" ht="29.25" customHeight="1">
      <c r="C38" s="1261"/>
      <c r="D38" s="1262"/>
      <c r="E38" s="1262"/>
      <c r="F38" s="1262"/>
      <c r="G38" s="1262"/>
      <c r="H38" s="1262"/>
      <c r="I38" s="1262"/>
      <c r="J38" s="1262"/>
      <c r="K38" s="1262"/>
      <c r="L38" s="1262"/>
      <c r="M38" s="1263"/>
      <c r="N38" s="1262" t="s">
        <v>612</v>
      </c>
      <c r="O38" s="1262"/>
      <c r="P38" s="1262"/>
      <c r="Q38" s="1262"/>
      <c r="R38" s="1262"/>
      <c r="S38" s="1262"/>
      <c r="T38" s="1262"/>
      <c r="U38" s="1262"/>
      <c r="V38" s="1263"/>
      <c r="W38" s="1423"/>
      <c r="X38" s="1423"/>
      <c r="Y38" s="1423"/>
    </row>
    <row r="39" spans="2:34" ht="24" customHeight="1">
      <c r="C39" s="707" t="s">
        <v>531</v>
      </c>
      <c r="D39" s="1424" t="s">
        <v>611</v>
      </c>
      <c r="E39" s="1425"/>
      <c r="F39" s="1425"/>
      <c r="G39" s="1425"/>
      <c r="H39" s="1425"/>
      <c r="I39" s="1425"/>
      <c r="J39" s="1425"/>
      <c r="K39" s="1425"/>
      <c r="L39" s="1425"/>
      <c r="M39" s="1426"/>
      <c r="N39" s="1427">
        <f>様式4別添2!E18</f>
        <v>0</v>
      </c>
      <c r="O39" s="1427"/>
      <c r="P39" s="1427"/>
      <c r="Q39" s="1427"/>
      <c r="R39" s="1427"/>
      <c r="S39" s="1427"/>
      <c r="T39" s="1427"/>
      <c r="U39" s="1427"/>
      <c r="V39" s="692" t="s">
        <v>609</v>
      </c>
      <c r="W39" s="1423"/>
      <c r="X39" s="1423"/>
      <c r="Y39" s="1423"/>
    </row>
    <row r="40" spans="2:34" ht="24" customHeight="1">
      <c r="C40" s="708" t="s">
        <v>524</v>
      </c>
      <c r="D40" s="1428" t="s">
        <v>610</v>
      </c>
      <c r="E40" s="1429"/>
      <c r="F40" s="1429"/>
      <c r="G40" s="1429"/>
      <c r="H40" s="1429"/>
      <c r="I40" s="1429"/>
      <c r="J40" s="1429"/>
      <c r="K40" s="1429"/>
      <c r="L40" s="1429"/>
      <c r="M40" s="1430"/>
      <c r="N40" s="1427">
        <f>様式4別添2!F18</f>
        <v>0</v>
      </c>
      <c r="O40" s="1427"/>
      <c r="P40" s="1427"/>
      <c r="Q40" s="1427"/>
      <c r="R40" s="1427"/>
      <c r="S40" s="1427"/>
      <c r="T40" s="1427"/>
      <c r="U40" s="1427"/>
      <c r="V40" s="692" t="s">
        <v>609</v>
      </c>
      <c r="W40" s="1423"/>
      <c r="X40" s="1423"/>
      <c r="Y40" s="1423"/>
    </row>
    <row r="41" spans="2:34" ht="17.100000000000001" customHeight="1">
      <c r="C41" s="709" t="s">
        <v>497</v>
      </c>
      <c r="D41" s="1432" t="s">
        <v>608</v>
      </c>
      <c r="E41" s="1433"/>
      <c r="F41" s="1433"/>
      <c r="G41" s="1433"/>
      <c r="H41" s="1433"/>
      <c r="I41" s="1433"/>
      <c r="J41" s="1433"/>
      <c r="K41" s="1433"/>
      <c r="L41" s="1433"/>
      <c r="M41" s="1433"/>
      <c r="N41" s="1433"/>
      <c r="O41" s="1433"/>
      <c r="P41" s="1433"/>
      <c r="Q41" s="1433"/>
      <c r="R41" s="1433"/>
      <c r="S41" s="1433"/>
      <c r="T41" s="1433"/>
      <c r="U41" s="1433"/>
      <c r="V41" s="1433"/>
      <c r="W41" s="1433"/>
      <c r="X41" s="1433"/>
      <c r="Y41" s="1433"/>
      <c r="Z41" s="1433"/>
      <c r="AA41" s="1433"/>
      <c r="AB41" s="1433"/>
      <c r="AC41" s="1433"/>
      <c r="AD41" s="1433"/>
      <c r="AE41" s="1433"/>
      <c r="AF41" s="1433"/>
      <c r="AG41" s="1433"/>
      <c r="AH41" s="1433"/>
    </row>
    <row r="42" spans="2:34" ht="9" customHeight="1">
      <c r="B42" s="587"/>
      <c r="C42" s="587"/>
      <c r="D42" s="587"/>
      <c r="E42" s="587"/>
      <c r="F42" s="587"/>
      <c r="G42" s="587"/>
      <c r="H42" s="587"/>
      <c r="I42" s="587"/>
      <c r="J42" s="587"/>
      <c r="K42" s="587"/>
      <c r="L42" s="587"/>
      <c r="M42" s="587"/>
      <c r="N42" s="587"/>
      <c r="O42" s="587"/>
      <c r="P42" s="587"/>
      <c r="Q42" s="587"/>
      <c r="R42" s="587"/>
      <c r="S42" s="587"/>
      <c r="T42" s="587"/>
      <c r="U42" s="587"/>
      <c r="V42" s="587"/>
      <c r="W42" s="587"/>
      <c r="X42" s="587"/>
      <c r="Y42" s="587"/>
      <c r="Z42" s="587"/>
      <c r="AA42" s="587"/>
      <c r="AB42" s="587"/>
      <c r="AC42" s="587"/>
      <c r="AD42" s="587"/>
      <c r="AE42" s="587"/>
      <c r="AF42" s="587"/>
      <c r="AG42" s="587"/>
      <c r="AH42" s="587"/>
    </row>
    <row r="43" spans="2:34" ht="16.149999999999999" customHeight="1">
      <c r="C43" s="576" t="s">
        <v>607</v>
      </c>
    </row>
    <row r="44" spans="2:34" ht="16.149999999999999" customHeight="1">
      <c r="Q44" s="1434" t="s">
        <v>513</v>
      </c>
      <c r="R44" s="1434"/>
      <c r="S44" s="1434"/>
      <c r="T44" s="1434"/>
      <c r="U44" s="1434"/>
      <c r="V44" s="1434"/>
      <c r="W44" s="1434"/>
      <c r="X44" s="1434"/>
      <c r="Y44" s="1435"/>
      <c r="Z44" s="1435"/>
      <c r="AA44" s="1435"/>
      <c r="AB44" s="1435"/>
      <c r="AC44" s="1435"/>
      <c r="AD44" s="1435"/>
      <c r="AE44" s="1435"/>
      <c r="AF44" s="1435"/>
      <c r="AG44" s="1435"/>
      <c r="AH44" s="1435"/>
    </row>
    <row r="45" spans="2:34" ht="17.25" customHeight="1">
      <c r="S45" s="1436" t="s">
        <v>512</v>
      </c>
      <c r="T45" s="1436"/>
      <c r="U45" s="1436"/>
      <c r="V45" s="1436"/>
      <c r="W45" s="1436"/>
      <c r="X45" s="1436"/>
      <c r="Y45" s="1163"/>
      <c r="Z45" s="1163"/>
      <c r="AA45" s="1163"/>
      <c r="AB45" s="1163"/>
      <c r="AC45" s="1163"/>
      <c r="AD45" s="1163"/>
      <c r="AE45" s="1163"/>
      <c r="AF45" s="1163"/>
      <c r="AG45" s="1163"/>
      <c r="AH45" s="1163"/>
    </row>
    <row r="46" spans="2:34" ht="17.25" customHeight="1">
      <c r="S46" s="1431" t="s">
        <v>511</v>
      </c>
      <c r="T46" s="1431"/>
      <c r="U46" s="1431"/>
      <c r="V46" s="1431"/>
      <c r="W46" s="1431"/>
      <c r="X46" s="1431"/>
      <c r="Y46" s="1154"/>
      <c r="Z46" s="1154"/>
      <c r="AA46" s="1154"/>
      <c r="AB46" s="1154"/>
      <c r="AC46" s="1154"/>
      <c r="AD46" s="1154"/>
      <c r="AE46" s="1154"/>
      <c r="AF46" s="1154"/>
      <c r="AG46" s="1154"/>
      <c r="AH46" s="1154"/>
    </row>
  </sheetData>
  <sheetProtection insertRows="0"/>
  <mergeCells count="71">
    <mergeCell ref="R6:W6"/>
    <mergeCell ref="X6:AJ6"/>
    <mergeCell ref="B2:AJ2"/>
    <mergeCell ref="R4:W4"/>
    <mergeCell ref="X4:AJ4"/>
    <mergeCell ref="R5:W5"/>
    <mergeCell ref="X5:AJ5"/>
    <mergeCell ref="AG10:AI10"/>
    <mergeCell ref="D11:M11"/>
    <mergeCell ref="N11:U11"/>
    <mergeCell ref="W11:AD11"/>
    <mergeCell ref="AG11:AI11"/>
    <mergeCell ref="N10:V10"/>
    <mergeCell ref="W10:AE10"/>
    <mergeCell ref="D12:M12"/>
    <mergeCell ref="N12:U12"/>
    <mergeCell ref="W12:AD12"/>
    <mergeCell ref="D13:M13"/>
    <mergeCell ref="N13:U13"/>
    <mergeCell ref="W13:AD13"/>
    <mergeCell ref="D14:M14"/>
    <mergeCell ref="N14:U14"/>
    <mergeCell ref="W14:AD14"/>
    <mergeCell ref="D21:X21"/>
    <mergeCell ref="Y21:AG21"/>
    <mergeCell ref="D19:X19"/>
    <mergeCell ref="Y19:AG19"/>
    <mergeCell ref="D17:X17"/>
    <mergeCell ref="Y17:AG17"/>
    <mergeCell ref="D18:X18"/>
    <mergeCell ref="Y18:AG18"/>
    <mergeCell ref="D20:X20"/>
    <mergeCell ref="Y20:AG20"/>
    <mergeCell ref="D22:X22"/>
    <mergeCell ref="Y22:AG22"/>
    <mergeCell ref="C35:I35"/>
    <mergeCell ref="J35:AH35"/>
    <mergeCell ref="D25:X25"/>
    <mergeCell ref="Y25:AG25"/>
    <mergeCell ref="D26:X26"/>
    <mergeCell ref="Y26:AG26"/>
    <mergeCell ref="D28:X28"/>
    <mergeCell ref="Y28:AG28"/>
    <mergeCell ref="D31:X31"/>
    <mergeCell ref="Y31:AG31"/>
    <mergeCell ref="C34:I34"/>
    <mergeCell ref="J34:AH34"/>
    <mergeCell ref="D29:X29"/>
    <mergeCell ref="Y29:AG29"/>
    <mergeCell ref="D23:X23"/>
    <mergeCell ref="Y23:AG23"/>
    <mergeCell ref="D24:X24"/>
    <mergeCell ref="Y24:AG24"/>
    <mergeCell ref="D27:X27"/>
    <mergeCell ref="Y27:AG27"/>
    <mergeCell ref="S46:X46"/>
    <mergeCell ref="Y46:AH46"/>
    <mergeCell ref="D41:AH41"/>
    <mergeCell ref="Q44:X44"/>
    <mergeCell ref="Y44:AH44"/>
    <mergeCell ref="S45:X45"/>
    <mergeCell ref="Y45:AH45"/>
    <mergeCell ref="D30:X30"/>
    <mergeCell ref="Y30:AG30"/>
    <mergeCell ref="C38:M38"/>
    <mergeCell ref="N38:V38"/>
    <mergeCell ref="W38:Y40"/>
    <mergeCell ref="D39:M39"/>
    <mergeCell ref="N39:U39"/>
    <mergeCell ref="D40:M40"/>
    <mergeCell ref="N40:U40"/>
  </mergeCells>
  <phoneticPr fontId="4"/>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rowBreaks count="1" manualBreakCount="1">
    <brk id="46" max="34"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11DAB-E59B-4103-98A4-817F3AEB8135}">
  <sheetPr>
    <pageSetUpPr fitToPage="1"/>
  </sheetPr>
  <dimension ref="A1:AZ95"/>
  <sheetViews>
    <sheetView showGridLines="0" view="pageBreakPreview" topLeftCell="K64" zoomScale="70" zoomScaleNormal="100" zoomScaleSheetLayoutView="70" workbookViewId="0">
      <selection activeCell="S11" sqref="S11:S60"/>
    </sheetView>
  </sheetViews>
  <sheetFormatPr defaultColWidth="9.125" defaultRowHeight="12"/>
  <cols>
    <col min="1" max="3" width="4.625" style="476" customWidth="1"/>
    <col min="4" max="4" width="15" style="476" customWidth="1"/>
    <col min="5" max="5" width="7.125" style="476" customWidth="1"/>
    <col min="6" max="6" width="16" style="476" customWidth="1"/>
    <col min="7" max="7" width="12.125" style="476" customWidth="1"/>
    <col min="8" max="8" width="7.625" style="476" customWidth="1"/>
    <col min="9" max="9" width="10.125" style="476" customWidth="1"/>
    <col min="10" max="10" width="8.5" style="476" customWidth="1"/>
    <col min="11" max="17" width="21.375" style="476" customWidth="1"/>
    <col min="18" max="18" width="26.125" style="476" customWidth="1"/>
    <col min="19" max="21" width="21.375" style="476" customWidth="1"/>
    <col min="22" max="22" width="16.375" style="476" customWidth="1"/>
    <col min="23" max="24" width="16.875" style="476" customWidth="1"/>
    <col min="25" max="25" width="21.375" style="476" customWidth="1"/>
    <col min="26" max="26" width="38.875" style="476" customWidth="1"/>
    <col min="27" max="31" width="21.375" style="476" customWidth="1"/>
    <col min="32" max="32" width="26.125" style="476" customWidth="1"/>
    <col min="33" max="35" width="19.375" style="476" customWidth="1"/>
    <col min="36" max="38" width="18.5" style="476" customWidth="1"/>
    <col min="39" max="39" width="18.125" style="476" customWidth="1"/>
    <col min="40" max="40" width="15.375" style="476" customWidth="1"/>
    <col min="41" max="42" width="19.5" style="476" customWidth="1"/>
    <col min="43" max="43" width="22.375" style="476" customWidth="1"/>
    <col min="44" max="44" width="2.5" style="476" customWidth="1"/>
    <col min="45" max="45" width="5.75" style="476" bestFit="1" customWidth="1"/>
    <col min="46" max="46" width="9.5" style="476" bestFit="1" customWidth="1"/>
    <col min="47" max="47" width="7.375" style="476" bestFit="1" customWidth="1"/>
    <col min="48" max="49" width="34.5" style="476" bestFit="1" customWidth="1"/>
    <col min="50" max="51" width="22" style="476" bestFit="1" customWidth="1"/>
    <col min="52" max="52" width="67" style="476" customWidth="1"/>
    <col min="53" max="16384" width="9.125" style="476"/>
  </cols>
  <sheetData>
    <row r="1" spans="1:52" ht="33.6" customHeight="1">
      <c r="A1" s="553" t="s">
        <v>729</v>
      </c>
      <c r="Q1" s="507"/>
      <c r="AG1" s="1534" t="s">
        <v>728</v>
      </c>
      <c r="AH1" s="1537">
        <f>様式4!$X$5</f>
        <v>0</v>
      </c>
      <c r="AI1" s="1538"/>
      <c r="AS1" s="744" t="s">
        <v>768</v>
      </c>
      <c r="AT1" s="744" t="s">
        <v>769</v>
      </c>
      <c r="AU1" s="744" t="s">
        <v>770</v>
      </c>
      <c r="AV1" s="744" t="s">
        <v>771</v>
      </c>
      <c r="AW1" s="744" t="s">
        <v>772</v>
      </c>
      <c r="AX1" s="744" t="s">
        <v>773</v>
      </c>
      <c r="AY1" s="744" t="s">
        <v>774</v>
      </c>
      <c r="AZ1" s="744" t="s">
        <v>775</v>
      </c>
    </row>
    <row r="2" spans="1:52" ht="33.6" customHeight="1">
      <c r="A2" s="552"/>
      <c r="Q2" s="507"/>
      <c r="AG2" s="1535"/>
      <c r="AH2" s="1539"/>
      <c r="AI2" s="1540"/>
      <c r="AS2" s="745">
        <f>A11</f>
        <v>1</v>
      </c>
      <c r="AT2" s="745" t="str">
        <f>IF(B11="","",B11)</f>
        <v/>
      </c>
      <c r="AU2" s="745" t="str">
        <f>IF(F11="","",F11)</f>
        <v/>
      </c>
      <c r="AV2" s="745" t="str">
        <f>IF(K11="","",K11)</f>
        <v/>
      </c>
      <c r="AW2" s="745" t="str">
        <f t="shared" ref="AW2:AW18" si="0">IF(T11="","",T11)</f>
        <v/>
      </c>
      <c r="AX2" s="745">
        <f t="shared" ref="AX2:AX18" si="1">IF(U11="","",U11)</f>
        <v>0</v>
      </c>
      <c r="AY2" s="745" t="str">
        <f>IF(Y11="","",Y11)</f>
        <v/>
      </c>
      <c r="AZ2" s="746" t="str">
        <f>IF(AG11="","",AG11)</f>
        <v/>
      </c>
    </row>
    <row r="3" spans="1:52" ht="24.75" customHeight="1" thickBot="1">
      <c r="A3" s="546" t="s">
        <v>727</v>
      </c>
      <c r="B3" s="546"/>
      <c r="C3" s="546"/>
      <c r="D3" s="546"/>
      <c r="E3" s="546"/>
      <c r="F3" s="546"/>
      <c r="G3" s="546"/>
      <c r="H3" s="546"/>
      <c r="I3" s="546"/>
      <c r="J3" s="546"/>
      <c r="K3" s="546"/>
      <c r="L3" s="546"/>
      <c r="M3" s="546"/>
      <c r="N3" s="546"/>
      <c r="O3" s="546"/>
      <c r="P3" s="852"/>
      <c r="Q3" s="546"/>
      <c r="R3" s="546"/>
      <c r="S3" s="546"/>
      <c r="T3" s="546"/>
      <c r="U3" s="546"/>
      <c r="V3" s="546"/>
      <c r="W3" s="546"/>
      <c r="X3" s="546"/>
      <c r="Y3" s="546"/>
      <c r="Z3" s="546"/>
      <c r="AA3" s="546"/>
      <c r="AB3" s="852"/>
      <c r="AC3" s="546"/>
      <c r="AD3" s="546"/>
      <c r="AE3" s="546"/>
      <c r="AF3" s="546"/>
      <c r="AG3" s="1536"/>
      <c r="AH3" s="1541"/>
      <c r="AI3" s="1542"/>
      <c r="AL3" s="537"/>
      <c r="AS3" s="745">
        <f>A12</f>
        <v>2</v>
      </c>
      <c r="AT3" s="745" t="str">
        <f t="shared" ref="AT3:AT51" si="2">IF(B12="","",B12)</f>
        <v/>
      </c>
      <c r="AU3" s="745" t="str">
        <f t="shared" ref="AU3:AU51" si="3">IF(F12="","",F12)</f>
        <v/>
      </c>
      <c r="AV3" s="745" t="str">
        <f t="shared" ref="AV3:AV51" si="4">IF(K12="","",K12)</f>
        <v/>
      </c>
      <c r="AW3" s="745" t="str">
        <f t="shared" si="0"/>
        <v/>
      </c>
      <c r="AX3" s="745">
        <f t="shared" si="1"/>
        <v>0</v>
      </c>
      <c r="AY3" s="745" t="str">
        <f t="shared" ref="AY3:AY51" si="5">IF(Y12="","",Y12)</f>
        <v/>
      </c>
      <c r="AZ3" s="746" t="str">
        <f t="shared" ref="AZ3:AZ51" si="6">IF(AG12="","",AG12)</f>
        <v/>
      </c>
    </row>
    <row r="4" spans="1:52" ht="24.75" customHeight="1">
      <c r="A4" s="546"/>
      <c r="B4" s="546"/>
      <c r="C4" s="546"/>
      <c r="D4" s="546"/>
      <c r="E4" s="546"/>
      <c r="F4" s="546"/>
      <c r="G4" s="546"/>
      <c r="H4" s="546"/>
      <c r="I4" s="546"/>
      <c r="J4" s="546"/>
      <c r="K4" s="546"/>
      <c r="L4" s="546"/>
      <c r="M4" s="546"/>
      <c r="N4" s="546"/>
      <c r="O4" s="546"/>
      <c r="P4" s="852"/>
      <c r="Q4" s="546"/>
      <c r="R4" s="546"/>
      <c r="S4" s="546"/>
      <c r="T4" s="546"/>
      <c r="U4" s="546"/>
      <c r="V4" s="546"/>
      <c r="W4" s="546"/>
      <c r="X4" s="546"/>
      <c r="Y4" s="546"/>
      <c r="Z4" s="546"/>
      <c r="AA4" s="546"/>
      <c r="AB4" s="852"/>
      <c r="AC4" s="546"/>
      <c r="AD4" s="546"/>
      <c r="AE4" s="546"/>
      <c r="AF4" s="546"/>
      <c r="AG4" s="546"/>
      <c r="AH4" s="546"/>
      <c r="AI4" s="551"/>
      <c r="AJ4" s="546"/>
      <c r="AK4" s="546"/>
      <c r="AL4" s="546"/>
      <c r="AM4" s="551"/>
      <c r="AN4" s="551"/>
      <c r="AO4" s="550"/>
      <c r="AP4" s="550"/>
      <c r="AQ4" s="549"/>
      <c r="AR4" s="537"/>
      <c r="AS4" s="745">
        <f t="shared" ref="AS4:AS51" si="7">A13</f>
        <v>3</v>
      </c>
      <c r="AT4" s="745" t="str">
        <f t="shared" si="2"/>
        <v/>
      </c>
      <c r="AU4" s="745" t="str">
        <f t="shared" si="3"/>
        <v/>
      </c>
      <c r="AV4" s="745" t="str">
        <f t="shared" si="4"/>
        <v/>
      </c>
      <c r="AW4" s="745" t="str">
        <f t="shared" si="0"/>
        <v/>
      </c>
      <c r="AX4" s="745">
        <f t="shared" si="1"/>
        <v>0</v>
      </c>
      <c r="AY4" s="745" t="str">
        <f t="shared" si="5"/>
        <v/>
      </c>
      <c r="AZ4" s="746" t="str">
        <f t="shared" si="6"/>
        <v/>
      </c>
    </row>
    <row r="5" spans="1:52" s="545" customFormat="1" ht="39.75" customHeight="1" thickBot="1">
      <c r="A5" s="1543" t="s">
        <v>726</v>
      </c>
      <c r="B5" s="1543"/>
      <c r="C5" s="1543"/>
      <c r="D5" s="1543"/>
      <c r="E5" s="1543"/>
      <c r="F5" s="1543"/>
      <c r="G5" s="1543"/>
      <c r="H5" s="1543"/>
      <c r="I5" s="1543"/>
      <c r="J5" s="1543"/>
      <c r="K5" s="1543"/>
      <c r="L5" s="1543"/>
      <c r="M5" s="1543"/>
      <c r="N5" s="1543"/>
      <c r="O5" s="546"/>
      <c r="P5" s="852"/>
      <c r="Q5" s="546"/>
      <c r="R5" s="546"/>
      <c r="S5" s="546"/>
      <c r="T5" s="548"/>
      <c r="U5" s="548"/>
      <c r="V5" s="548"/>
      <c r="W5" s="548"/>
      <c r="X5" s="548"/>
      <c r="Y5" s="546"/>
      <c r="Z5" s="546"/>
      <c r="AA5" s="546"/>
      <c r="AB5" s="852"/>
      <c r="AC5" s="546"/>
      <c r="AD5" s="546"/>
      <c r="AE5" s="546"/>
      <c r="AF5" s="548"/>
      <c r="AG5" s="548"/>
      <c r="AH5" s="548"/>
      <c r="AI5" s="548"/>
      <c r="AJ5" s="546"/>
      <c r="AK5" s="548"/>
      <c r="AL5" s="548"/>
      <c r="AM5" s="548"/>
      <c r="AN5" s="548"/>
      <c r="AO5" s="548"/>
      <c r="AP5" s="548"/>
      <c r="AQ5" s="547"/>
      <c r="AR5" s="546"/>
      <c r="AS5" s="745">
        <f t="shared" si="7"/>
        <v>4</v>
      </c>
      <c r="AT5" s="745" t="str">
        <f t="shared" si="2"/>
        <v/>
      </c>
      <c r="AU5" s="745" t="str">
        <f t="shared" si="3"/>
        <v/>
      </c>
      <c r="AV5" s="745" t="str">
        <f t="shared" si="4"/>
        <v/>
      </c>
      <c r="AW5" s="745" t="str">
        <f t="shared" si="0"/>
        <v/>
      </c>
      <c r="AX5" s="745">
        <f t="shared" si="1"/>
        <v>0</v>
      </c>
      <c r="AY5" s="745" t="str">
        <f t="shared" si="5"/>
        <v/>
      </c>
      <c r="AZ5" s="746" t="str">
        <f t="shared" si="6"/>
        <v/>
      </c>
    </row>
    <row r="6" spans="1:52" ht="33" customHeight="1">
      <c r="A6" s="1544" t="s">
        <v>725</v>
      </c>
      <c r="B6" s="1525" t="s">
        <v>724</v>
      </c>
      <c r="C6" s="1525"/>
      <c r="D6" s="1525"/>
      <c r="E6" s="1525" t="s">
        <v>723</v>
      </c>
      <c r="F6" s="1525" t="s">
        <v>722</v>
      </c>
      <c r="G6" s="1525" t="s">
        <v>721</v>
      </c>
      <c r="H6" s="1525" t="s">
        <v>720</v>
      </c>
      <c r="I6" s="1525" t="s">
        <v>719</v>
      </c>
      <c r="J6" s="1525" t="s">
        <v>718</v>
      </c>
      <c r="K6" s="1526" t="s">
        <v>717</v>
      </c>
      <c r="L6" s="1527"/>
      <c r="M6" s="1527"/>
      <c r="N6" s="1527"/>
      <c r="O6" s="1528"/>
      <c r="P6" s="1528"/>
      <c r="Q6" s="1528"/>
      <c r="R6" s="1528"/>
      <c r="S6" s="1529"/>
      <c r="T6" s="1530" t="s">
        <v>716</v>
      </c>
      <c r="U6" s="1531"/>
      <c r="V6" s="1531"/>
      <c r="W6" s="1531"/>
      <c r="X6" s="1531"/>
      <c r="Y6" s="1531"/>
      <c r="Z6" s="1531"/>
      <c r="AA6" s="1531"/>
      <c r="AB6" s="1531"/>
      <c r="AC6" s="1532"/>
      <c r="AD6" s="1532"/>
      <c r="AE6" s="1532"/>
      <c r="AF6" s="1533"/>
      <c r="AG6" s="1545" t="s">
        <v>715</v>
      </c>
      <c r="AH6" s="1546"/>
      <c r="AI6" s="1546"/>
      <c r="AJ6" s="537"/>
      <c r="AS6" s="745">
        <f t="shared" si="7"/>
        <v>5</v>
      </c>
      <c r="AT6" s="745" t="str">
        <f t="shared" si="2"/>
        <v/>
      </c>
      <c r="AU6" s="745" t="str">
        <f t="shared" si="3"/>
        <v/>
      </c>
      <c r="AV6" s="745" t="str">
        <f t="shared" si="4"/>
        <v/>
      </c>
      <c r="AW6" s="745" t="str">
        <f t="shared" si="0"/>
        <v/>
      </c>
      <c r="AX6" s="745">
        <f t="shared" si="1"/>
        <v>0</v>
      </c>
      <c r="AY6" s="745" t="str">
        <f t="shared" si="5"/>
        <v/>
      </c>
      <c r="AZ6" s="746" t="str">
        <f t="shared" si="6"/>
        <v/>
      </c>
    </row>
    <row r="7" spans="1:52" ht="44.25" customHeight="1">
      <c r="A7" s="1544"/>
      <c r="B7" s="1525"/>
      <c r="C7" s="1525"/>
      <c r="D7" s="1525"/>
      <c r="E7" s="1525"/>
      <c r="F7" s="1525"/>
      <c r="G7" s="1525"/>
      <c r="H7" s="1525"/>
      <c r="I7" s="1525"/>
      <c r="J7" s="1525"/>
      <c r="K7" s="544" t="s">
        <v>531</v>
      </c>
      <c r="L7" s="542" t="s">
        <v>524</v>
      </c>
      <c r="M7" s="542" t="s">
        <v>714</v>
      </c>
      <c r="N7" s="542" t="s">
        <v>713</v>
      </c>
      <c r="O7" s="543" t="s">
        <v>712</v>
      </c>
      <c r="P7" s="874" t="s">
        <v>312</v>
      </c>
      <c r="Q7" s="543" t="s">
        <v>711</v>
      </c>
      <c r="R7" s="542" t="s">
        <v>710</v>
      </c>
      <c r="S7" s="1547" t="s">
        <v>709</v>
      </c>
      <c r="T7" s="541" t="s">
        <v>708</v>
      </c>
      <c r="U7" s="540" t="s">
        <v>707</v>
      </c>
      <c r="V7" s="1549" t="s">
        <v>706</v>
      </c>
      <c r="W7" s="1550"/>
      <c r="X7" s="1551"/>
      <c r="Y7" s="540" t="s">
        <v>705</v>
      </c>
      <c r="Z7" s="1549" t="s">
        <v>704</v>
      </c>
      <c r="AA7" s="1551"/>
      <c r="AB7" s="873" t="s">
        <v>880</v>
      </c>
      <c r="AC7" s="540" t="s">
        <v>703</v>
      </c>
      <c r="AD7" s="540" t="s">
        <v>702</v>
      </c>
      <c r="AE7" s="539" t="s">
        <v>701</v>
      </c>
      <c r="AF7" s="538" t="s">
        <v>700</v>
      </c>
      <c r="AG7" s="1545"/>
      <c r="AH7" s="1546"/>
      <c r="AI7" s="1546"/>
      <c r="AJ7" s="537"/>
      <c r="AS7" s="745">
        <f t="shared" si="7"/>
        <v>6</v>
      </c>
      <c r="AT7" s="745" t="str">
        <f t="shared" si="2"/>
        <v/>
      </c>
      <c r="AU7" s="745" t="str">
        <f t="shared" si="3"/>
        <v/>
      </c>
      <c r="AV7" s="745" t="str">
        <f t="shared" si="4"/>
        <v/>
      </c>
      <c r="AW7" s="745" t="str">
        <f t="shared" si="0"/>
        <v/>
      </c>
      <c r="AX7" s="745">
        <f t="shared" si="1"/>
        <v>0</v>
      </c>
      <c r="AY7" s="745" t="str">
        <f t="shared" si="5"/>
        <v/>
      </c>
      <c r="AZ7" s="746" t="str">
        <f t="shared" si="6"/>
        <v/>
      </c>
    </row>
    <row r="8" spans="1:52" ht="44.25" customHeight="1">
      <c r="A8" s="1544"/>
      <c r="B8" s="1525"/>
      <c r="C8" s="1525"/>
      <c r="D8" s="1525"/>
      <c r="E8" s="1525"/>
      <c r="F8" s="1525"/>
      <c r="G8" s="1525"/>
      <c r="H8" s="1525"/>
      <c r="I8" s="1525"/>
      <c r="J8" s="1525"/>
      <c r="K8" s="1552" t="s">
        <v>699</v>
      </c>
      <c r="L8" s="1468" t="s">
        <v>698</v>
      </c>
      <c r="M8" s="1468" t="s">
        <v>697</v>
      </c>
      <c r="N8" s="1468" t="s">
        <v>696</v>
      </c>
      <c r="O8" s="1469" t="s">
        <v>695</v>
      </c>
      <c r="P8" s="1507" t="s">
        <v>878</v>
      </c>
      <c r="Q8" s="1469" t="s">
        <v>694</v>
      </c>
      <c r="R8" s="1524" t="s">
        <v>879</v>
      </c>
      <c r="S8" s="1548"/>
      <c r="T8" s="1514" t="s">
        <v>693</v>
      </c>
      <c r="U8" s="1515" t="s">
        <v>612</v>
      </c>
      <c r="V8" s="1516"/>
      <c r="W8" s="1516"/>
      <c r="X8" s="1517"/>
      <c r="Y8" s="1516" t="s">
        <v>692</v>
      </c>
      <c r="Z8" s="1516"/>
      <c r="AA8" s="1517"/>
      <c r="AB8" s="1521" t="s">
        <v>878</v>
      </c>
      <c r="AC8" s="1467" t="s">
        <v>691</v>
      </c>
      <c r="AD8" s="1468" t="s">
        <v>690</v>
      </c>
      <c r="AE8" s="1469" t="s">
        <v>689</v>
      </c>
      <c r="AF8" s="1472" t="s">
        <v>881</v>
      </c>
      <c r="AG8" s="1545"/>
      <c r="AH8" s="1546"/>
      <c r="AI8" s="1546"/>
      <c r="AJ8" s="537"/>
      <c r="AS8" s="745">
        <f t="shared" si="7"/>
        <v>7</v>
      </c>
      <c r="AT8" s="745" t="str">
        <f t="shared" si="2"/>
        <v/>
      </c>
      <c r="AU8" s="745" t="str">
        <f t="shared" si="3"/>
        <v/>
      </c>
      <c r="AV8" s="745" t="str">
        <f t="shared" si="4"/>
        <v/>
      </c>
      <c r="AW8" s="745" t="str">
        <f t="shared" si="0"/>
        <v/>
      </c>
      <c r="AX8" s="745">
        <f t="shared" si="1"/>
        <v>0</v>
      </c>
      <c r="AY8" s="745" t="str">
        <f t="shared" si="5"/>
        <v/>
      </c>
      <c r="AZ8" s="746" t="str">
        <f t="shared" si="6"/>
        <v/>
      </c>
    </row>
    <row r="9" spans="1:52" ht="64.5" customHeight="1">
      <c r="A9" s="1544"/>
      <c r="B9" s="1525"/>
      <c r="C9" s="1525"/>
      <c r="D9" s="1525"/>
      <c r="E9" s="1525"/>
      <c r="F9" s="1525"/>
      <c r="G9" s="1525"/>
      <c r="H9" s="1525"/>
      <c r="I9" s="1525"/>
      <c r="J9" s="1525"/>
      <c r="K9" s="1552"/>
      <c r="L9" s="1468"/>
      <c r="M9" s="1468"/>
      <c r="N9" s="1468"/>
      <c r="O9" s="1470"/>
      <c r="P9" s="1508"/>
      <c r="Q9" s="1470"/>
      <c r="R9" s="1524"/>
      <c r="S9" s="1473" t="s">
        <v>688</v>
      </c>
      <c r="T9" s="1514"/>
      <c r="U9" s="1475" t="s">
        <v>687</v>
      </c>
      <c r="V9" s="1476"/>
      <c r="W9" s="1476"/>
      <c r="X9" s="1476"/>
      <c r="Y9" s="1477" t="s">
        <v>686</v>
      </c>
      <c r="Z9" s="1477" t="s">
        <v>685</v>
      </c>
      <c r="AA9" s="1477" t="s">
        <v>684</v>
      </c>
      <c r="AB9" s="1522"/>
      <c r="AC9" s="1467"/>
      <c r="AD9" s="1468"/>
      <c r="AE9" s="1470"/>
      <c r="AF9" s="1472"/>
      <c r="AG9" s="1545"/>
      <c r="AH9" s="1546"/>
      <c r="AI9" s="1546"/>
      <c r="AJ9" s="536"/>
      <c r="AS9" s="745">
        <f t="shared" si="7"/>
        <v>8</v>
      </c>
      <c r="AT9" s="745" t="str">
        <f t="shared" si="2"/>
        <v/>
      </c>
      <c r="AU9" s="745" t="str">
        <f t="shared" si="3"/>
        <v/>
      </c>
      <c r="AV9" s="745" t="str">
        <f t="shared" si="4"/>
        <v/>
      </c>
      <c r="AW9" s="745" t="str">
        <f t="shared" si="0"/>
        <v/>
      </c>
      <c r="AX9" s="745">
        <f t="shared" si="1"/>
        <v>0</v>
      </c>
      <c r="AY9" s="745" t="str">
        <f t="shared" si="5"/>
        <v/>
      </c>
      <c r="AZ9" s="746" t="str">
        <f t="shared" si="6"/>
        <v/>
      </c>
    </row>
    <row r="10" spans="1:52" ht="88.5" customHeight="1">
      <c r="A10" s="1544"/>
      <c r="B10" s="1525"/>
      <c r="C10" s="1525"/>
      <c r="D10" s="1525"/>
      <c r="E10" s="1525"/>
      <c r="F10" s="1525"/>
      <c r="G10" s="1525"/>
      <c r="H10" s="1525"/>
      <c r="I10" s="1525"/>
      <c r="J10" s="1525"/>
      <c r="K10" s="1552"/>
      <c r="L10" s="1468"/>
      <c r="M10" s="1468"/>
      <c r="N10" s="1468"/>
      <c r="O10" s="1471"/>
      <c r="P10" s="1509"/>
      <c r="Q10" s="1471"/>
      <c r="R10" s="1524"/>
      <c r="S10" s="1474"/>
      <c r="T10" s="1514"/>
      <c r="U10" s="535" t="s">
        <v>683</v>
      </c>
      <c r="V10" s="534" t="s">
        <v>682</v>
      </c>
      <c r="W10" s="534" t="s">
        <v>681</v>
      </c>
      <c r="X10" s="534" t="s">
        <v>680</v>
      </c>
      <c r="Y10" s="1478"/>
      <c r="Z10" s="1478"/>
      <c r="AA10" s="1478"/>
      <c r="AB10" s="1523"/>
      <c r="AC10" s="1467"/>
      <c r="AD10" s="1468"/>
      <c r="AE10" s="1471"/>
      <c r="AF10" s="1472"/>
      <c r="AG10" s="1545"/>
      <c r="AH10" s="1546"/>
      <c r="AI10" s="1546"/>
      <c r="AJ10" s="533"/>
      <c r="AK10" s="743" t="s">
        <v>767</v>
      </c>
      <c r="AS10" s="745">
        <f t="shared" si="7"/>
        <v>9</v>
      </c>
      <c r="AT10" s="745" t="str">
        <f t="shared" si="2"/>
        <v/>
      </c>
      <c r="AU10" s="745" t="str">
        <f t="shared" si="3"/>
        <v/>
      </c>
      <c r="AV10" s="745" t="str">
        <f t="shared" si="4"/>
        <v/>
      </c>
      <c r="AW10" s="745" t="str">
        <f t="shared" si="0"/>
        <v/>
      </c>
      <c r="AX10" s="745">
        <f t="shared" si="1"/>
        <v>0</v>
      </c>
      <c r="AY10" s="745" t="str">
        <f t="shared" si="5"/>
        <v/>
      </c>
      <c r="AZ10" s="746" t="str">
        <f t="shared" si="6"/>
        <v/>
      </c>
    </row>
    <row r="11" spans="1:52" s="486" customFormat="1" ht="30" customHeight="1">
      <c r="A11" s="532">
        <f>ROWS(A$11:A11)</f>
        <v>1</v>
      </c>
      <c r="B11" s="1466"/>
      <c r="C11" s="1466"/>
      <c r="D11" s="1466"/>
      <c r="E11" s="531"/>
      <c r="F11" s="531"/>
      <c r="G11" s="710"/>
      <c r="H11" s="710"/>
      <c r="I11" s="710"/>
      <c r="J11" s="711"/>
      <c r="K11" s="521"/>
      <c r="L11" s="1492" t="s">
        <v>764</v>
      </c>
      <c r="M11" s="1492" t="s">
        <v>764</v>
      </c>
      <c r="N11" s="1494" t="s">
        <v>764</v>
      </c>
      <c r="O11" s="518"/>
      <c r="P11" s="518"/>
      <c r="Q11" s="518"/>
      <c r="R11" s="1497" t="s">
        <v>764</v>
      </c>
      <c r="S11" s="1513" t="s">
        <v>764</v>
      </c>
      <c r="T11" s="530"/>
      <c r="U11" s="519">
        <f t="shared" ref="U11:U42" si="8">SUM(V11:X11)</f>
        <v>0</v>
      </c>
      <c r="V11" s="518"/>
      <c r="W11" s="518"/>
      <c r="X11" s="518"/>
      <c r="Y11" s="741"/>
      <c r="Z11" s="518"/>
      <c r="AA11" s="518"/>
      <c r="AB11" s="518"/>
      <c r="AC11" s="529"/>
      <c r="AD11" s="1518" t="s">
        <v>764</v>
      </c>
      <c r="AE11" s="528"/>
      <c r="AF11" s="1518" t="s">
        <v>764</v>
      </c>
      <c r="AG11" s="1482"/>
      <c r="AH11" s="1483"/>
      <c r="AI11" s="1483"/>
      <c r="AJ11" s="508"/>
      <c r="AK11" s="742" t="str">
        <f>IF(OR($Z11=$Z$80,$Z11=$Z$81,$Z11=$Z$82,$Z11=$Z$84),1,IF(OR($Z11=$Z$83,$Z11=$Z$85),2,"-"))</f>
        <v>-</v>
      </c>
      <c r="AS11" s="745">
        <f t="shared" si="7"/>
        <v>10</v>
      </c>
      <c r="AT11" s="745" t="str">
        <f t="shared" si="2"/>
        <v/>
      </c>
      <c r="AU11" s="745" t="str">
        <f t="shared" si="3"/>
        <v/>
      </c>
      <c r="AV11" s="745" t="str">
        <f t="shared" si="4"/>
        <v/>
      </c>
      <c r="AW11" s="745" t="str">
        <f t="shared" si="0"/>
        <v/>
      </c>
      <c r="AX11" s="745">
        <f t="shared" si="1"/>
        <v>0</v>
      </c>
      <c r="AY11" s="745" t="str">
        <f t="shared" si="5"/>
        <v/>
      </c>
      <c r="AZ11" s="746" t="str">
        <f t="shared" si="6"/>
        <v/>
      </c>
    </row>
    <row r="12" spans="1:52" s="486" customFormat="1" ht="30" customHeight="1">
      <c r="A12" s="532">
        <f>ROWS(A$11:A12)</f>
        <v>2</v>
      </c>
      <c r="B12" s="1500"/>
      <c r="C12" s="1501"/>
      <c r="D12" s="1502"/>
      <c r="E12" s="531"/>
      <c r="F12" s="527"/>
      <c r="G12" s="710"/>
      <c r="H12" s="712"/>
      <c r="I12" s="712"/>
      <c r="J12" s="711"/>
      <c r="K12" s="521"/>
      <c r="L12" s="1493"/>
      <c r="M12" s="1493"/>
      <c r="N12" s="1495"/>
      <c r="O12" s="518"/>
      <c r="P12" s="518"/>
      <c r="Q12" s="518"/>
      <c r="R12" s="1498"/>
      <c r="S12" s="1513"/>
      <c r="T12" s="530"/>
      <c r="U12" s="519">
        <f t="shared" si="8"/>
        <v>0</v>
      </c>
      <c r="V12" s="518"/>
      <c r="W12" s="518"/>
      <c r="X12" s="518"/>
      <c r="Y12" s="741"/>
      <c r="Z12" s="518"/>
      <c r="AA12" s="518"/>
      <c r="AB12" s="528"/>
      <c r="AC12" s="529"/>
      <c r="AD12" s="1519"/>
      <c r="AE12" s="528"/>
      <c r="AF12" s="1519"/>
      <c r="AG12" s="1482"/>
      <c r="AH12" s="1483"/>
      <c r="AI12" s="1483"/>
      <c r="AJ12" s="508"/>
      <c r="AK12" s="742" t="str">
        <f t="shared" ref="AK12:AK60" si="9">IF(OR($Z12=$Z$80,$Z12=$Z$81,$Z12=$Z$82,$Z12=$Z$84),1,IF(OR($Z12=$Z$83,$Z12=$Z$85),2,"-"))</f>
        <v>-</v>
      </c>
      <c r="AS12" s="745">
        <f t="shared" si="7"/>
        <v>11</v>
      </c>
      <c r="AT12" s="745" t="str">
        <f t="shared" si="2"/>
        <v/>
      </c>
      <c r="AU12" s="745" t="str">
        <f t="shared" si="3"/>
        <v/>
      </c>
      <c r="AV12" s="745" t="str">
        <f t="shared" si="4"/>
        <v/>
      </c>
      <c r="AW12" s="745" t="str">
        <f t="shared" si="0"/>
        <v/>
      </c>
      <c r="AX12" s="745">
        <f t="shared" si="1"/>
        <v>0</v>
      </c>
      <c r="AY12" s="745" t="str">
        <f t="shared" si="5"/>
        <v/>
      </c>
      <c r="AZ12" s="746" t="str">
        <f t="shared" si="6"/>
        <v/>
      </c>
    </row>
    <row r="13" spans="1:52" s="486" customFormat="1" ht="30" customHeight="1">
      <c r="A13" s="526">
        <f>ROWS(A$11:A13)</f>
        <v>3</v>
      </c>
      <c r="B13" s="1500"/>
      <c r="C13" s="1501"/>
      <c r="D13" s="1502"/>
      <c r="E13" s="527"/>
      <c r="F13" s="527"/>
      <c r="G13" s="710"/>
      <c r="H13" s="710"/>
      <c r="I13" s="710"/>
      <c r="J13" s="711"/>
      <c r="K13" s="521"/>
      <c r="L13" s="1493"/>
      <c r="M13" s="1493"/>
      <c r="N13" s="1495"/>
      <c r="O13" s="518"/>
      <c r="P13" s="518"/>
      <c r="Q13" s="518"/>
      <c r="R13" s="1498"/>
      <c r="S13" s="1513"/>
      <c r="T13" s="525"/>
      <c r="U13" s="519">
        <f t="shared" si="8"/>
        <v>0</v>
      </c>
      <c r="V13" s="518"/>
      <c r="W13" s="518"/>
      <c r="X13" s="518"/>
      <c r="Y13" s="518"/>
      <c r="Z13" s="518"/>
      <c r="AA13" s="518"/>
      <c r="AB13" s="518"/>
      <c r="AC13" s="524"/>
      <c r="AD13" s="1519"/>
      <c r="AE13" s="523"/>
      <c r="AF13" s="1519"/>
      <c r="AG13" s="1510"/>
      <c r="AH13" s="1481"/>
      <c r="AI13" s="1481"/>
      <c r="AJ13" s="508"/>
      <c r="AK13" s="742" t="str">
        <f t="shared" si="9"/>
        <v>-</v>
      </c>
      <c r="AS13" s="745">
        <f t="shared" si="7"/>
        <v>12</v>
      </c>
      <c r="AT13" s="745" t="str">
        <f t="shared" si="2"/>
        <v/>
      </c>
      <c r="AU13" s="745" t="str">
        <f t="shared" si="3"/>
        <v/>
      </c>
      <c r="AV13" s="745" t="str">
        <f t="shared" si="4"/>
        <v/>
      </c>
      <c r="AW13" s="745" t="str">
        <f t="shared" si="0"/>
        <v/>
      </c>
      <c r="AX13" s="745">
        <f t="shared" si="1"/>
        <v>0</v>
      </c>
      <c r="AY13" s="745" t="str">
        <f t="shared" si="5"/>
        <v/>
      </c>
      <c r="AZ13" s="746" t="str">
        <f t="shared" si="6"/>
        <v/>
      </c>
    </row>
    <row r="14" spans="1:52" s="486" customFormat="1" ht="30" customHeight="1">
      <c r="A14" s="526">
        <f>ROWS(A$11:A14)</f>
        <v>4</v>
      </c>
      <c r="B14" s="1500"/>
      <c r="C14" s="1501"/>
      <c r="D14" s="1502"/>
      <c r="E14" s="527"/>
      <c r="F14" s="527"/>
      <c r="G14" s="710"/>
      <c r="H14" s="710"/>
      <c r="I14" s="710"/>
      <c r="J14" s="711"/>
      <c r="K14" s="521"/>
      <c r="L14" s="1493"/>
      <c r="M14" s="1493"/>
      <c r="N14" s="1495"/>
      <c r="O14" s="518"/>
      <c r="P14" s="518"/>
      <c r="Q14" s="518"/>
      <c r="R14" s="1498"/>
      <c r="S14" s="1513"/>
      <c r="T14" s="525"/>
      <c r="U14" s="519">
        <f t="shared" si="8"/>
        <v>0</v>
      </c>
      <c r="V14" s="518"/>
      <c r="W14" s="518"/>
      <c r="X14" s="518"/>
      <c r="Y14" s="518"/>
      <c r="Z14" s="518"/>
      <c r="AA14" s="518"/>
      <c r="AB14" s="518"/>
      <c r="AC14" s="524"/>
      <c r="AD14" s="1519"/>
      <c r="AE14" s="523"/>
      <c r="AF14" s="1519"/>
      <c r="AG14" s="1511"/>
      <c r="AH14" s="1512"/>
      <c r="AI14" s="1512"/>
      <c r="AJ14" s="508"/>
      <c r="AK14" s="742" t="str">
        <f t="shared" si="9"/>
        <v>-</v>
      </c>
      <c r="AS14" s="745">
        <f t="shared" si="7"/>
        <v>13</v>
      </c>
      <c r="AT14" s="745" t="str">
        <f t="shared" si="2"/>
        <v/>
      </c>
      <c r="AU14" s="745" t="str">
        <f t="shared" si="3"/>
        <v/>
      </c>
      <c r="AV14" s="745" t="str">
        <f t="shared" si="4"/>
        <v/>
      </c>
      <c r="AW14" s="745" t="str">
        <f t="shared" si="0"/>
        <v/>
      </c>
      <c r="AX14" s="745">
        <f t="shared" si="1"/>
        <v>0</v>
      </c>
      <c r="AY14" s="745" t="str">
        <f t="shared" si="5"/>
        <v/>
      </c>
      <c r="AZ14" s="746" t="str">
        <f t="shared" si="6"/>
        <v/>
      </c>
    </row>
    <row r="15" spans="1:52" s="486" customFormat="1" ht="30" customHeight="1">
      <c r="A15" s="526">
        <f>ROWS(A$11:A15)</f>
        <v>5</v>
      </c>
      <c r="B15" s="1500"/>
      <c r="C15" s="1501"/>
      <c r="D15" s="1502"/>
      <c r="E15" s="527"/>
      <c r="F15" s="527"/>
      <c r="G15" s="710"/>
      <c r="H15" s="710"/>
      <c r="I15" s="710"/>
      <c r="J15" s="711"/>
      <c r="K15" s="521"/>
      <c r="L15" s="1493"/>
      <c r="M15" s="1493"/>
      <c r="N15" s="1495"/>
      <c r="O15" s="518"/>
      <c r="P15" s="518"/>
      <c r="Q15" s="518"/>
      <c r="R15" s="1498"/>
      <c r="S15" s="1513"/>
      <c r="T15" s="525"/>
      <c r="U15" s="519">
        <f t="shared" si="8"/>
        <v>0</v>
      </c>
      <c r="V15" s="518"/>
      <c r="W15" s="518"/>
      <c r="X15" s="518"/>
      <c r="Y15" s="518"/>
      <c r="Z15" s="518"/>
      <c r="AA15" s="518"/>
      <c r="AB15" s="518"/>
      <c r="AC15" s="524"/>
      <c r="AD15" s="1519"/>
      <c r="AE15" s="523"/>
      <c r="AF15" s="1519"/>
      <c r="AG15" s="1482"/>
      <c r="AH15" s="1483"/>
      <c r="AI15" s="1483"/>
      <c r="AJ15" s="508"/>
      <c r="AK15" s="742" t="str">
        <f t="shared" si="9"/>
        <v>-</v>
      </c>
      <c r="AS15" s="745">
        <f t="shared" si="7"/>
        <v>14</v>
      </c>
      <c r="AT15" s="745" t="str">
        <f t="shared" si="2"/>
        <v/>
      </c>
      <c r="AU15" s="745" t="str">
        <f t="shared" si="3"/>
        <v/>
      </c>
      <c r="AV15" s="745" t="str">
        <f t="shared" si="4"/>
        <v/>
      </c>
      <c r="AW15" s="745" t="str">
        <f t="shared" si="0"/>
        <v/>
      </c>
      <c r="AX15" s="745">
        <f t="shared" si="1"/>
        <v>0</v>
      </c>
      <c r="AY15" s="745" t="str">
        <f t="shared" si="5"/>
        <v/>
      </c>
      <c r="AZ15" s="746" t="str">
        <f t="shared" si="6"/>
        <v/>
      </c>
    </row>
    <row r="16" spans="1:52" s="486" customFormat="1" ht="30" customHeight="1">
      <c r="A16" s="526">
        <f>ROWS(A$11:A16)</f>
        <v>6</v>
      </c>
      <c r="B16" s="1500"/>
      <c r="C16" s="1501"/>
      <c r="D16" s="1502"/>
      <c r="E16" s="527"/>
      <c r="F16" s="527"/>
      <c r="G16" s="710"/>
      <c r="H16" s="713"/>
      <c r="I16" s="713"/>
      <c r="J16" s="714"/>
      <c r="K16" s="521"/>
      <c r="L16" s="1493"/>
      <c r="M16" s="1493"/>
      <c r="N16" s="1495"/>
      <c r="O16" s="518"/>
      <c r="P16" s="518"/>
      <c r="Q16" s="518"/>
      <c r="R16" s="1498"/>
      <c r="S16" s="1513"/>
      <c r="T16" s="525"/>
      <c r="U16" s="519">
        <f t="shared" si="8"/>
        <v>0</v>
      </c>
      <c r="V16" s="518"/>
      <c r="W16" s="518"/>
      <c r="X16" s="518"/>
      <c r="Y16" s="518"/>
      <c r="Z16" s="518"/>
      <c r="AA16" s="518"/>
      <c r="AB16" s="518"/>
      <c r="AC16" s="524"/>
      <c r="AD16" s="1519"/>
      <c r="AE16" s="523"/>
      <c r="AF16" s="1519"/>
      <c r="AG16" s="1480"/>
      <c r="AH16" s="1481"/>
      <c r="AI16" s="1481"/>
      <c r="AJ16" s="508"/>
      <c r="AK16" s="742" t="str">
        <f t="shared" si="9"/>
        <v>-</v>
      </c>
      <c r="AS16" s="745">
        <f t="shared" si="7"/>
        <v>15</v>
      </c>
      <c r="AT16" s="745" t="str">
        <f t="shared" si="2"/>
        <v/>
      </c>
      <c r="AU16" s="745" t="str">
        <f t="shared" si="3"/>
        <v/>
      </c>
      <c r="AV16" s="745" t="str">
        <f t="shared" si="4"/>
        <v/>
      </c>
      <c r="AW16" s="745" t="str">
        <f t="shared" si="0"/>
        <v/>
      </c>
      <c r="AX16" s="745">
        <f t="shared" si="1"/>
        <v>0</v>
      </c>
      <c r="AY16" s="745" t="str">
        <f t="shared" si="5"/>
        <v/>
      </c>
      <c r="AZ16" s="746" t="str">
        <f t="shared" si="6"/>
        <v/>
      </c>
    </row>
    <row r="17" spans="1:52" s="486" customFormat="1" ht="30" customHeight="1">
      <c r="A17" s="526">
        <f>ROWS(A$11:A17)</f>
        <v>7</v>
      </c>
      <c r="B17" s="1500"/>
      <c r="C17" s="1501"/>
      <c r="D17" s="1502"/>
      <c r="E17" s="527"/>
      <c r="F17" s="527"/>
      <c r="G17" s="710"/>
      <c r="H17" s="710"/>
      <c r="I17" s="710"/>
      <c r="J17" s="711"/>
      <c r="K17" s="521"/>
      <c r="L17" s="1493"/>
      <c r="M17" s="1493"/>
      <c r="N17" s="1495"/>
      <c r="O17" s="518"/>
      <c r="P17" s="518"/>
      <c r="Q17" s="518"/>
      <c r="R17" s="1498"/>
      <c r="S17" s="1513"/>
      <c r="T17" s="525"/>
      <c r="U17" s="519">
        <f t="shared" si="8"/>
        <v>0</v>
      </c>
      <c r="V17" s="518"/>
      <c r="W17" s="518"/>
      <c r="X17" s="518"/>
      <c r="Y17" s="518"/>
      <c r="Z17" s="518"/>
      <c r="AA17" s="518"/>
      <c r="AB17" s="518"/>
      <c r="AC17" s="524"/>
      <c r="AD17" s="1519"/>
      <c r="AE17" s="523"/>
      <c r="AF17" s="1519"/>
      <c r="AG17" s="1480"/>
      <c r="AH17" s="1481"/>
      <c r="AI17" s="1481"/>
      <c r="AJ17" s="508"/>
      <c r="AK17" s="742" t="str">
        <f t="shared" si="9"/>
        <v>-</v>
      </c>
      <c r="AS17" s="745">
        <f t="shared" si="7"/>
        <v>16</v>
      </c>
      <c r="AT17" s="745" t="str">
        <f t="shared" si="2"/>
        <v/>
      </c>
      <c r="AU17" s="745" t="str">
        <f t="shared" si="3"/>
        <v/>
      </c>
      <c r="AV17" s="745" t="str">
        <f t="shared" si="4"/>
        <v/>
      </c>
      <c r="AW17" s="745" t="str">
        <f t="shared" si="0"/>
        <v/>
      </c>
      <c r="AX17" s="745">
        <f t="shared" si="1"/>
        <v>0</v>
      </c>
      <c r="AY17" s="745" t="str">
        <f t="shared" si="5"/>
        <v/>
      </c>
      <c r="AZ17" s="746" t="str">
        <f t="shared" si="6"/>
        <v/>
      </c>
    </row>
    <row r="18" spans="1:52" s="486" customFormat="1" ht="30" customHeight="1">
      <c r="A18" s="526">
        <f>ROWS(A$11:A18)</f>
        <v>8</v>
      </c>
      <c r="B18" s="1479"/>
      <c r="C18" s="1479"/>
      <c r="D18" s="1479"/>
      <c r="E18" s="527"/>
      <c r="F18" s="527"/>
      <c r="G18" s="715"/>
      <c r="H18" s="715"/>
      <c r="I18" s="710"/>
      <c r="J18" s="711"/>
      <c r="K18" s="521"/>
      <c r="L18" s="1493"/>
      <c r="M18" s="1493"/>
      <c r="N18" s="1495"/>
      <c r="O18" s="518"/>
      <c r="P18" s="518"/>
      <c r="Q18" s="518"/>
      <c r="R18" s="1498"/>
      <c r="S18" s="1513"/>
      <c r="T18" s="525"/>
      <c r="U18" s="519">
        <f t="shared" si="8"/>
        <v>0</v>
      </c>
      <c r="V18" s="518"/>
      <c r="W18" s="518"/>
      <c r="X18" s="518"/>
      <c r="Y18" s="518"/>
      <c r="Z18" s="518"/>
      <c r="AA18" s="518"/>
      <c r="AB18" s="518"/>
      <c r="AC18" s="524"/>
      <c r="AD18" s="1519"/>
      <c r="AE18" s="523"/>
      <c r="AF18" s="1519"/>
      <c r="AG18" s="1480"/>
      <c r="AH18" s="1481"/>
      <c r="AI18" s="1481"/>
      <c r="AJ18" s="508"/>
      <c r="AK18" s="742" t="str">
        <f t="shared" si="9"/>
        <v>-</v>
      </c>
      <c r="AS18" s="745">
        <f t="shared" si="7"/>
        <v>17</v>
      </c>
      <c r="AT18" s="745" t="str">
        <f t="shared" si="2"/>
        <v/>
      </c>
      <c r="AU18" s="745" t="str">
        <f t="shared" si="3"/>
        <v/>
      </c>
      <c r="AV18" s="745" t="str">
        <f t="shared" si="4"/>
        <v/>
      </c>
      <c r="AW18" s="745" t="str">
        <f t="shared" si="0"/>
        <v/>
      </c>
      <c r="AX18" s="745">
        <f t="shared" si="1"/>
        <v>0</v>
      </c>
      <c r="AY18" s="745" t="str">
        <f t="shared" si="5"/>
        <v/>
      </c>
      <c r="AZ18" s="746" t="str">
        <f t="shared" si="6"/>
        <v/>
      </c>
    </row>
    <row r="19" spans="1:52" s="486" customFormat="1" ht="30" customHeight="1">
      <c r="A19" s="526">
        <f>ROWS(A$11:A19)</f>
        <v>9</v>
      </c>
      <c r="B19" s="1479"/>
      <c r="C19" s="1479"/>
      <c r="D19" s="1479"/>
      <c r="E19" s="527"/>
      <c r="F19" s="527"/>
      <c r="G19" s="715"/>
      <c r="H19" s="715"/>
      <c r="I19" s="710"/>
      <c r="J19" s="711"/>
      <c r="K19" s="521"/>
      <c r="L19" s="1493"/>
      <c r="M19" s="1493"/>
      <c r="N19" s="1495"/>
      <c r="O19" s="518"/>
      <c r="P19" s="518"/>
      <c r="Q19" s="518"/>
      <c r="R19" s="1498"/>
      <c r="S19" s="1513"/>
      <c r="T19" s="525"/>
      <c r="U19" s="519">
        <f t="shared" si="8"/>
        <v>0</v>
      </c>
      <c r="V19" s="518"/>
      <c r="W19" s="518"/>
      <c r="X19" s="518"/>
      <c r="Y19" s="518"/>
      <c r="Z19" s="518"/>
      <c r="AA19" s="518"/>
      <c r="AB19" s="518"/>
      <c r="AC19" s="524"/>
      <c r="AD19" s="1519"/>
      <c r="AE19" s="523"/>
      <c r="AF19" s="1519"/>
      <c r="AG19" s="1480"/>
      <c r="AH19" s="1481"/>
      <c r="AI19" s="1481"/>
      <c r="AJ19" s="508"/>
      <c r="AK19" s="742" t="str">
        <f t="shared" si="9"/>
        <v>-</v>
      </c>
      <c r="AS19" s="745">
        <f t="shared" si="7"/>
        <v>18</v>
      </c>
      <c r="AT19" s="745" t="str">
        <f t="shared" si="2"/>
        <v/>
      </c>
      <c r="AU19" s="745" t="str">
        <f t="shared" si="3"/>
        <v/>
      </c>
      <c r="AV19" s="745" t="str">
        <f t="shared" si="4"/>
        <v/>
      </c>
      <c r="AW19" s="745" t="str">
        <f t="shared" ref="AW19:AX34" si="10">IF(T28="","",T28)</f>
        <v/>
      </c>
      <c r="AX19" s="745">
        <f t="shared" si="10"/>
        <v>0</v>
      </c>
      <c r="AY19" s="745" t="str">
        <f t="shared" si="5"/>
        <v/>
      </c>
      <c r="AZ19" s="746" t="str">
        <f t="shared" si="6"/>
        <v/>
      </c>
    </row>
    <row r="20" spans="1:52" s="486" customFormat="1" ht="30" customHeight="1">
      <c r="A20" s="526">
        <f>ROWS(A$11:A20)</f>
        <v>10</v>
      </c>
      <c r="B20" s="1479"/>
      <c r="C20" s="1479"/>
      <c r="D20" s="1479"/>
      <c r="E20" s="527"/>
      <c r="F20" s="527"/>
      <c r="G20" s="715"/>
      <c r="H20" s="715"/>
      <c r="I20" s="710"/>
      <c r="J20" s="711"/>
      <c r="K20" s="521"/>
      <c r="L20" s="1493"/>
      <c r="M20" s="1493"/>
      <c r="N20" s="1495"/>
      <c r="O20" s="518"/>
      <c r="P20" s="518"/>
      <c r="Q20" s="518"/>
      <c r="R20" s="1498"/>
      <c r="S20" s="1513"/>
      <c r="T20" s="525"/>
      <c r="U20" s="519">
        <f t="shared" si="8"/>
        <v>0</v>
      </c>
      <c r="V20" s="518"/>
      <c r="W20" s="518"/>
      <c r="X20" s="518"/>
      <c r="Y20" s="518"/>
      <c r="Z20" s="518"/>
      <c r="AA20" s="518"/>
      <c r="AB20" s="518"/>
      <c r="AC20" s="524"/>
      <c r="AD20" s="1519"/>
      <c r="AE20" s="523"/>
      <c r="AF20" s="1519"/>
      <c r="AG20" s="1480"/>
      <c r="AH20" s="1481"/>
      <c r="AI20" s="1481"/>
      <c r="AJ20" s="508"/>
      <c r="AK20" s="742" t="str">
        <f t="shared" si="9"/>
        <v>-</v>
      </c>
      <c r="AS20" s="745">
        <f t="shared" si="7"/>
        <v>19</v>
      </c>
      <c r="AT20" s="745" t="str">
        <f t="shared" si="2"/>
        <v/>
      </c>
      <c r="AU20" s="745" t="str">
        <f t="shared" si="3"/>
        <v/>
      </c>
      <c r="AV20" s="745" t="str">
        <f t="shared" si="4"/>
        <v/>
      </c>
      <c r="AW20" s="745" t="str">
        <f t="shared" si="10"/>
        <v/>
      </c>
      <c r="AX20" s="745">
        <f t="shared" si="10"/>
        <v>0</v>
      </c>
      <c r="AY20" s="745" t="str">
        <f t="shared" si="5"/>
        <v/>
      </c>
      <c r="AZ20" s="746" t="str">
        <f t="shared" si="6"/>
        <v/>
      </c>
    </row>
    <row r="21" spans="1:52" s="486" customFormat="1" ht="30" customHeight="1">
      <c r="A21" s="526">
        <f>ROWS(A$11:A21)</f>
        <v>11</v>
      </c>
      <c r="B21" s="1479"/>
      <c r="C21" s="1479"/>
      <c r="D21" s="1479"/>
      <c r="E21" s="527"/>
      <c r="F21" s="527"/>
      <c r="G21" s="715"/>
      <c r="H21" s="715"/>
      <c r="I21" s="710"/>
      <c r="J21" s="711"/>
      <c r="K21" s="521"/>
      <c r="L21" s="1493"/>
      <c r="M21" s="1493"/>
      <c r="N21" s="1495"/>
      <c r="O21" s="518"/>
      <c r="P21" s="518"/>
      <c r="Q21" s="518"/>
      <c r="R21" s="1498"/>
      <c r="S21" s="1513"/>
      <c r="T21" s="525"/>
      <c r="U21" s="519">
        <f t="shared" si="8"/>
        <v>0</v>
      </c>
      <c r="V21" s="518"/>
      <c r="W21" s="518"/>
      <c r="X21" s="518"/>
      <c r="Y21" s="518"/>
      <c r="Z21" s="518"/>
      <c r="AA21" s="518"/>
      <c r="AB21" s="518"/>
      <c r="AC21" s="524"/>
      <c r="AD21" s="1519"/>
      <c r="AE21" s="523"/>
      <c r="AF21" s="1519"/>
      <c r="AG21" s="1480"/>
      <c r="AH21" s="1481"/>
      <c r="AI21" s="1481"/>
      <c r="AJ21" s="508"/>
      <c r="AK21" s="742" t="str">
        <f t="shared" si="9"/>
        <v>-</v>
      </c>
      <c r="AS21" s="745">
        <f t="shared" si="7"/>
        <v>20</v>
      </c>
      <c r="AT21" s="745" t="str">
        <f t="shared" si="2"/>
        <v/>
      </c>
      <c r="AU21" s="745" t="str">
        <f t="shared" si="3"/>
        <v/>
      </c>
      <c r="AV21" s="745" t="str">
        <f t="shared" si="4"/>
        <v/>
      </c>
      <c r="AW21" s="745" t="str">
        <f t="shared" si="10"/>
        <v/>
      </c>
      <c r="AX21" s="745">
        <f t="shared" si="10"/>
        <v>0</v>
      </c>
      <c r="AY21" s="745" t="str">
        <f t="shared" si="5"/>
        <v/>
      </c>
      <c r="AZ21" s="746" t="str">
        <f t="shared" si="6"/>
        <v/>
      </c>
    </row>
    <row r="22" spans="1:52" s="486" customFormat="1" ht="30" customHeight="1">
      <c r="A22" s="526">
        <f>ROWS(A$11:A22)</f>
        <v>12</v>
      </c>
      <c r="B22" s="1479"/>
      <c r="C22" s="1479"/>
      <c r="D22" s="1479"/>
      <c r="E22" s="527"/>
      <c r="F22" s="527"/>
      <c r="G22" s="715"/>
      <c r="H22" s="715"/>
      <c r="I22" s="710"/>
      <c r="J22" s="711"/>
      <c r="K22" s="521"/>
      <c r="L22" s="1493"/>
      <c r="M22" s="1493"/>
      <c r="N22" s="1495"/>
      <c r="O22" s="518"/>
      <c r="P22" s="518"/>
      <c r="Q22" s="518"/>
      <c r="R22" s="1498"/>
      <c r="S22" s="1513"/>
      <c r="T22" s="525"/>
      <c r="U22" s="519">
        <f t="shared" si="8"/>
        <v>0</v>
      </c>
      <c r="V22" s="518"/>
      <c r="W22" s="518"/>
      <c r="X22" s="518"/>
      <c r="Y22" s="518"/>
      <c r="Z22" s="518"/>
      <c r="AA22" s="518"/>
      <c r="AB22" s="518"/>
      <c r="AC22" s="524"/>
      <c r="AD22" s="1519"/>
      <c r="AE22" s="523"/>
      <c r="AF22" s="1519"/>
      <c r="AG22" s="1480"/>
      <c r="AH22" s="1481"/>
      <c r="AI22" s="1481"/>
      <c r="AJ22" s="508"/>
      <c r="AK22" s="742" t="str">
        <f t="shared" si="9"/>
        <v>-</v>
      </c>
      <c r="AS22" s="745">
        <f t="shared" si="7"/>
        <v>21</v>
      </c>
      <c r="AT22" s="745" t="str">
        <f t="shared" si="2"/>
        <v/>
      </c>
      <c r="AU22" s="745" t="str">
        <f t="shared" si="3"/>
        <v/>
      </c>
      <c r="AV22" s="745" t="str">
        <f t="shared" si="4"/>
        <v/>
      </c>
      <c r="AW22" s="745" t="str">
        <f t="shared" si="10"/>
        <v/>
      </c>
      <c r="AX22" s="745">
        <f t="shared" si="10"/>
        <v>0</v>
      </c>
      <c r="AY22" s="745" t="str">
        <f t="shared" si="5"/>
        <v/>
      </c>
      <c r="AZ22" s="746" t="str">
        <f t="shared" si="6"/>
        <v/>
      </c>
    </row>
    <row r="23" spans="1:52" s="486" customFormat="1" ht="30" customHeight="1">
      <c r="A23" s="526">
        <f>ROWS(A$11:A23)</f>
        <v>13</v>
      </c>
      <c r="B23" s="1479"/>
      <c r="C23" s="1479"/>
      <c r="D23" s="1479"/>
      <c r="E23" s="527"/>
      <c r="F23" s="527"/>
      <c r="G23" s="715"/>
      <c r="H23" s="715"/>
      <c r="I23" s="710"/>
      <c r="J23" s="711"/>
      <c r="K23" s="521"/>
      <c r="L23" s="1493"/>
      <c r="M23" s="1493"/>
      <c r="N23" s="1495"/>
      <c r="O23" s="518"/>
      <c r="P23" s="518"/>
      <c r="Q23" s="518"/>
      <c r="R23" s="1498"/>
      <c r="S23" s="1513"/>
      <c r="T23" s="525"/>
      <c r="U23" s="519">
        <f t="shared" si="8"/>
        <v>0</v>
      </c>
      <c r="V23" s="518"/>
      <c r="W23" s="518"/>
      <c r="X23" s="518"/>
      <c r="Y23" s="518"/>
      <c r="Z23" s="518"/>
      <c r="AA23" s="518"/>
      <c r="AB23" s="518"/>
      <c r="AC23" s="524"/>
      <c r="AD23" s="1519"/>
      <c r="AE23" s="523"/>
      <c r="AF23" s="1519"/>
      <c r="AG23" s="1480"/>
      <c r="AH23" s="1481"/>
      <c r="AI23" s="1481"/>
      <c r="AJ23" s="508"/>
      <c r="AK23" s="742" t="str">
        <f t="shared" si="9"/>
        <v>-</v>
      </c>
      <c r="AS23" s="745">
        <f t="shared" si="7"/>
        <v>22</v>
      </c>
      <c r="AT23" s="745" t="str">
        <f t="shared" si="2"/>
        <v/>
      </c>
      <c r="AU23" s="745" t="str">
        <f t="shared" si="3"/>
        <v/>
      </c>
      <c r="AV23" s="745" t="str">
        <f t="shared" si="4"/>
        <v/>
      </c>
      <c r="AW23" s="745" t="str">
        <f t="shared" si="10"/>
        <v/>
      </c>
      <c r="AX23" s="745">
        <f t="shared" si="10"/>
        <v>0</v>
      </c>
      <c r="AY23" s="745" t="str">
        <f t="shared" si="5"/>
        <v/>
      </c>
      <c r="AZ23" s="746" t="str">
        <f t="shared" si="6"/>
        <v/>
      </c>
    </row>
    <row r="24" spans="1:52" s="486" customFormat="1" ht="30" customHeight="1">
      <c r="A24" s="526">
        <f>ROWS(A$11:A24)</f>
        <v>14</v>
      </c>
      <c r="B24" s="1479"/>
      <c r="C24" s="1479"/>
      <c r="D24" s="1479"/>
      <c r="E24" s="527"/>
      <c r="F24" s="527"/>
      <c r="G24" s="715"/>
      <c r="H24" s="715"/>
      <c r="I24" s="710"/>
      <c r="J24" s="711"/>
      <c r="K24" s="521"/>
      <c r="L24" s="1493"/>
      <c r="M24" s="1493"/>
      <c r="N24" s="1495"/>
      <c r="O24" s="518"/>
      <c r="P24" s="518"/>
      <c r="Q24" s="518"/>
      <c r="R24" s="1498"/>
      <c r="S24" s="1513"/>
      <c r="T24" s="525"/>
      <c r="U24" s="519">
        <f t="shared" si="8"/>
        <v>0</v>
      </c>
      <c r="V24" s="518"/>
      <c r="W24" s="518"/>
      <c r="X24" s="518"/>
      <c r="Y24" s="518"/>
      <c r="Z24" s="518"/>
      <c r="AA24" s="518"/>
      <c r="AB24" s="518"/>
      <c r="AC24" s="524"/>
      <c r="AD24" s="1519"/>
      <c r="AE24" s="523"/>
      <c r="AF24" s="1519"/>
      <c r="AG24" s="1480"/>
      <c r="AH24" s="1481"/>
      <c r="AI24" s="1481"/>
      <c r="AJ24" s="508"/>
      <c r="AK24" s="742" t="str">
        <f t="shared" si="9"/>
        <v>-</v>
      </c>
      <c r="AS24" s="745">
        <f t="shared" si="7"/>
        <v>23</v>
      </c>
      <c r="AT24" s="745" t="str">
        <f t="shared" si="2"/>
        <v/>
      </c>
      <c r="AU24" s="745" t="str">
        <f t="shared" si="3"/>
        <v/>
      </c>
      <c r="AV24" s="745" t="str">
        <f t="shared" si="4"/>
        <v/>
      </c>
      <c r="AW24" s="745" t="str">
        <f t="shared" si="10"/>
        <v/>
      </c>
      <c r="AX24" s="745">
        <f t="shared" si="10"/>
        <v>0</v>
      </c>
      <c r="AY24" s="745" t="str">
        <f t="shared" si="5"/>
        <v/>
      </c>
      <c r="AZ24" s="746" t="str">
        <f t="shared" si="6"/>
        <v/>
      </c>
    </row>
    <row r="25" spans="1:52" s="486" customFormat="1" ht="30" customHeight="1">
      <c r="A25" s="526">
        <f>ROWS(A$11:A25)</f>
        <v>15</v>
      </c>
      <c r="B25" s="1479"/>
      <c r="C25" s="1479"/>
      <c r="D25" s="1479"/>
      <c r="E25" s="527"/>
      <c r="F25" s="527"/>
      <c r="G25" s="715"/>
      <c r="H25" s="715"/>
      <c r="I25" s="710"/>
      <c r="J25" s="711"/>
      <c r="K25" s="521"/>
      <c r="L25" s="1493"/>
      <c r="M25" s="1493"/>
      <c r="N25" s="1495"/>
      <c r="O25" s="518"/>
      <c r="P25" s="518"/>
      <c r="Q25" s="518"/>
      <c r="R25" s="1498"/>
      <c r="S25" s="1513"/>
      <c r="T25" s="525"/>
      <c r="U25" s="519">
        <f t="shared" si="8"/>
        <v>0</v>
      </c>
      <c r="V25" s="518"/>
      <c r="W25" s="518"/>
      <c r="X25" s="518"/>
      <c r="Y25" s="518"/>
      <c r="Z25" s="518"/>
      <c r="AA25" s="518"/>
      <c r="AB25" s="518"/>
      <c r="AC25" s="524"/>
      <c r="AD25" s="1519"/>
      <c r="AE25" s="523"/>
      <c r="AF25" s="1519"/>
      <c r="AG25" s="1480"/>
      <c r="AH25" s="1481"/>
      <c r="AI25" s="1481"/>
      <c r="AJ25" s="508"/>
      <c r="AK25" s="742" t="str">
        <f t="shared" si="9"/>
        <v>-</v>
      </c>
      <c r="AS25" s="745">
        <f t="shared" si="7"/>
        <v>24</v>
      </c>
      <c r="AT25" s="745" t="str">
        <f t="shared" si="2"/>
        <v/>
      </c>
      <c r="AU25" s="745" t="str">
        <f t="shared" si="3"/>
        <v/>
      </c>
      <c r="AV25" s="745" t="str">
        <f t="shared" si="4"/>
        <v/>
      </c>
      <c r="AW25" s="745" t="str">
        <f t="shared" si="10"/>
        <v/>
      </c>
      <c r="AX25" s="745">
        <f t="shared" si="10"/>
        <v>0</v>
      </c>
      <c r="AY25" s="745" t="str">
        <f t="shared" si="5"/>
        <v/>
      </c>
      <c r="AZ25" s="746" t="str">
        <f t="shared" si="6"/>
        <v/>
      </c>
    </row>
    <row r="26" spans="1:52" s="486" customFormat="1" ht="30" customHeight="1">
      <c r="A26" s="526">
        <f>ROWS(A$11:A26)</f>
        <v>16</v>
      </c>
      <c r="B26" s="1479"/>
      <c r="C26" s="1479"/>
      <c r="D26" s="1479"/>
      <c r="E26" s="527"/>
      <c r="F26" s="527"/>
      <c r="G26" s="715"/>
      <c r="H26" s="715"/>
      <c r="I26" s="710"/>
      <c r="J26" s="711"/>
      <c r="K26" s="521"/>
      <c r="L26" s="1493"/>
      <c r="M26" s="1493"/>
      <c r="N26" s="1495"/>
      <c r="O26" s="518"/>
      <c r="P26" s="518"/>
      <c r="Q26" s="518"/>
      <c r="R26" s="1498"/>
      <c r="S26" s="1513"/>
      <c r="T26" s="525"/>
      <c r="U26" s="519">
        <f t="shared" si="8"/>
        <v>0</v>
      </c>
      <c r="V26" s="518"/>
      <c r="W26" s="518"/>
      <c r="X26" s="518"/>
      <c r="Y26" s="518"/>
      <c r="Z26" s="518"/>
      <c r="AA26" s="518"/>
      <c r="AB26" s="518"/>
      <c r="AC26" s="524"/>
      <c r="AD26" s="1519"/>
      <c r="AE26" s="523"/>
      <c r="AF26" s="1519"/>
      <c r="AG26" s="1480"/>
      <c r="AH26" s="1481"/>
      <c r="AI26" s="1481"/>
      <c r="AJ26" s="508"/>
      <c r="AK26" s="742" t="str">
        <f t="shared" si="9"/>
        <v>-</v>
      </c>
      <c r="AS26" s="745">
        <f t="shared" si="7"/>
        <v>25</v>
      </c>
      <c r="AT26" s="745" t="str">
        <f t="shared" si="2"/>
        <v/>
      </c>
      <c r="AU26" s="745" t="str">
        <f t="shared" si="3"/>
        <v/>
      </c>
      <c r="AV26" s="745" t="str">
        <f t="shared" si="4"/>
        <v/>
      </c>
      <c r="AW26" s="745" t="str">
        <f t="shared" si="10"/>
        <v/>
      </c>
      <c r="AX26" s="745">
        <f t="shared" si="10"/>
        <v>0</v>
      </c>
      <c r="AY26" s="745" t="str">
        <f t="shared" si="5"/>
        <v/>
      </c>
      <c r="AZ26" s="746" t="str">
        <f t="shared" si="6"/>
        <v/>
      </c>
    </row>
    <row r="27" spans="1:52" s="486" customFormat="1" ht="30" customHeight="1">
      <c r="A27" s="526">
        <f>ROWS(A$11:A27)</f>
        <v>17</v>
      </c>
      <c r="B27" s="1500"/>
      <c r="C27" s="1501"/>
      <c r="D27" s="1502"/>
      <c r="E27" s="527"/>
      <c r="F27" s="527"/>
      <c r="G27" s="710"/>
      <c r="H27" s="710"/>
      <c r="I27" s="710"/>
      <c r="J27" s="711"/>
      <c r="K27" s="521"/>
      <c r="L27" s="1493"/>
      <c r="M27" s="1493"/>
      <c r="N27" s="1495"/>
      <c r="O27" s="518"/>
      <c r="P27" s="518"/>
      <c r="Q27" s="518"/>
      <c r="R27" s="1498"/>
      <c r="S27" s="1513"/>
      <c r="T27" s="525"/>
      <c r="U27" s="519">
        <f t="shared" si="8"/>
        <v>0</v>
      </c>
      <c r="V27" s="518"/>
      <c r="W27" s="518"/>
      <c r="X27" s="518"/>
      <c r="Y27" s="518"/>
      <c r="Z27" s="518"/>
      <c r="AA27" s="518"/>
      <c r="AB27" s="518"/>
      <c r="AC27" s="524"/>
      <c r="AD27" s="1519"/>
      <c r="AE27" s="523"/>
      <c r="AF27" s="1519"/>
      <c r="AG27" s="1482"/>
      <c r="AH27" s="1483"/>
      <c r="AI27" s="1483"/>
      <c r="AJ27" s="508"/>
      <c r="AK27" s="742" t="str">
        <f t="shared" si="9"/>
        <v>-</v>
      </c>
      <c r="AS27" s="745">
        <f t="shared" si="7"/>
        <v>26</v>
      </c>
      <c r="AT27" s="745" t="str">
        <f t="shared" si="2"/>
        <v/>
      </c>
      <c r="AU27" s="745" t="str">
        <f t="shared" si="3"/>
        <v/>
      </c>
      <c r="AV27" s="745" t="str">
        <f t="shared" si="4"/>
        <v/>
      </c>
      <c r="AW27" s="745" t="str">
        <f t="shared" si="10"/>
        <v/>
      </c>
      <c r="AX27" s="745">
        <f t="shared" si="10"/>
        <v>0</v>
      </c>
      <c r="AY27" s="745" t="str">
        <f t="shared" si="5"/>
        <v/>
      </c>
      <c r="AZ27" s="746" t="str">
        <f t="shared" si="6"/>
        <v/>
      </c>
    </row>
    <row r="28" spans="1:52" s="486" customFormat="1" ht="30" customHeight="1">
      <c r="A28" s="526">
        <f>ROWS(A$11:A28)</f>
        <v>18</v>
      </c>
      <c r="B28" s="1500"/>
      <c r="C28" s="1501"/>
      <c r="D28" s="1502"/>
      <c r="E28" s="527"/>
      <c r="F28" s="527"/>
      <c r="G28" s="710"/>
      <c r="H28" s="713"/>
      <c r="I28" s="713"/>
      <c r="J28" s="714"/>
      <c r="K28" s="521"/>
      <c r="L28" s="1493"/>
      <c r="M28" s="1493"/>
      <c r="N28" s="1495"/>
      <c r="O28" s="518"/>
      <c r="P28" s="518"/>
      <c r="Q28" s="518"/>
      <c r="R28" s="1498"/>
      <c r="S28" s="1513"/>
      <c r="T28" s="525"/>
      <c r="U28" s="519">
        <f t="shared" si="8"/>
        <v>0</v>
      </c>
      <c r="V28" s="518"/>
      <c r="W28" s="518"/>
      <c r="X28" s="518"/>
      <c r="Y28" s="518"/>
      <c r="Z28" s="518"/>
      <c r="AA28" s="518"/>
      <c r="AB28" s="518"/>
      <c r="AC28" s="524"/>
      <c r="AD28" s="1519"/>
      <c r="AE28" s="523"/>
      <c r="AF28" s="1519"/>
      <c r="AG28" s="1480"/>
      <c r="AH28" s="1481"/>
      <c r="AI28" s="1481"/>
      <c r="AJ28" s="508"/>
      <c r="AK28" s="742" t="str">
        <f t="shared" si="9"/>
        <v>-</v>
      </c>
      <c r="AS28" s="745">
        <f t="shared" si="7"/>
        <v>27</v>
      </c>
      <c r="AT28" s="745" t="str">
        <f t="shared" si="2"/>
        <v/>
      </c>
      <c r="AU28" s="745" t="str">
        <f t="shared" si="3"/>
        <v/>
      </c>
      <c r="AV28" s="745" t="str">
        <f t="shared" si="4"/>
        <v/>
      </c>
      <c r="AW28" s="745" t="str">
        <f t="shared" si="10"/>
        <v/>
      </c>
      <c r="AX28" s="745">
        <f t="shared" si="10"/>
        <v>0</v>
      </c>
      <c r="AY28" s="745" t="str">
        <f t="shared" si="5"/>
        <v/>
      </c>
      <c r="AZ28" s="746" t="str">
        <f t="shared" si="6"/>
        <v/>
      </c>
    </row>
    <row r="29" spans="1:52" s="486" customFormat="1" ht="30" customHeight="1">
      <c r="A29" s="526">
        <f>ROWS(A$11:A29)</f>
        <v>19</v>
      </c>
      <c r="B29" s="1479"/>
      <c r="C29" s="1479"/>
      <c r="D29" s="1479"/>
      <c r="E29" s="527"/>
      <c r="F29" s="527"/>
      <c r="G29" s="715"/>
      <c r="H29" s="715"/>
      <c r="I29" s="710"/>
      <c r="J29" s="711"/>
      <c r="K29" s="521"/>
      <c r="L29" s="1493"/>
      <c r="M29" s="1493"/>
      <c r="N29" s="1495"/>
      <c r="O29" s="518"/>
      <c r="P29" s="518"/>
      <c r="Q29" s="518"/>
      <c r="R29" s="1498"/>
      <c r="S29" s="1513"/>
      <c r="T29" s="525"/>
      <c r="U29" s="519">
        <f t="shared" si="8"/>
        <v>0</v>
      </c>
      <c r="V29" s="518"/>
      <c r="W29" s="518"/>
      <c r="X29" s="518"/>
      <c r="Y29" s="518"/>
      <c r="Z29" s="518"/>
      <c r="AA29" s="518"/>
      <c r="AB29" s="518"/>
      <c r="AC29" s="524"/>
      <c r="AD29" s="1519"/>
      <c r="AE29" s="523"/>
      <c r="AF29" s="1519"/>
      <c r="AG29" s="1480"/>
      <c r="AH29" s="1481"/>
      <c r="AI29" s="1481"/>
      <c r="AJ29" s="508"/>
      <c r="AK29" s="742" t="str">
        <f t="shared" si="9"/>
        <v>-</v>
      </c>
      <c r="AS29" s="745">
        <f t="shared" si="7"/>
        <v>28</v>
      </c>
      <c r="AT29" s="745" t="str">
        <f t="shared" si="2"/>
        <v/>
      </c>
      <c r="AU29" s="745" t="str">
        <f t="shared" si="3"/>
        <v/>
      </c>
      <c r="AV29" s="745" t="str">
        <f t="shared" si="4"/>
        <v/>
      </c>
      <c r="AW29" s="745" t="str">
        <f t="shared" si="10"/>
        <v/>
      </c>
      <c r="AX29" s="745">
        <f t="shared" si="10"/>
        <v>0</v>
      </c>
      <c r="AY29" s="745" t="str">
        <f t="shared" si="5"/>
        <v/>
      </c>
      <c r="AZ29" s="746" t="str">
        <f t="shared" si="6"/>
        <v/>
      </c>
    </row>
    <row r="30" spans="1:52" s="486" customFormat="1" ht="30" customHeight="1">
      <c r="A30" s="526">
        <f>ROWS(A$11:A30)</f>
        <v>20</v>
      </c>
      <c r="B30" s="1479"/>
      <c r="C30" s="1479"/>
      <c r="D30" s="1479"/>
      <c r="E30" s="527"/>
      <c r="F30" s="527"/>
      <c r="G30" s="715"/>
      <c r="H30" s="715"/>
      <c r="I30" s="710"/>
      <c r="J30" s="711"/>
      <c r="K30" s="521"/>
      <c r="L30" s="1493"/>
      <c r="M30" s="1493"/>
      <c r="N30" s="1495"/>
      <c r="O30" s="518"/>
      <c r="P30" s="518"/>
      <c r="Q30" s="518"/>
      <c r="R30" s="1498"/>
      <c r="S30" s="1513"/>
      <c r="T30" s="525"/>
      <c r="U30" s="519">
        <f t="shared" si="8"/>
        <v>0</v>
      </c>
      <c r="V30" s="518"/>
      <c r="W30" s="518"/>
      <c r="X30" s="518"/>
      <c r="Y30" s="518"/>
      <c r="Z30" s="518"/>
      <c r="AA30" s="518"/>
      <c r="AB30" s="518"/>
      <c r="AC30" s="524"/>
      <c r="AD30" s="1519"/>
      <c r="AE30" s="523"/>
      <c r="AF30" s="1519"/>
      <c r="AG30" s="1480"/>
      <c r="AH30" s="1481"/>
      <c r="AI30" s="1481"/>
      <c r="AJ30" s="508"/>
      <c r="AK30" s="742" t="str">
        <f t="shared" si="9"/>
        <v>-</v>
      </c>
      <c r="AS30" s="745">
        <f t="shared" si="7"/>
        <v>29</v>
      </c>
      <c r="AT30" s="745" t="str">
        <f t="shared" si="2"/>
        <v/>
      </c>
      <c r="AU30" s="745" t="str">
        <f t="shared" si="3"/>
        <v/>
      </c>
      <c r="AV30" s="745" t="str">
        <f t="shared" si="4"/>
        <v/>
      </c>
      <c r="AW30" s="745" t="str">
        <f t="shared" si="10"/>
        <v/>
      </c>
      <c r="AX30" s="745">
        <f t="shared" si="10"/>
        <v>0</v>
      </c>
      <c r="AY30" s="745" t="str">
        <f t="shared" si="5"/>
        <v/>
      </c>
      <c r="AZ30" s="746" t="str">
        <f t="shared" si="6"/>
        <v/>
      </c>
    </row>
    <row r="31" spans="1:52" s="486" customFormat="1" ht="30" customHeight="1">
      <c r="A31" s="526">
        <f>ROWS(A$11:A31)</f>
        <v>21</v>
      </c>
      <c r="B31" s="1479"/>
      <c r="C31" s="1479"/>
      <c r="D31" s="1479"/>
      <c r="E31" s="527"/>
      <c r="F31" s="527"/>
      <c r="G31" s="715"/>
      <c r="H31" s="715"/>
      <c r="I31" s="710"/>
      <c r="J31" s="711"/>
      <c r="K31" s="521"/>
      <c r="L31" s="1493"/>
      <c r="M31" s="1493"/>
      <c r="N31" s="1495"/>
      <c r="O31" s="518"/>
      <c r="P31" s="518"/>
      <c r="Q31" s="518"/>
      <c r="R31" s="1498"/>
      <c r="S31" s="1513"/>
      <c r="T31" s="525"/>
      <c r="U31" s="519">
        <f t="shared" si="8"/>
        <v>0</v>
      </c>
      <c r="V31" s="518"/>
      <c r="W31" s="518"/>
      <c r="X31" s="518"/>
      <c r="Y31" s="518"/>
      <c r="Z31" s="518"/>
      <c r="AA31" s="518"/>
      <c r="AB31" s="518"/>
      <c r="AC31" s="524"/>
      <c r="AD31" s="1519"/>
      <c r="AE31" s="523"/>
      <c r="AF31" s="1519"/>
      <c r="AG31" s="1480"/>
      <c r="AH31" s="1481"/>
      <c r="AI31" s="1481"/>
      <c r="AJ31" s="508"/>
      <c r="AK31" s="742" t="str">
        <f t="shared" si="9"/>
        <v>-</v>
      </c>
      <c r="AS31" s="745">
        <f t="shared" si="7"/>
        <v>30</v>
      </c>
      <c r="AT31" s="745" t="str">
        <f t="shared" si="2"/>
        <v/>
      </c>
      <c r="AU31" s="745" t="str">
        <f t="shared" si="3"/>
        <v/>
      </c>
      <c r="AV31" s="745" t="str">
        <f t="shared" si="4"/>
        <v/>
      </c>
      <c r="AW31" s="745" t="str">
        <f t="shared" si="10"/>
        <v/>
      </c>
      <c r="AX31" s="745">
        <f t="shared" si="10"/>
        <v>0</v>
      </c>
      <c r="AY31" s="745" t="str">
        <f t="shared" si="5"/>
        <v/>
      </c>
      <c r="AZ31" s="746" t="str">
        <f t="shared" si="6"/>
        <v/>
      </c>
    </row>
    <row r="32" spans="1:52" s="486" customFormat="1" ht="30" customHeight="1">
      <c r="A32" s="526">
        <f>ROWS(A$11:A32)</f>
        <v>22</v>
      </c>
      <c r="B32" s="1479"/>
      <c r="C32" s="1479"/>
      <c r="D32" s="1479"/>
      <c r="E32" s="527"/>
      <c r="F32" s="527"/>
      <c r="G32" s="715"/>
      <c r="H32" s="715"/>
      <c r="I32" s="710"/>
      <c r="J32" s="711"/>
      <c r="K32" s="521"/>
      <c r="L32" s="1493"/>
      <c r="M32" s="1493"/>
      <c r="N32" s="1495"/>
      <c r="O32" s="518"/>
      <c r="P32" s="518"/>
      <c r="Q32" s="518"/>
      <c r="R32" s="1498"/>
      <c r="S32" s="1513"/>
      <c r="T32" s="525"/>
      <c r="U32" s="519">
        <f t="shared" si="8"/>
        <v>0</v>
      </c>
      <c r="V32" s="518"/>
      <c r="W32" s="518"/>
      <c r="X32" s="518"/>
      <c r="Y32" s="518"/>
      <c r="Z32" s="518"/>
      <c r="AA32" s="518"/>
      <c r="AB32" s="518"/>
      <c r="AC32" s="524"/>
      <c r="AD32" s="1519"/>
      <c r="AE32" s="523"/>
      <c r="AF32" s="1519"/>
      <c r="AG32" s="1480"/>
      <c r="AH32" s="1481"/>
      <c r="AI32" s="1481"/>
      <c r="AJ32" s="508"/>
      <c r="AK32" s="742" t="str">
        <f t="shared" si="9"/>
        <v>-</v>
      </c>
      <c r="AS32" s="745">
        <f t="shared" si="7"/>
        <v>31</v>
      </c>
      <c r="AT32" s="745" t="str">
        <f t="shared" si="2"/>
        <v/>
      </c>
      <c r="AU32" s="745" t="str">
        <f t="shared" si="3"/>
        <v/>
      </c>
      <c r="AV32" s="745" t="str">
        <f t="shared" si="4"/>
        <v/>
      </c>
      <c r="AW32" s="745" t="str">
        <f t="shared" si="10"/>
        <v/>
      </c>
      <c r="AX32" s="745">
        <f t="shared" si="10"/>
        <v>0</v>
      </c>
      <c r="AY32" s="745" t="str">
        <f t="shared" si="5"/>
        <v/>
      </c>
      <c r="AZ32" s="746" t="str">
        <f t="shared" si="6"/>
        <v/>
      </c>
    </row>
    <row r="33" spans="1:52" s="486" customFormat="1" ht="30" customHeight="1">
      <c r="A33" s="526">
        <f>ROWS(A$11:A33)</f>
        <v>23</v>
      </c>
      <c r="B33" s="1479"/>
      <c r="C33" s="1479"/>
      <c r="D33" s="1479"/>
      <c r="E33" s="527"/>
      <c r="F33" s="527"/>
      <c r="G33" s="715"/>
      <c r="H33" s="715"/>
      <c r="I33" s="710"/>
      <c r="J33" s="711"/>
      <c r="K33" s="521"/>
      <c r="L33" s="1493"/>
      <c r="M33" s="1493"/>
      <c r="N33" s="1495"/>
      <c r="O33" s="518"/>
      <c r="P33" s="518"/>
      <c r="Q33" s="518"/>
      <c r="R33" s="1498"/>
      <c r="S33" s="1513"/>
      <c r="T33" s="525"/>
      <c r="U33" s="519">
        <f t="shared" si="8"/>
        <v>0</v>
      </c>
      <c r="V33" s="518"/>
      <c r="W33" s="518"/>
      <c r="X33" s="518"/>
      <c r="Y33" s="518"/>
      <c r="Z33" s="518"/>
      <c r="AA33" s="518"/>
      <c r="AB33" s="518"/>
      <c r="AC33" s="524"/>
      <c r="AD33" s="1519"/>
      <c r="AE33" s="523"/>
      <c r="AF33" s="1519"/>
      <c r="AG33" s="1480"/>
      <c r="AH33" s="1481"/>
      <c r="AI33" s="1481"/>
      <c r="AJ33" s="508"/>
      <c r="AK33" s="742" t="str">
        <f t="shared" si="9"/>
        <v>-</v>
      </c>
      <c r="AS33" s="745">
        <f t="shared" si="7"/>
        <v>32</v>
      </c>
      <c r="AT33" s="745" t="str">
        <f t="shared" si="2"/>
        <v/>
      </c>
      <c r="AU33" s="745" t="str">
        <f t="shared" si="3"/>
        <v/>
      </c>
      <c r="AV33" s="745" t="str">
        <f t="shared" si="4"/>
        <v/>
      </c>
      <c r="AW33" s="745" t="str">
        <f t="shared" si="10"/>
        <v/>
      </c>
      <c r="AX33" s="745">
        <f t="shared" si="10"/>
        <v>0</v>
      </c>
      <c r="AY33" s="745" t="str">
        <f t="shared" si="5"/>
        <v/>
      </c>
      <c r="AZ33" s="746" t="str">
        <f t="shared" si="6"/>
        <v/>
      </c>
    </row>
    <row r="34" spans="1:52" s="486" customFormat="1" ht="30" customHeight="1">
      <c r="A34" s="526">
        <f>ROWS(A$11:A34)</f>
        <v>24</v>
      </c>
      <c r="B34" s="1500"/>
      <c r="C34" s="1501"/>
      <c r="D34" s="1502"/>
      <c r="E34" s="527"/>
      <c r="F34" s="527"/>
      <c r="G34" s="710"/>
      <c r="H34" s="710"/>
      <c r="I34" s="710"/>
      <c r="J34" s="711"/>
      <c r="K34" s="521"/>
      <c r="L34" s="1493"/>
      <c r="M34" s="1493"/>
      <c r="N34" s="1495"/>
      <c r="O34" s="518"/>
      <c r="P34" s="518"/>
      <c r="Q34" s="518"/>
      <c r="R34" s="1498"/>
      <c r="S34" s="1513"/>
      <c r="T34" s="525"/>
      <c r="U34" s="519">
        <f t="shared" si="8"/>
        <v>0</v>
      </c>
      <c r="V34" s="518"/>
      <c r="W34" s="518"/>
      <c r="X34" s="518"/>
      <c r="Y34" s="518"/>
      <c r="Z34" s="518"/>
      <c r="AA34" s="518"/>
      <c r="AB34" s="518"/>
      <c r="AC34" s="524"/>
      <c r="AD34" s="1519"/>
      <c r="AE34" s="523"/>
      <c r="AF34" s="1519"/>
      <c r="AG34" s="1480"/>
      <c r="AH34" s="1481"/>
      <c r="AI34" s="1481"/>
      <c r="AJ34" s="508"/>
      <c r="AK34" s="742" t="str">
        <f t="shared" si="9"/>
        <v>-</v>
      </c>
      <c r="AS34" s="745">
        <f t="shared" si="7"/>
        <v>33</v>
      </c>
      <c r="AT34" s="745" t="str">
        <f t="shared" si="2"/>
        <v/>
      </c>
      <c r="AU34" s="745" t="str">
        <f t="shared" si="3"/>
        <v/>
      </c>
      <c r="AV34" s="745" t="str">
        <f t="shared" si="4"/>
        <v/>
      </c>
      <c r="AW34" s="745" t="str">
        <f t="shared" si="10"/>
        <v/>
      </c>
      <c r="AX34" s="745">
        <f t="shared" si="10"/>
        <v>0</v>
      </c>
      <c r="AY34" s="745" t="str">
        <f t="shared" si="5"/>
        <v/>
      </c>
      <c r="AZ34" s="746" t="str">
        <f t="shared" si="6"/>
        <v/>
      </c>
    </row>
    <row r="35" spans="1:52" s="486" customFormat="1" ht="30" customHeight="1">
      <c r="A35" s="526">
        <f>ROWS(A$11:A35)</f>
        <v>25</v>
      </c>
      <c r="B35" s="1479"/>
      <c r="C35" s="1479"/>
      <c r="D35" s="1479"/>
      <c r="E35" s="527"/>
      <c r="F35" s="527"/>
      <c r="G35" s="715"/>
      <c r="H35" s="715"/>
      <c r="I35" s="710"/>
      <c r="J35" s="711"/>
      <c r="K35" s="521"/>
      <c r="L35" s="1493"/>
      <c r="M35" s="1493"/>
      <c r="N35" s="1495"/>
      <c r="O35" s="518"/>
      <c r="P35" s="518"/>
      <c r="Q35" s="518"/>
      <c r="R35" s="1498"/>
      <c r="S35" s="1513"/>
      <c r="T35" s="525"/>
      <c r="U35" s="519">
        <f t="shared" si="8"/>
        <v>0</v>
      </c>
      <c r="V35" s="518"/>
      <c r="W35" s="518"/>
      <c r="X35" s="518"/>
      <c r="Y35" s="518"/>
      <c r="Z35" s="518"/>
      <c r="AA35" s="518"/>
      <c r="AB35" s="518"/>
      <c r="AC35" s="524"/>
      <c r="AD35" s="1519"/>
      <c r="AE35" s="523"/>
      <c r="AF35" s="1519"/>
      <c r="AG35" s="1480"/>
      <c r="AH35" s="1481"/>
      <c r="AI35" s="1481"/>
      <c r="AJ35" s="508"/>
      <c r="AK35" s="742" t="str">
        <f t="shared" si="9"/>
        <v>-</v>
      </c>
      <c r="AS35" s="745">
        <f t="shared" si="7"/>
        <v>34</v>
      </c>
      <c r="AT35" s="745" t="str">
        <f t="shared" si="2"/>
        <v/>
      </c>
      <c r="AU35" s="745" t="str">
        <f t="shared" si="3"/>
        <v/>
      </c>
      <c r="AV35" s="745" t="str">
        <f t="shared" si="4"/>
        <v/>
      </c>
      <c r="AW35" s="745" t="str">
        <f t="shared" ref="AW35:AX50" si="11">IF(T44="","",T44)</f>
        <v/>
      </c>
      <c r="AX35" s="745">
        <f t="shared" si="11"/>
        <v>0</v>
      </c>
      <c r="AY35" s="745" t="str">
        <f t="shared" si="5"/>
        <v/>
      </c>
      <c r="AZ35" s="746" t="str">
        <f t="shared" si="6"/>
        <v/>
      </c>
    </row>
    <row r="36" spans="1:52" s="486" customFormat="1" ht="30" customHeight="1">
      <c r="A36" s="526">
        <f>ROWS(A$11:A36)</f>
        <v>26</v>
      </c>
      <c r="B36" s="1479"/>
      <c r="C36" s="1479"/>
      <c r="D36" s="1479"/>
      <c r="E36" s="527"/>
      <c r="F36" s="527"/>
      <c r="G36" s="715"/>
      <c r="H36" s="715"/>
      <c r="I36" s="710"/>
      <c r="J36" s="711"/>
      <c r="K36" s="521"/>
      <c r="L36" s="1493"/>
      <c r="M36" s="1493"/>
      <c r="N36" s="1495"/>
      <c r="O36" s="518"/>
      <c r="P36" s="518"/>
      <c r="Q36" s="518"/>
      <c r="R36" s="1498"/>
      <c r="S36" s="1513"/>
      <c r="T36" s="525"/>
      <c r="U36" s="519">
        <f t="shared" si="8"/>
        <v>0</v>
      </c>
      <c r="V36" s="518"/>
      <c r="W36" s="518"/>
      <c r="X36" s="518"/>
      <c r="Y36" s="518"/>
      <c r="Z36" s="518"/>
      <c r="AA36" s="518"/>
      <c r="AB36" s="518"/>
      <c r="AC36" s="524"/>
      <c r="AD36" s="1519"/>
      <c r="AE36" s="523"/>
      <c r="AF36" s="1519"/>
      <c r="AG36" s="1480"/>
      <c r="AH36" s="1481"/>
      <c r="AI36" s="1481"/>
      <c r="AJ36" s="508"/>
      <c r="AK36" s="742" t="str">
        <f t="shared" si="9"/>
        <v>-</v>
      </c>
      <c r="AS36" s="745">
        <f t="shared" si="7"/>
        <v>35</v>
      </c>
      <c r="AT36" s="745" t="str">
        <f t="shared" si="2"/>
        <v/>
      </c>
      <c r="AU36" s="745" t="str">
        <f t="shared" si="3"/>
        <v/>
      </c>
      <c r="AV36" s="745" t="str">
        <f t="shared" si="4"/>
        <v/>
      </c>
      <c r="AW36" s="745" t="str">
        <f t="shared" si="11"/>
        <v/>
      </c>
      <c r="AX36" s="745">
        <f t="shared" si="11"/>
        <v>0</v>
      </c>
      <c r="AY36" s="745" t="str">
        <f t="shared" si="5"/>
        <v/>
      </c>
      <c r="AZ36" s="746" t="str">
        <f t="shared" si="6"/>
        <v/>
      </c>
    </row>
    <row r="37" spans="1:52" s="486" customFormat="1" ht="30" customHeight="1">
      <c r="A37" s="526">
        <f>ROWS(A$11:A37)</f>
        <v>27</v>
      </c>
      <c r="B37" s="1479"/>
      <c r="C37" s="1479"/>
      <c r="D37" s="1479"/>
      <c r="E37" s="527"/>
      <c r="F37" s="527"/>
      <c r="G37" s="715"/>
      <c r="H37" s="715"/>
      <c r="I37" s="710"/>
      <c r="J37" s="711"/>
      <c r="K37" s="521"/>
      <c r="L37" s="1493"/>
      <c r="M37" s="1493"/>
      <c r="N37" s="1495"/>
      <c r="O37" s="518"/>
      <c r="P37" s="518"/>
      <c r="Q37" s="518"/>
      <c r="R37" s="1498"/>
      <c r="S37" s="1513"/>
      <c r="T37" s="525"/>
      <c r="U37" s="519">
        <f t="shared" si="8"/>
        <v>0</v>
      </c>
      <c r="V37" s="518"/>
      <c r="W37" s="518"/>
      <c r="X37" s="518"/>
      <c r="Y37" s="518"/>
      <c r="Z37" s="518"/>
      <c r="AA37" s="518"/>
      <c r="AB37" s="518"/>
      <c r="AC37" s="524"/>
      <c r="AD37" s="1519"/>
      <c r="AE37" s="523"/>
      <c r="AF37" s="1519"/>
      <c r="AG37" s="1480"/>
      <c r="AH37" s="1481"/>
      <c r="AI37" s="1481"/>
      <c r="AJ37" s="508"/>
      <c r="AK37" s="742" t="str">
        <f t="shared" si="9"/>
        <v>-</v>
      </c>
      <c r="AS37" s="745">
        <f t="shared" si="7"/>
        <v>36</v>
      </c>
      <c r="AT37" s="745" t="str">
        <f t="shared" si="2"/>
        <v/>
      </c>
      <c r="AU37" s="745" t="str">
        <f t="shared" si="3"/>
        <v/>
      </c>
      <c r="AV37" s="745" t="str">
        <f t="shared" si="4"/>
        <v/>
      </c>
      <c r="AW37" s="745" t="str">
        <f t="shared" si="11"/>
        <v/>
      </c>
      <c r="AX37" s="745">
        <f t="shared" si="11"/>
        <v>0</v>
      </c>
      <c r="AY37" s="745" t="str">
        <f t="shared" si="5"/>
        <v/>
      </c>
      <c r="AZ37" s="746" t="str">
        <f t="shared" si="6"/>
        <v/>
      </c>
    </row>
    <row r="38" spans="1:52" s="486" customFormat="1" ht="30" customHeight="1">
      <c r="A38" s="526">
        <f>ROWS(A$11:A38)</f>
        <v>28</v>
      </c>
      <c r="B38" s="1479"/>
      <c r="C38" s="1479"/>
      <c r="D38" s="1479"/>
      <c r="E38" s="527"/>
      <c r="F38" s="527"/>
      <c r="G38" s="715"/>
      <c r="H38" s="715"/>
      <c r="I38" s="710"/>
      <c r="J38" s="711"/>
      <c r="K38" s="521"/>
      <c r="L38" s="1493"/>
      <c r="M38" s="1493"/>
      <c r="N38" s="1495"/>
      <c r="O38" s="518"/>
      <c r="P38" s="518"/>
      <c r="Q38" s="518"/>
      <c r="R38" s="1498"/>
      <c r="S38" s="1513"/>
      <c r="T38" s="525"/>
      <c r="U38" s="519">
        <f t="shared" si="8"/>
        <v>0</v>
      </c>
      <c r="V38" s="518"/>
      <c r="W38" s="518"/>
      <c r="X38" s="518"/>
      <c r="Y38" s="518"/>
      <c r="Z38" s="518"/>
      <c r="AA38" s="518"/>
      <c r="AB38" s="518"/>
      <c r="AC38" s="524"/>
      <c r="AD38" s="1519"/>
      <c r="AE38" s="523"/>
      <c r="AF38" s="1519"/>
      <c r="AG38" s="1480"/>
      <c r="AH38" s="1481"/>
      <c r="AI38" s="1481"/>
      <c r="AJ38" s="508"/>
      <c r="AK38" s="742" t="str">
        <f t="shared" si="9"/>
        <v>-</v>
      </c>
      <c r="AS38" s="745">
        <f t="shared" si="7"/>
        <v>37</v>
      </c>
      <c r="AT38" s="745" t="str">
        <f t="shared" si="2"/>
        <v/>
      </c>
      <c r="AU38" s="745" t="str">
        <f t="shared" si="3"/>
        <v/>
      </c>
      <c r="AV38" s="745" t="str">
        <f t="shared" si="4"/>
        <v/>
      </c>
      <c r="AW38" s="745" t="str">
        <f t="shared" si="11"/>
        <v/>
      </c>
      <c r="AX38" s="745">
        <f t="shared" si="11"/>
        <v>0</v>
      </c>
      <c r="AY38" s="745" t="str">
        <f t="shared" si="5"/>
        <v/>
      </c>
      <c r="AZ38" s="746" t="str">
        <f t="shared" si="6"/>
        <v/>
      </c>
    </row>
    <row r="39" spans="1:52" s="486" customFormat="1" ht="30" customHeight="1">
      <c r="A39" s="526">
        <f>ROWS(A$11:A39)</f>
        <v>29</v>
      </c>
      <c r="B39" s="1479"/>
      <c r="C39" s="1479"/>
      <c r="D39" s="1479"/>
      <c r="E39" s="527"/>
      <c r="F39" s="527"/>
      <c r="G39" s="715"/>
      <c r="H39" s="715"/>
      <c r="I39" s="710"/>
      <c r="J39" s="711"/>
      <c r="K39" s="521"/>
      <c r="L39" s="1493"/>
      <c r="M39" s="1493"/>
      <c r="N39" s="1495"/>
      <c r="O39" s="518"/>
      <c r="P39" s="518"/>
      <c r="Q39" s="518"/>
      <c r="R39" s="1498"/>
      <c r="S39" s="1513"/>
      <c r="T39" s="525"/>
      <c r="U39" s="519">
        <f t="shared" si="8"/>
        <v>0</v>
      </c>
      <c r="V39" s="518"/>
      <c r="W39" s="518"/>
      <c r="X39" s="518"/>
      <c r="Y39" s="518"/>
      <c r="Z39" s="518"/>
      <c r="AA39" s="518"/>
      <c r="AB39" s="518"/>
      <c r="AC39" s="524"/>
      <c r="AD39" s="1519"/>
      <c r="AE39" s="523"/>
      <c r="AF39" s="1519"/>
      <c r="AG39" s="1480"/>
      <c r="AH39" s="1481"/>
      <c r="AI39" s="1481"/>
      <c r="AJ39" s="508"/>
      <c r="AK39" s="742" t="str">
        <f t="shared" si="9"/>
        <v>-</v>
      </c>
      <c r="AS39" s="745">
        <f t="shared" si="7"/>
        <v>38</v>
      </c>
      <c r="AT39" s="745" t="str">
        <f t="shared" si="2"/>
        <v/>
      </c>
      <c r="AU39" s="745" t="str">
        <f t="shared" si="3"/>
        <v/>
      </c>
      <c r="AV39" s="745" t="str">
        <f t="shared" si="4"/>
        <v/>
      </c>
      <c r="AW39" s="745" t="str">
        <f t="shared" si="11"/>
        <v/>
      </c>
      <c r="AX39" s="745">
        <f t="shared" si="11"/>
        <v>0</v>
      </c>
      <c r="AY39" s="745" t="str">
        <f t="shared" si="5"/>
        <v/>
      </c>
      <c r="AZ39" s="746" t="str">
        <f t="shared" si="6"/>
        <v/>
      </c>
    </row>
    <row r="40" spans="1:52" s="486" customFormat="1" ht="30" customHeight="1">
      <c r="A40" s="526">
        <f>ROWS(A$11:A40)</f>
        <v>30</v>
      </c>
      <c r="B40" s="1479"/>
      <c r="C40" s="1479"/>
      <c r="D40" s="1479"/>
      <c r="E40" s="527"/>
      <c r="F40" s="527"/>
      <c r="G40" s="715"/>
      <c r="H40" s="715"/>
      <c r="I40" s="710"/>
      <c r="J40" s="711"/>
      <c r="K40" s="521"/>
      <c r="L40" s="1493"/>
      <c r="M40" s="1493"/>
      <c r="N40" s="1495"/>
      <c r="O40" s="518"/>
      <c r="P40" s="518"/>
      <c r="Q40" s="518"/>
      <c r="R40" s="1498"/>
      <c r="S40" s="1513"/>
      <c r="T40" s="525"/>
      <c r="U40" s="519">
        <f t="shared" si="8"/>
        <v>0</v>
      </c>
      <c r="V40" s="518"/>
      <c r="W40" s="518"/>
      <c r="X40" s="518"/>
      <c r="Y40" s="518"/>
      <c r="Z40" s="518"/>
      <c r="AA40" s="518"/>
      <c r="AB40" s="518"/>
      <c r="AC40" s="524"/>
      <c r="AD40" s="1519"/>
      <c r="AE40" s="523"/>
      <c r="AF40" s="1519"/>
      <c r="AG40" s="1480"/>
      <c r="AH40" s="1481"/>
      <c r="AI40" s="1481"/>
      <c r="AJ40" s="508"/>
      <c r="AK40" s="742" t="str">
        <f t="shared" si="9"/>
        <v>-</v>
      </c>
      <c r="AS40" s="745">
        <f t="shared" si="7"/>
        <v>39</v>
      </c>
      <c r="AT40" s="745" t="str">
        <f t="shared" si="2"/>
        <v/>
      </c>
      <c r="AU40" s="745" t="str">
        <f t="shared" si="3"/>
        <v/>
      </c>
      <c r="AV40" s="745" t="str">
        <f t="shared" si="4"/>
        <v/>
      </c>
      <c r="AW40" s="745" t="str">
        <f t="shared" si="11"/>
        <v/>
      </c>
      <c r="AX40" s="745">
        <f t="shared" si="11"/>
        <v>0</v>
      </c>
      <c r="AY40" s="745" t="str">
        <f t="shared" si="5"/>
        <v/>
      </c>
      <c r="AZ40" s="746" t="str">
        <f t="shared" si="6"/>
        <v/>
      </c>
    </row>
    <row r="41" spans="1:52" s="486" customFormat="1" ht="30" customHeight="1">
      <c r="A41" s="526">
        <f>ROWS(A$11:A41)</f>
        <v>31</v>
      </c>
      <c r="B41" s="1479"/>
      <c r="C41" s="1479"/>
      <c r="D41" s="1479"/>
      <c r="E41" s="527"/>
      <c r="F41" s="527"/>
      <c r="G41" s="715"/>
      <c r="H41" s="715"/>
      <c r="I41" s="710"/>
      <c r="J41" s="711"/>
      <c r="K41" s="521"/>
      <c r="L41" s="1493"/>
      <c r="M41" s="1493"/>
      <c r="N41" s="1495"/>
      <c r="O41" s="518"/>
      <c r="P41" s="518"/>
      <c r="Q41" s="518"/>
      <c r="R41" s="1498"/>
      <c r="S41" s="1513"/>
      <c r="T41" s="525"/>
      <c r="U41" s="519">
        <f t="shared" si="8"/>
        <v>0</v>
      </c>
      <c r="V41" s="518"/>
      <c r="W41" s="518"/>
      <c r="X41" s="518"/>
      <c r="Y41" s="518"/>
      <c r="Z41" s="518"/>
      <c r="AA41" s="518"/>
      <c r="AB41" s="518"/>
      <c r="AC41" s="524"/>
      <c r="AD41" s="1519"/>
      <c r="AE41" s="523"/>
      <c r="AF41" s="1519"/>
      <c r="AG41" s="1480"/>
      <c r="AH41" s="1481"/>
      <c r="AI41" s="1481"/>
      <c r="AJ41" s="508"/>
      <c r="AK41" s="742" t="str">
        <f t="shared" si="9"/>
        <v>-</v>
      </c>
      <c r="AS41" s="745">
        <f t="shared" si="7"/>
        <v>40</v>
      </c>
      <c r="AT41" s="745" t="str">
        <f t="shared" si="2"/>
        <v/>
      </c>
      <c r="AU41" s="745" t="str">
        <f t="shared" si="3"/>
        <v/>
      </c>
      <c r="AV41" s="745" t="str">
        <f t="shared" si="4"/>
        <v/>
      </c>
      <c r="AW41" s="745" t="str">
        <f t="shared" si="11"/>
        <v/>
      </c>
      <c r="AX41" s="745">
        <f t="shared" si="11"/>
        <v>0</v>
      </c>
      <c r="AY41" s="745" t="str">
        <f t="shared" si="5"/>
        <v/>
      </c>
      <c r="AZ41" s="746" t="str">
        <f t="shared" si="6"/>
        <v/>
      </c>
    </row>
    <row r="42" spans="1:52" s="486" customFormat="1" ht="30" customHeight="1">
      <c r="A42" s="526">
        <f>ROWS(A$11:A42)</f>
        <v>32</v>
      </c>
      <c r="B42" s="1479"/>
      <c r="C42" s="1479"/>
      <c r="D42" s="1479"/>
      <c r="E42" s="527"/>
      <c r="F42" s="527"/>
      <c r="G42" s="715"/>
      <c r="H42" s="715"/>
      <c r="I42" s="710"/>
      <c r="J42" s="711"/>
      <c r="K42" s="521"/>
      <c r="L42" s="1493"/>
      <c r="M42" s="1493"/>
      <c r="N42" s="1495"/>
      <c r="O42" s="518"/>
      <c r="P42" s="518"/>
      <c r="Q42" s="518"/>
      <c r="R42" s="1498"/>
      <c r="S42" s="1513"/>
      <c r="T42" s="525"/>
      <c r="U42" s="519">
        <f t="shared" si="8"/>
        <v>0</v>
      </c>
      <c r="V42" s="518"/>
      <c r="W42" s="518"/>
      <c r="X42" s="518"/>
      <c r="Y42" s="518"/>
      <c r="Z42" s="518"/>
      <c r="AA42" s="518"/>
      <c r="AB42" s="518"/>
      <c r="AC42" s="524"/>
      <c r="AD42" s="1519"/>
      <c r="AE42" s="523"/>
      <c r="AF42" s="1519"/>
      <c r="AG42" s="1480"/>
      <c r="AH42" s="1481"/>
      <c r="AI42" s="1481"/>
      <c r="AJ42" s="508"/>
      <c r="AK42" s="742" t="str">
        <f t="shared" si="9"/>
        <v>-</v>
      </c>
      <c r="AS42" s="745">
        <f t="shared" si="7"/>
        <v>41</v>
      </c>
      <c r="AT42" s="745" t="str">
        <f t="shared" si="2"/>
        <v/>
      </c>
      <c r="AU42" s="745" t="str">
        <f t="shared" si="3"/>
        <v/>
      </c>
      <c r="AV42" s="745" t="str">
        <f t="shared" si="4"/>
        <v/>
      </c>
      <c r="AW42" s="745" t="str">
        <f t="shared" si="11"/>
        <v/>
      </c>
      <c r="AX42" s="745">
        <f t="shared" si="11"/>
        <v>0</v>
      </c>
      <c r="AY42" s="745" t="str">
        <f t="shared" si="5"/>
        <v/>
      </c>
      <c r="AZ42" s="746" t="str">
        <f t="shared" si="6"/>
        <v/>
      </c>
    </row>
    <row r="43" spans="1:52" s="486" customFormat="1" ht="30" customHeight="1">
      <c r="A43" s="526">
        <f>ROWS(A$11:A43)</f>
        <v>33</v>
      </c>
      <c r="B43" s="1479"/>
      <c r="C43" s="1479"/>
      <c r="D43" s="1479"/>
      <c r="E43" s="527"/>
      <c r="F43" s="527"/>
      <c r="G43" s="715"/>
      <c r="H43" s="715"/>
      <c r="I43" s="710"/>
      <c r="J43" s="711"/>
      <c r="K43" s="521"/>
      <c r="L43" s="1493"/>
      <c r="M43" s="1493"/>
      <c r="N43" s="1495"/>
      <c r="O43" s="518"/>
      <c r="P43" s="518"/>
      <c r="Q43" s="518"/>
      <c r="R43" s="1498"/>
      <c r="S43" s="1513"/>
      <c r="T43" s="525"/>
      <c r="U43" s="519">
        <f t="shared" ref="U43:U61" si="12">SUM(V43:X43)</f>
        <v>0</v>
      </c>
      <c r="V43" s="518"/>
      <c r="W43" s="518"/>
      <c r="X43" s="518"/>
      <c r="Y43" s="518"/>
      <c r="Z43" s="518"/>
      <c r="AA43" s="518"/>
      <c r="AB43" s="518"/>
      <c r="AC43" s="524"/>
      <c r="AD43" s="1519"/>
      <c r="AE43" s="523"/>
      <c r="AF43" s="1519"/>
      <c r="AG43" s="1480"/>
      <c r="AH43" s="1481"/>
      <c r="AI43" s="1481"/>
      <c r="AJ43" s="508"/>
      <c r="AK43" s="742" t="str">
        <f t="shared" si="9"/>
        <v>-</v>
      </c>
      <c r="AS43" s="745">
        <f t="shared" si="7"/>
        <v>42</v>
      </c>
      <c r="AT43" s="745" t="str">
        <f t="shared" si="2"/>
        <v/>
      </c>
      <c r="AU43" s="745" t="str">
        <f t="shared" si="3"/>
        <v/>
      </c>
      <c r="AV43" s="745" t="str">
        <f t="shared" si="4"/>
        <v/>
      </c>
      <c r="AW43" s="745" t="str">
        <f t="shared" si="11"/>
        <v/>
      </c>
      <c r="AX43" s="745">
        <f t="shared" si="11"/>
        <v>0</v>
      </c>
      <c r="AY43" s="745" t="str">
        <f t="shared" si="5"/>
        <v/>
      </c>
      <c r="AZ43" s="746" t="str">
        <f t="shared" si="6"/>
        <v/>
      </c>
    </row>
    <row r="44" spans="1:52" s="486" customFormat="1" ht="30" customHeight="1">
      <c r="A44" s="526">
        <f>ROWS(A$11:A44)</f>
        <v>34</v>
      </c>
      <c r="B44" s="1479"/>
      <c r="C44" s="1479"/>
      <c r="D44" s="1479"/>
      <c r="E44" s="527"/>
      <c r="F44" s="527"/>
      <c r="G44" s="715"/>
      <c r="H44" s="715"/>
      <c r="I44" s="710"/>
      <c r="J44" s="711"/>
      <c r="K44" s="521"/>
      <c r="L44" s="1493"/>
      <c r="M44" s="1493"/>
      <c r="N44" s="1495"/>
      <c r="O44" s="518"/>
      <c r="P44" s="518"/>
      <c r="Q44" s="518"/>
      <c r="R44" s="1498"/>
      <c r="S44" s="1513"/>
      <c r="T44" s="525"/>
      <c r="U44" s="519">
        <f t="shared" si="12"/>
        <v>0</v>
      </c>
      <c r="V44" s="518"/>
      <c r="W44" s="518"/>
      <c r="X44" s="518"/>
      <c r="Y44" s="518"/>
      <c r="Z44" s="518"/>
      <c r="AA44" s="518"/>
      <c r="AB44" s="518"/>
      <c r="AC44" s="524"/>
      <c r="AD44" s="1519"/>
      <c r="AE44" s="523"/>
      <c r="AF44" s="1519"/>
      <c r="AG44" s="1480"/>
      <c r="AH44" s="1481"/>
      <c r="AI44" s="1481"/>
      <c r="AJ44" s="508"/>
      <c r="AK44" s="742" t="str">
        <f t="shared" si="9"/>
        <v>-</v>
      </c>
      <c r="AS44" s="745">
        <f t="shared" si="7"/>
        <v>43</v>
      </c>
      <c r="AT44" s="745" t="str">
        <f t="shared" si="2"/>
        <v/>
      </c>
      <c r="AU44" s="745" t="str">
        <f t="shared" si="3"/>
        <v/>
      </c>
      <c r="AV44" s="745" t="str">
        <f t="shared" si="4"/>
        <v/>
      </c>
      <c r="AW44" s="745" t="str">
        <f t="shared" si="11"/>
        <v/>
      </c>
      <c r="AX44" s="745">
        <f t="shared" si="11"/>
        <v>0</v>
      </c>
      <c r="AY44" s="745" t="str">
        <f t="shared" si="5"/>
        <v/>
      </c>
      <c r="AZ44" s="746" t="str">
        <f t="shared" si="6"/>
        <v/>
      </c>
    </row>
    <row r="45" spans="1:52" s="486" customFormat="1" ht="30" customHeight="1">
      <c r="A45" s="526">
        <f>ROWS(A$11:A45)</f>
        <v>35</v>
      </c>
      <c r="B45" s="1479"/>
      <c r="C45" s="1479"/>
      <c r="D45" s="1479"/>
      <c r="E45" s="527"/>
      <c r="F45" s="527"/>
      <c r="G45" s="715"/>
      <c r="H45" s="715"/>
      <c r="I45" s="710"/>
      <c r="J45" s="711"/>
      <c r="K45" s="521"/>
      <c r="L45" s="1493"/>
      <c r="M45" s="1493"/>
      <c r="N45" s="1495"/>
      <c r="O45" s="518"/>
      <c r="P45" s="518"/>
      <c r="Q45" s="518"/>
      <c r="R45" s="1498"/>
      <c r="S45" s="1513"/>
      <c r="T45" s="525"/>
      <c r="U45" s="519">
        <f t="shared" si="12"/>
        <v>0</v>
      </c>
      <c r="V45" s="518"/>
      <c r="W45" s="518"/>
      <c r="X45" s="518"/>
      <c r="Y45" s="518"/>
      <c r="Z45" s="518"/>
      <c r="AA45" s="518"/>
      <c r="AB45" s="518"/>
      <c r="AC45" s="524"/>
      <c r="AD45" s="1519"/>
      <c r="AE45" s="523"/>
      <c r="AF45" s="1519"/>
      <c r="AG45" s="1480"/>
      <c r="AH45" s="1481"/>
      <c r="AI45" s="1481"/>
      <c r="AJ45" s="508"/>
      <c r="AK45" s="742" t="str">
        <f t="shared" si="9"/>
        <v>-</v>
      </c>
      <c r="AS45" s="745">
        <f t="shared" si="7"/>
        <v>44</v>
      </c>
      <c r="AT45" s="745" t="str">
        <f t="shared" si="2"/>
        <v/>
      </c>
      <c r="AU45" s="745" t="str">
        <f t="shared" si="3"/>
        <v/>
      </c>
      <c r="AV45" s="745" t="str">
        <f t="shared" si="4"/>
        <v/>
      </c>
      <c r="AW45" s="745" t="str">
        <f t="shared" si="11"/>
        <v/>
      </c>
      <c r="AX45" s="745">
        <f t="shared" si="11"/>
        <v>0</v>
      </c>
      <c r="AY45" s="745" t="str">
        <f t="shared" si="5"/>
        <v/>
      </c>
      <c r="AZ45" s="746" t="str">
        <f t="shared" si="6"/>
        <v/>
      </c>
    </row>
    <row r="46" spans="1:52" s="486" customFormat="1" ht="30" customHeight="1">
      <c r="A46" s="526">
        <f>ROWS(A$11:A46)</f>
        <v>36</v>
      </c>
      <c r="B46" s="1479"/>
      <c r="C46" s="1479"/>
      <c r="D46" s="1479"/>
      <c r="E46" s="527"/>
      <c r="F46" s="527"/>
      <c r="G46" s="715"/>
      <c r="H46" s="715"/>
      <c r="I46" s="710"/>
      <c r="J46" s="711"/>
      <c r="K46" s="521"/>
      <c r="L46" s="1493"/>
      <c r="M46" s="1493"/>
      <c r="N46" s="1495"/>
      <c r="O46" s="518"/>
      <c r="P46" s="518"/>
      <c r="Q46" s="518"/>
      <c r="R46" s="1498"/>
      <c r="S46" s="1513"/>
      <c r="T46" s="525"/>
      <c r="U46" s="519">
        <f t="shared" si="12"/>
        <v>0</v>
      </c>
      <c r="V46" s="518"/>
      <c r="W46" s="518"/>
      <c r="X46" s="518"/>
      <c r="Y46" s="518"/>
      <c r="Z46" s="518"/>
      <c r="AA46" s="518"/>
      <c r="AB46" s="518"/>
      <c r="AC46" s="524"/>
      <c r="AD46" s="1519"/>
      <c r="AE46" s="523"/>
      <c r="AF46" s="1519"/>
      <c r="AG46" s="1480"/>
      <c r="AH46" s="1481"/>
      <c r="AI46" s="1481"/>
      <c r="AJ46" s="508"/>
      <c r="AK46" s="742" t="str">
        <f t="shared" si="9"/>
        <v>-</v>
      </c>
      <c r="AS46" s="745">
        <f t="shared" si="7"/>
        <v>45</v>
      </c>
      <c r="AT46" s="745" t="str">
        <f t="shared" si="2"/>
        <v/>
      </c>
      <c r="AU46" s="745" t="str">
        <f t="shared" si="3"/>
        <v/>
      </c>
      <c r="AV46" s="745" t="str">
        <f t="shared" si="4"/>
        <v/>
      </c>
      <c r="AW46" s="745" t="str">
        <f t="shared" si="11"/>
        <v/>
      </c>
      <c r="AX46" s="745">
        <f t="shared" si="11"/>
        <v>0</v>
      </c>
      <c r="AY46" s="745" t="str">
        <f t="shared" si="5"/>
        <v/>
      </c>
      <c r="AZ46" s="746" t="str">
        <f t="shared" si="6"/>
        <v/>
      </c>
    </row>
    <row r="47" spans="1:52" s="486" customFormat="1" ht="30" customHeight="1">
      <c r="A47" s="526">
        <f>ROWS(A$11:A47)</f>
        <v>37</v>
      </c>
      <c r="B47" s="1479"/>
      <c r="C47" s="1479"/>
      <c r="D47" s="1479"/>
      <c r="E47" s="527"/>
      <c r="F47" s="527"/>
      <c r="G47" s="715"/>
      <c r="H47" s="715"/>
      <c r="I47" s="710"/>
      <c r="J47" s="711"/>
      <c r="K47" s="521"/>
      <c r="L47" s="1493"/>
      <c r="M47" s="1493"/>
      <c r="N47" s="1495"/>
      <c r="O47" s="518"/>
      <c r="P47" s="518"/>
      <c r="Q47" s="518"/>
      <c r="R47" s="1498"/>
      <c r="S47" s="1513"/>
      <c r="T47" s="525"/>
      <c r="U47" s="519">
        <f t="shared" si="12"/>
        <v>0</v>
      </c>
      <c r="V47" s="518"/>
      <c r="W47" s="518"/>
      <c r="X47" s="518"/>
      <c r="Y47" s="518"/>
      <c r="Z47" s="518"/>
      <c r="AA47" s="518"/>
      <c r="AB47" s="518"/>
      <c r="AC47" s="524"/>
      <c r="AD47" s="1519"/>
      <c r="AE47" s="523"/>
      <c r="AF47" s="1519"/>
      <c r="AG47" s="1480"/>
      <c r="AH47" s="1481"/>
      <c r="AI47" s="1481"/>
      <c r="AJ47" s="508"/>
      <c r="AK47" s="742" t="str">
        <f t="shared" si="9"/>
        <v>-</v>
      </c>
      <c r="AS47" s="745">
        <f t="shared" si="7"/>
        <v>46</v>
      </c>
      <c r="AT47" s="745" t="str">
        <f t="shared" si="2"/>
        <v/>
      </c>
      <c r="AU47" s="745" t="str">
        <f t="shared" si="3"/>
        <v/>
      </c>
      <c r="AV47" s="745" t="str">
        <f t="shared" si="4"/>
        <v/>
      </c>
      <c r="AW47" s="745" t="str">
        <f t="shared" si="11"/>
        <v/>
      </c>
      <c r="AX47" s="745">
        <f t="shared" si="11"/>
        <v>0</v>
      </c>
      <c r="AY47" s="745" t="str">
        <f t="shared" si="5"/>
        <v/>
      </c>
      <c r="AZ47" s="746" t="str">
        <f t="shared" si="6"/>
        <v/>
      </c>
    </row>
    <row r="48" spans="1:52" s="486" customFormat="1" ht="30" customHeight="1">
      <c r="A48" s="526">
        <f>ROWS(A$11:A48)</f>
        <v>38</v>
      </c>
      <c r="B48" s="1479"/>
      <c r="C48" s="1479"/>
      <c r="D48" s="1479"/>
      <c r="E48" s="527"/>
      <c r="F48" s="527"/>
      <c r="G48" s="715"/>
      <c r="H48" s="715"/>
      <c r="I48" s="710"/>
      <c r="J48" s="711"/>
      <c r="K48" s="521"/>
      <c r="L48" s="1493"/>
      <c r="M48" s="1493"/>
      <c r="N48" s="1495"/>
      <c r="O48" s="518"/>
      <c r="P48" s="518"/>
      <c r="Q48" s="518"/>
      <c r="R48" s="1498"/>
      <c r="S48" s="1513"/>
      <c r="T48" s="525"/>
      <c r="U48" s="519">
        <f t="shared" si="12"/>
        <v>0</v>
      </c>
      <c r="V48" s="518"/>
      <c r="W48" s="518"/>
      <c r="X48" s="518"/>
      <c r="Y48" s="518"/>
      <c r="Z48" s="518"/>
      <c r="AA48" s="518"/>
      <c r="AB48" s="518"/>
      <c r="AC48" s="524"/>
      <c r="AD48" s="1519"/>
      <c r="AE48" s="523"/>
      <c r="AF48" s="1519"/>
      <c r="AG48" s="1480"/>
      <c r="AH48" s="1481"/>
      <c r="AI48" s="1481"/>
      <c r="AJ48" s="508"/>
      <c r="AK48" s="742" t="str">
        <f t="shared" si="9"/>
        <v>-</v>
      </c>
      <c r="AS48" s="745">
        <f t="shared" si="7"/>
        <v>47</v>
      </c>
      <c r="AT48" s="745" t="str">
        <f t="shared" si="2"/>
        <v/>
      </c>
      <c r="AU48" s="745" t="str">
        <f t="shared" si="3"/>
        <v/>
      </c>
      <c r="AV48" s="745" t="str">
        <f t="shared" si="4"/>
        <v/>
      </c>
      <c r="AW48" s="745" t="str">
        <f t="shared" si="11"/>
        <v/>
      </c>
      <c r="AX48" s="745">
        <f t="shared" si="11"/>
        <v>0</v>
      </c>
      <c r="AY48" s="745" t="str">
        <f t="shared" si="5"/>
        <v/>
      </c>
      <c r="AZ48" s="746" t="str">
        <f t="shared" si="6"/>
        <v/>
      </c>
    </row>
    <row r="49" spans="1:52" s="486" customFormat="1" ht="30" customHeight="1">
      <c r="A49" s="526">
        <f>ROWS(A$11:A49)</f>
        <v>39</v>
      </c>
      <c r="B49" s="1479"/>
      <c r="C49" s="1479"/>
      <c r="D49" s="1479"/>
      <c r="E49" s="527"/>
      <c r="F49" s="527"/>
      <c r="G49" s="715"/>
      <c r="H49" s="715"/>
      <c r="I49" s="710"/>
      <c r="J49" s="711"/>
      <c r="K49" s="521"/>
      <c r="L49" s="1493"/>
      <c r="M49" s="1493"/>
      <c r="N49" s="1495"/>
      <c r="O49" s="518"/>
      <c r="P49" s="518"/>
      <c r="Q49" s="518"/>
      <c r="R49" s="1498"/>
      <c r="S49" s="1513"/>
      <c r="T49" s="525"/>
      <c r="U49" s="519">
        <f t="shared" si="12"/>
        <v>0</v>
      </c>
      <c r="V49" s="518"/>
      <c r="W49" s="518"/>
      <c r="X49" s="518"/>
      <c r="Y49" s="518"/>
      <c r="Z49" s="518"/>
      <c r="AA49" s="518"/>
      <c r="AB49" s="518"/>
      <c r="AC49" s="524"/>
      <c r="AD49" s="1519"/>
      <c r="AE49" s="523"/>
      <c r="AF49" s="1519"/>
      <c r="AG49" s="1480"/>
      <c r="AH49" s="1481"/>
      <c r="AI49" s="1481"/>
      <c r="AJ49" s="508"/>
      <c r="AK49" s="742" t="str">
        <f t="shared" si="9"/>
        <v>-</v>
      </c>
      <c r="AS49" s="745">
        <f t="shared" si="7"/>
        <v>48</v>
      </c>
      <c r="AT49" s="745" t="str">
        <f t="shared" si="2"/>
        <v/>
      </c>
      <c r="AU49" s="745" t="str">
        <f t="shared" si="3"/>
        <v/>
      </c>
      <c r="AV49" s="745" t="str">
        <f t="shared" si="4"/>
        <v/>
      </c>
      <c r="AW49" s="745" t="str">
        <f t="shared" si="11"/>
        <v/>
      </c>
      <c r="AX49" s="745">
        <f t="shared" si="11"/>
        <v>0</v>
      </c>
      <c r="AY49" s="745" t="str">
        <f t="shared" si="5"/>
        <v/>
      </c>
      <c r="AZ49" s="746" t="str">
        <f t="shared" si="6"/>
        <v/>
      </c>
    </row>
    <row r="50" spans="1:52" s="486" customFormat="1" ht="30" customHeight="1">
      <c r="A50" s="526">
        <f>ROWS(A$11:A50)</f>
        <v>40</v>
      </c>
      <c r="B50" s="1479"/>
      <c r="C50" s="1479"/>
      <c r="D50" s="1479"/>
      <c r="E50" s="527"/>
      <c r="F50" s="527"/>
      <c r="G50" s="715"/>
      <c r="H50" s="715"/>
      <c r="I50" s="710"/>
      <c r="J50" s="711"/>
      <c r="K50" s="521"/>
      <c r="L50" s="1493"/>
      <c r="M50" s="1493"/>
      <c r="N50" s="1495"/>
      <c r="O50" s="518"/>
      <c r="P50" s="518"/>
      <c r="Q50" s="518"/>
      <c r="R50" s="1498"/>
      <c r="S50" s="1513"/>
      <c r="T50" s="525"/>
      <c r="U50" s="519">
        <f t="shared" si="12"/>
        <v>0</v>
      </c>
      <c r="V50" s="518"/>
      <c r="W50" s="518"/>
      <c r="X50" s="518"/>
      <c r="Y50" s="518"/>
      <c r="Z50" s="518"/>
      <c r="AA50" s="518"/>
      <c r="AB50" s="518"/>
      <c r="AC50" s="524"/>
      <c r="AD50" s="1519"/>
      <c r="AE50" s="523"/>
      <c r="AF50" s="1519"/>
      <c r="AG50" s="1480"/>
      <c r="AH50" s="1481"/>
      <c r="AI50" s="1481"/>
      <c r="AJ50" s="508"/>
      <c r="AK50" s="742" t="str">
        <f t="shared" si="9"/>
        <v>-</v>
      </c>
      <c r="AS50" s="745">
        <f t="shared" si="7"/>
        <v>49</v>
      </c>
      <c r="AT50" s="745" t="str">
        <f t="shared" si="2"/>
        <v/>
      </c>
      <c r="AU50" s="745" t="str">
        <f t="shared" si="3"/>
        <v/>
      </c>
      <c r="AV50" s="745" t="str">
        <f t="shared" si="4"/>
        <v/>
      </c>
      <c r="AW50" s="745" t="str">
        <f t="shared" si="11"/>
        <v/>
      </c>
      <c r="AX50" s="745">
        <f t="shared" si="11"/>
        <v>0</v>
      </c>
      <c r="AY50" s="745" t="str">
        <f t="shared" si="5"/>
        <v/>
      </c>
      <c r="AZ50" s="746" t="str">
        <f t="shared" si="6"/>
        <v/>
      </c>
    </row>
    <row r="51" spans="1:52" s="486" customFormat="1" ht="30" customHeight="1">
      <c r="A51" s="526">
        <f>ROWS(A$11:A51)</f>
        <v>41</v>
      </c>
      <c r="B51" s="1479"/>
      <c r="C51" s="1479"/>
      <c r="D51" s="1479"/>
      <c r="E51" s="527"/>
      <c r="F51" s="527"/>
      <c r="G51" s="715"/>
      <c r="H51" s="715"/>
      <c r="I51" s="710"/>
      <c r="J51" s="711"/>
      <c r="K51" s="521"/>
      <c r="L51" s="1493"/>
      <c r="M51" s="1493"/>
      <c r="N51" s="1495"/>
      <c r="O51" s="518"/>
      <c r="P51" s="518"/>
      <c r="Q51" s="518"/>
      <c r="R51" s="1498"/>
      <c r="S51" s="1513"/>
      <c r="T51" s="525"/>
      <c r="U51" s="519">
        <f t="shared" si="12"/>
        <v>0</v>
      </c>
      <c r="V51" s="518"/>
      <c r="W51" s="518"/>
      <c r="X51" s="518"/>
      <c r="Y51" s="518"/>
      <c r="Z51" s="518"/>
      <c r="AA51" s="518"/>
      <c r="AB51" s="518"/>
      <c r="AC51" s="524"/>
      <c r="AD51" s="1519"/>
      <c r="AE51" s="523"/>
      <c r="AF51" s="1519"/>
      <c r="AG51" s="1480"/>
      <c r="AH51" s="1481"/>
      <c r="AI51" s="1481"/>
      <c r="AJ51" s="508"/>
      <c r="AK51" s="742" t="str">
        <f t="shared" si="9"/>
        <v>-</v>
      </c>
      <c r="AS51" s="745">
        <f t="shared" si="7"/>
        <v>50</v>
      </c>
      <c r="AT51" s="745" t="str">
        <f t="shared" si="2"/>
        <v/>
      </c>
      <c r="AU51" s="745" t="str">
        <f t="shared" si="3"/>
        <v/>
      </c>
      <c r="AV51" s="745" t="str">
        <f t="shared" si="4"/>
        <v/>
      </c>
      <c r="AW51" s="745" t="str">
        <f t="shared" ref="AW51:AX51" si="13">IF(T60="","",T60)</f>
        <v/>
      </c>
      <c r="AX51" s="745">
        <f t="shared" si="13"/>
        <v>0</v>
      </c>
      <c r="AY51" s="745" t="str">
        <f t="shared" si="5"/>
        <v/>
      </c>
      <c r="AZ51" s="746" t="str">
        <f t="shared" si="6"/>
        <v/>
      </c>
    </row>
    <row r="52" spans="1:52" s="486" customFormat="1" ht="30" customHeight="1">
      <c r="A52" s="526">
        <f>ROWS(A$11:A52)</f>
        <v>42</v>
      </c>
      <c r="B52" s="1479"/>
      <c r="C52" s="1479"/>
      <c r="D52" s="1479"/>
      <c r="E52" s="527"/>
      <c r="F52" s="527"/>
      <c r="G52" s="715"/>
      <c r="H52" s="715"/>
      <c r="I52" s="710"/>
      <c r="J52" s="711"/>
      <c r="K52" s="521"/>
      <c r="L52" s="1493"/>
      <c r="M52" s="1493"/>
      <c r="N52" s="1495"/>
      <c r="O52" s="518"/>
      <c r="P52" s="518"/>
      <c r="Q52" s="518"/>
      <c r="R52" s="1498"/>
      <c r="S52" s="1513"/>
      <c r="T52" s="525"/>
      <c r="U52" s="519">
        <f t="shared" si="12"/>
        <v>0</v>
      </c>
      <c r="V52" s="518"/>
      <c r="W52" s="518"/>
      <c r="X52" s="518"/>
      <c r="Y52" s="518"/>
      <c r="Z52" s="518"/>
      <c r="AA52" s="518"/>
      <c r="AB52" s="518"/>
      <c r="AC52" s="524"/>
      <c r="AD52" s="1519"/>
      <c r="AE52" s="523"/>
      <c r="AF52" s="1519"/>
      <c r="AG52" s="1480"/>
      <c r="AH52" s="1481"/>
      <c r="AI52" s="1481"/>
      <c r="AJ52" s="508"/>
      <c r="AK52" s="742" t="str">
        <f t="shared" si="9"/>
        <v>-</v>
      </c>
    </row>
    <row r="53" spans="1:52" s="486" customFormat="1" ht="30" customHeight="1">
      <c r="A53" s="526">
        <f>ROWS(A$11:A53)</f>
        <v>43</v>
      </c>
      <c r="B53" s="1479"/>
      <c r="C53" s="1479"/>
      <c r="D53" s="1479"/>
      <c r="E53" s="527"/>
      <c r="F53" s="527"/>
      <c r="G53" s="715"/>
      <c r="H53" s="715"/>
      <c r="I53" s="710"/>
      <c r="J53" s="711"/>
      <c r="K53" s="521"/>
      <c r="L53" s="1493"/>
      <c r="M53" s="1493"/>
      <c r="N53" s="1495"/>
      <c r="O53" s="518"/>
      <c r="P53" s="518"/>
      <c r="Q53" s="518"/>
      <c r="R53" s="1498"/>
      <c r="S53" s="1513"/>
      <c r="T53" s="525"/>
      <c r="U53" s="519">
        <f t="shared" si="12"/>
        <v>0</v>
      </c>
      <c r="V53" s="518"/>
      <c r="W53" s="518"/>
      <c r="X53" s="518"/>
      <c r="Y53" s="518"/>
      <c r="Z53" s="518"/>
      <c r="AA53" s="518"/>
      <c r="AB53" s="518"/>
      <c r="AC53" s="524"/>
      <c r="AD53" s="1519"/>
      <c r="AE53" s="523"/>
      <c r="AF53" s="1519"/>
      <c r="AG53" s="1480"/>
      <c r="AH53" s="1481"/>
      <c r="AI53" s="1481"/>
      <c r="AJ53" s="508"/>
      <c r="AK53" s="742" t="str">
        <f t="shared" si="9"/>
        <v>-</v>
      </c>
    </row>
    <row r="54" spans="1:52" s="486" customFormat="1" ht="30" customHeight="1">
      <c r="A54" s="526">
        <f>ROWS(A$11:A54)</f>
        <v>44</v>
      </c>
      <c r="B54" s="1479"/>
      <c r="C54" s="1479"/>
      <c r="D54" s="1479"/>
      <c r="E54" s="527"/>
      <c r="F54" s="527"/>
      <c r="G54" s="715"/>
      <c r="H54" s="715"/>
      <c r="I54" s="710"/>
      <c r="J54" s="711"/>
      <c r="K54" s="521"/>
      <c r="L54" s="1493"/>
      <c r="M54" s="1493"/>
      <c r="N54" s="1495"/>
      <c r="O54" s="518"/>
      <c r="P54" s="518"/>
      <c r="Q54" s="518"/>
      <c r="R54" s="1498"/>
      <c r="S54" s="1513"/>
      <c r="T54" s="525"/>
      <c r="U54" s="519">
        <f t="shared" si="12"/>
        <v>0</v>
      </c>
      <c r="V54" s="518"/>
      <c r="W54" s="518"/>
      <c r="X54" s="518"/>
      <c r="Y54" s="518"/>
      <c r="Z54" s="518"/>
      <c r="AA54" s="518"/>
      <c r="AB54" s="518"/>
      <c r="AC54" s="524"/>
      <c r="AD54" s="1519"/>
      <c r="AE54" s="523"/>
      <c r="AF54" s="1519"/>
      <c r="AG54" s="1480"/>
      <c r="AH54" s="1481"/>
      <c r="AI54" s="1481"/>
      <c r="AJ54" s="508"/>
      <c r="AK54" s="742" t="str">
        <f t="shared" si="9"/>
        <v>-</v>
      </c>
    </row>
    <row r="55" spans="1:52" s="486" customFormat="1" ht="30" customHeight="1">
      <c r="A55" s="526">
        <f>ROWS(A$11:A55)</f>
        <v>45</v>
      </c>
      <c r="B55" s="1479"/>
      <c r="C55" s="1479"/>
      <c r="D55" s="1479"/>
      <c r="E55" s="527"/>
      <c r="F55" s="527"/>
      <c r="G55" s="715"/>
      <c r="H55" s="715"/>
      <c r="I55" s="710"/>
      <c r="J55" s="711"/>
      <c r="K55" s="521"/>
      <c r="L55" s="1493"/>
      <c r="M55" s="1493"/>
      <c r="N55" s="1495"/>
      <c r="O55" s="518"/>
      <c r="P55" s="518"/>
      <c r="Q55" s="518"/>
      <c r="R55" s="1498"/>
      <c r="S55" s="1513"/>
      <c r="T55" s="525"/>
      <c r="U55" s="519">
        <f t="shared" si="12"/>
        <v>0</v>
      </c>
      <c r="V55" s="518"/>
      <c r="W55" s="518"/>
      <c r="X55" s="518"/>
      <c r="Y55" s="518"/>
      <c r="Z55" s="518"/>
      <c r="AA55" s="518"/>
      <c r="AB55" s="518"/>
      <c r="AC55" s="524"/>
      <c r="AD55" s="1519"/>
      <c r="AE55" s="523"/>
      <c r="AF55" s="1519"/>
      <c r="AG55" s="1480"/>
      <c r="AH55" s="1481"/>
      <c r="AI55" s="1481"/>
      <c r="AJ55" s="508"/>
      <c r="AK55" s="742" t="str">
        <f t="shared" si="9"/>
        <v>-</v>
      </c>
    </row>
    <row r="56" spans="1:52" s="486" customFormat="1" ht="30" customHeight="1">
      <c r="A56" s="526">
        <f>ROWS(A$11:A56)</f>
        <v>46</v>
      </c>
      <c r="B56" s="1479"/>
      <c r="C56" s="1479"/>
      <c r="D56" s="1479"/>
      <c r="E56" s="527"/>
      <c r="F56" s="527"/>
      <c r="G56" s="715"/>
      <c r="H56" s="715"/>
      <c r="I56" s="710"/>
      <c r="J56" s="711"/>
      <c r="K56" s="521"/>
      <c r="L56" s="1493"/>
      <c r="M56" s="1493"/>
      <c r="N56" s="1495"/>
      <c r="O56" s="518"/>
      <c r="P56" s="518"/>
      <c r="Q56" s="518"/>
      <c r="R56" s="1498"/>
      <c r="S56" s="1513"/>
      <c r="T56" s="525"/>
      <c r="U56" s="519">
        <f t="shared" si="12"/>
        <v>0</v>
      </c>
      <c r="V56" s="518"/>
      <c r="W56" s="518"/>
      <c r="X56" s="518"/>
      <c r="Y56" s="518"/>
      <c r="Z56" s="518"/>
      <c r="AA56" s="518"/>
      <c r="AB56" s="518"/>
      <c r="AC56" s="524"/>
      <c r="AD56" s="1519"/>
      <c r="AE56" s="523"/>
      <c r="AF56" s="1519"/>
      <c r="AG56" s="1480"/>
      <c r="AH56" s="1481"/>
      <c r="AI56" s="1481"/>
      <c r="AJ56" s="508"/>
      <c r="AK56" s="742" t="str">
        <f t="shared" si="9"/>
        <v>-</v>
      </c>
    </row>
    <row r="57" spans="1:52" s="486" customFormat="1" ht="30" customHeight="1">
      <c r="A57" s="526">
        <f>ROWS(A$11:A57)</f>
        <v>47</v>
      </c>
      <c r="B57" s="1479"/>
      <c r="C57" s="1479"/>
      <c r="D57" s="1479"/>
      <c r="E57" s="527"/>
      <c r="F57" s="527"/>
      <c r="G57" s="715"/>
      <c r="H57" s="715"/>
      <c r="I57" s="710"/>
      <c r="J57" s="711"/>
      <c r="K57" s="521"/>
      <c r="L57" s="1493"/>
      <c r="M57" s="1493"/>
      <c r="N57" s="1495"/>
      <c r="O57" s="518"/>
      <c r="P57" s="518"/>
      <c r="Q57" s="518"/>
      <c r="R57" s="1498"/>
      <c r="S57" s="1513"/>
      <c r="T57" s="525"/>
      <c r="U57" s="519">
        <f t="shared" si="12"/>
        <v>0</v>
      </c>
      <c r="V57" s="518"/>
      <c r="W57" s="518"/>
      <c r="X57" s="518"/>
      <c r="Y57" s="518"/>
      <c r="Z57" s="518"/>
      <c r="AA57" s="518"/>
      <c r="AB57" s="518"/>
      <c r="AC57" s="524"/>
      <c r="AD57" s="1519"/>
      <c r="AE57" s="523"/>
      <c r="AF57" s="1519"/>
      <c r="AG57" s="1480"/>
      <c r="AH57" s="1481"/>
      <c r="AI57" s="1481"/>
      <c r="AJ57" s="508"/>
      <c r="AK57" s="742" t="str">
        <f t="shared" si="9"/>
        <v>-</v>
      </c>
    </row>
    <row r="58" spans="1:52" s="486" customFormat="1" ht="30" customHeight="1">
      <c r="A58" s="526">
        <f>ROWS(A$11:A58)</f>
        <v>48</v>
      </c>
      <c r="B58" s="1479"/>
      <c r="C58" s="1479"/>
      <c r="D58" s="1479"/>
      <c r="E58" s="527"/>
      <c r="F58" s="527"/>
      <c r="G58" s="715"/>
      <c r="H58" s="715"/>
      <c r="I58" s="710"/>
      <c r="J58" s="711"/>
      <c r="K58" s="521"/>
      <c r="L58" s="1493"/>
      <c r="M58" s="1493"/>
      <c r="N58" s="1495"/>
      <c r="O58" s="518"/>
      <c r="P58" s="518"/>
      <c r="Q58" s="518"/>
      <c r="R58" s="1498"/>
      <c r="S58" s="1513"/>
      <c r="T58" s="525"/>
      <c r="U58" s="519">
        <f t="shared" si="12"/>
        <v>0</v>
      </c>
      <c r="V58" s="518"/>
      <c r="W58" s="518"/>
      <c r="X58" s="518"/>
      <c r="Y58" s="518"/>
      <c r="Z58" s="518"/>
      <c r="AA58" s="518"/>
      <c r="AB58" s="518"/>
      <c r="AC58" s="524"/>
      <c r="AD58" s="1519"/>
      <c r="AE58" s="523"/>
      <c r="AF58" s="1519"/>
      <c r="AG58" s="1480"/>
      <c r="AH58" s="1481"/>
      <c r="AI58" s="1481"/>
      <c r="AJ58" s="508"/>
      <c r="AK58" s="742" t="str">
        <f t="shared" si="9"/>
        <v>-</v>
      </c>
    </row>
    <row r="59" spans="1:52" s="486" customFormat="1" ht="30" customHeight="1">
      <c r="A59" s="526">
        <f>ROWS(A$11:A59)</f>
        <v>49</v>
      </c>
      <c r="B59" s="1479"/>
      <c r="C59" s="1479"/>
      <c r="D59" s="1479"/>
      <c r="E59" s="527"/>
      <c r="F59" s="527"/>
      <c r="G59" s="715"/>
      <c r="H59" s="715"/>
      <c r="I59" s="710"/>
      <c r="J59" s="711"/>
      <c r="K59" s="521"/>
      <c r="L59" s="1493"/>
      <c r="M59" s="1493"/>
      <c r="N59" s="1495"/>
      <c r="O59" s="518"/>
      <c r="P59" s="518"/>
      <c r="Q59" s="518"/>
      <c r="R59" s="1498"/>
      <c r="S59" s="1513"/>
      <c r="T59" s="525"/>
      <c r="U59" s="519">
        <f t="shared" si="12"/>
        <v>0</v>
      </c>
      <c r="V59" s="518"/>
      <c r="W59" s="518"/>
      <c r="X59" s="518"/>
      <c r="Y59" s="518"/>
      <c r="Z59" s="518"/>
      <c r="AA59" s="518"/>
      <c r="AB59" s="518"/>
      <c r="AC59" s="524"/>
      <c r="AD59" s="1519"/>
      <c r="AE59" s="523"/>
      <c r="AF59" s="1519"/>
      <c r="AG59" s="1480"/>
      <c r="AH59" s="1481"/>
      <c r="AI59" s="1481"/>
      <c r="AJ59" s="508"/>
      <c r="AK59" s="742" t="str">
        <f t="shared" si="9"/>
        <v>-</v>
      </c>
    </row>
    <row r="60" spans="1:52" s="486" customFormat="1" ht="30" customHeight="1" thickBot="1">
      <c r="A60" s="522">
        <f>ROWS(A$11:A60)</f>
        <v>50</v>
      </c>
      <c r="B60" s="1489"/>
      <c r="C60" s="1489"/>
      <c r="D60" s="1489"/>
      <c r="E60" s="527"/>
      <c r="F60" s="740"/>
      <c r="G60" s="716"/>
      <c r="H60" s="716"/>
      <c r="I60" s="717"/>
      <c r="J60" s="718"/>
      <c r="K60" s="521"/>
      <c r="L60" s="1493"/>
      <c r="M60" s="1493"/>
      <c r="N60" s="1496"/>
      <c r="O60" s="518"/>
      <c r="P60" s="518"/>
      <c r="Q60" s="518"/>
      <c r="R60" s="1499"/>
      <c r="S60" s="1513"/>
      <c r="T60" s="520"/>
      <c r="U60" s="519">
        <f t="shared" si="12"/>
        <v>0</v>
      </c>
      <c r="V60" s="517"/>
      <c r="W60" s="517"/>
      <c r="X60" s="517"/>
      <c r="Y60" s="517"/>
      <c r="Z60" s="518"/>
      <c r="AA60" s="517"/>
      <c r="AB60" s="871"/>
      <c r="AC60" s="516"/>
      <c r="AD60" s="1520"/>
      <c r="AE60" s="515"/>
      <c r="AF60" s="1520"/>
      <c r="AG60" s="1480"/>
      <c r="AH60" s="1481"/>
      <c r="AI60" s="1481"/>
      <c r="AJ60" s="508"/>
      <c r="AK60" s="742" t="str">
        <f t="shared" si="9"/>
        <v>-</v>
      </c>
    </row>
    <row r="61" spans="1:52" s="486" customFormat="1" ht="36.75" customHeight="1" thickBot="1">
      <c r="A61" s="514"/>
      <c r="B61" s="1490" t="s">
        <v>679</v>
      </c>
      <c r="C61" s="1491"/>
      <c r="D61" s="1491"/>
      <c r="E61" s="1491"/>
      <c r="F61" s="1491"/>
      <c r="G61" s="1491"/>
      <c r="H61" s="1491"/>
      <c r="I61" s="1491"/>
      <c r="J61" s="1491"/>
      <c r="K61" s="513">
        <f>SUM(K11:K60)</f>
        <v>0</v>
      </c>
      <c r="L61" s="747"/>
      <c r="M61" s="747"/>
      <c r="N61" s="748"/>
      <c r="O61" s="511">
        <f>SUM(O11:O60)</f>
        <v>0</v>
      </c>
      <c r="P61" s="511">
        <f>SUM(P11:P60)</f>
        <v>0</v>
      </c>
      <c r="Q61" s="511">
        <f>SUM(Q11:Q60)</f>
        <v>0</v>
      </c>
      <c r="R61" s="511">
        <f>K61-(L61-M61)-N61-O61-P61+Q61</f>
        <v>0</v>
      </c>
      <c r="S61" s="749"/>
      <c r="T61" s="513">
        <f>ROUNDDOWN(SUM(T11:T60),-3)</f>
        <v>0</v>
      </c>
      <c r="U61" s="511">
        <f t="shared" si="12"/>
        <v>0</v>
      </c>
      <c r="V61" s="511">
        <f>SUM(V11:V60)</f>
        <v>0</v>
      </c>
      <c r="W61" s="511">
        <f>SUM(W11:W60)</f>
        <v>0</v>
      </c>
      <c r="X61" s="511">
        <f>SUM(X11:X60)</f>
        <v>0</v>
      </c>
      <c r="Y61" s="511">
        <f>SUM(Y11:Y60)</f>
        <v>0</v>
      </c>
      <c r="Z61" s="512"/>
      <c r="AA61" s="512"/>
      <c r="AB61" s="510">
        <f>SUM(AB11:AB60)</f>
        <v>0</v>
      </c>
      <c r="AC61" s="510">
        <f>SUM(AC11:AC60)</f>
        <v>0</v>
      </c>
      <c r="AD61" s="749"/>
      <c r="AE61" s="510">
        <f>SUM(AE11:AE60)</f>
        <v>0</v>
      </c>
      <c r="AF61" s="509">
        <f>T61-U61-Y61-AB61-AC61-AD61-AE61</f>
        <v>0</v>
      </c>
      <c r="AG61" s="1484"/>
      <c r="AH61" s="1485"/>
      <c r="AI61" s="1485"/>
      <c r="AJ61" s="508"/>
    </row>
    <row r="62" spans="1:52" ht="12.75" thickBot="1">
      <c r="Q62" s="507"/>
    </row>
    <row r="63" spans="1:52" s="486" customFormat="1" ht="69.75" customHeight="1" thickBot="1">
      <c r="B63" s="499"/>
      <c r="C63" s="499"/>
      <c r="D63" s="499"/>
      <c r="E63" s="499"/>
      <c r="F63" s="499"/>
      <c r="G63" s="499"/>
      <c r="H63" s="499"/>
      <c r="I63" s="499"/>
      <c r="J63" s="499"/>
      <c r="K63" s="499"/>
      <c r="L63" s="499"/>
      <c r="M63" s="499"/>
      <c r="N63" s="499"/>
      <c r="O63" s="499"/>
      <c r="P63" s="499"/>
      <c r="Q63" s="499"/>
      <c r="R63" s="499"/>
      <c r="S63" s="499"/>
      <c r="T63" s="1486" t="s">
        <v>678</v>
      </c>
      <c r="U63" s="1487"/>
      <c r="V63" s="1487"/>
      <c r="W63" s="1487"/>
      <c r="X63" s="1488"/>
      <c r="Y63" s="506" t="e">
        <f>(V61+W61+Y61)/(U61+Y61)</f>
        <v>#DIV/0!</v>
      </c>
      <c r="Z63" s="505" t="str">
        <f>IFERROR(IF(Y63&gt;=1/2,"○","×"),"")</f>
        <v/>
      </c>
      <c r="AA63" s="499"/>
      <c r="AB63" s="499"/>
      <c r="AC63" s="1486" t="s">
        <v>677</v>
      </c>
      <c r="AD63" s="1487"/>
      <c r="AE63" s="1488"/>
      <c r="AF63" s="504" t="str">
        <f>IFERROR(IF(AF61&gt;=R61,"○","×"),"")</f>
        <v>○</v>
      </c>
      <c r="AG63" s="499"/>
      <c r="AH63" s="499"/>
      <c r="AI63" s="503"/>
      <c r="AJ63" s="500"/>
      <c r="AK63" s="502"/>
      <c r="AL63" s="502"/>
      <c r="AM63" s="502"/>
      <c r="AN63" s="502"/>
      <c r="AO63" s="499"/>
    </row>
    <row r="64" spans="1:52" s="486" customFormat="1" ht="24" customHeight="1">
      <c r="B64" s="499"/>
      <c r="C64" s="499"/>
      <c r="D64" s="499"/>
      <c r="E64" s="499"/>
      <c r="F64" s="499"/>
      <c r="G64" s="499"/>
      <c r="H64" s="499"/>
      <c r="I64" s="499"/>
      <c r="J64" s="499"/>
      <c r="K64" s="501"/>
      <c r="L64" s="501"/>
      <c r="M64" s="501"/>
      <c r="N64" s="499"/>
      <c r="O64" s="499"/>
      <c r="P64" s="499"/>
      <c r="Q64" s="499"/>
      <c r="R64" s="499"/>
      <c r="S64" s="499"/>
      <c r="T64" s="499"/>
      <c r="U64" s="499"/>
      <c r="V64" s="499"/>
      <c r="W64" s="499"/>
      <c r="X64" s="499"/>
      <c r="Y64" s="499"/>
      <c r="Z64" s="499"/>
      <c r="AA64" s="499"/>
      <c r="AB64" s="499"/>
      <c r="AC64" s="499"/>
      <c r="AD64" s="500"/>
      <c r="AE64" s="500"/>
      <c r="AF64" s="499"/>
    </row>
    <row r="65" spans="1:44" s="489" customFormat="1" ht="19.5" customHeight="1">
      <c r="A65" s="1505" t="s">
        <v>676</v>
      </c>
      <c r="B65" s="1505"/>
      <c r="C65" s="1505"/>
      <c r="D65" s="1505"/>
      <c r="E65" s="1505"/>
      <c r="F65" s="495"/>
      <c r="G65" s="495"/>
      <c r="H65" s="495"/>
      <c r="I65" s="495"/>
      <c r="J65" s="495"/>
      <c r="K65" s="495"/>
      <c r="L65" s="495"/>
      <c r="M65" s="495"/>
      <c r="N65" s="495"/>
      <c r="O65" s="495"/>
      <c r="P65" s="495"/>
      <c r="Q65" s="499"/>
      <c r="R65" s="495"/>
      <c r="S65" s="495"/>
      <c r="T65" s="495"/>
      <c r="U65" s="495"/>
      <c r="V65" s="495"/>
      <c r="W65" s="495"/>
      <c r="X65" s="495"/>
      <c r="Y65" s="495"/>
      <c r="Z65" s="495"/>
      <c r="AA65" s="495"/>
      <c r="AB65" s="495"/>
      <c r="AC65" s="495"/>
      <c r="AD65" s="495"/>
      <c r="AE65" s="495"/>
      <c r="AF65" s="495"/>
      <c r="AG65" s="495"/>
      <c r="AH65" s="495"/>
      <c r="AI65" s="495"/>
      <c r="AJ65" s="495"/>
      <c r="AK65" s="495"/>
      <c r="AL65" s="495"/>
      <c r="AM65" s="495"/>
      <c r="AN65" s="495"/>
      <c r="AO65" s="494"/>
      <c r="AP65" s="494"/>
      <c r="AQ65" s="494"/>
      <c r="AR65" s="493"/>
    </row>
    <row r="66" spans="1:44" s="489" customFormat="1" ht="19.899999999999999" customHeight="1">
      <c r="A66" s="1505" t="s">
        <v>675</v>
      </c>
      <c r="B66" s="1505"/>
      <c r="C66" s="1505"/>
      <c r="D66" s="1505"/>
      <c r="E66" s="1505"/>
      <c r="F66" s="1505"/>
      <c r="G66" s="1505"/>
      <c r="H66" s="1505"/>
      <c r="I66" s="1505"/>
      <c r="J66" s="1505"/>
      <c r="K66" s="1505"/>
      <c r="L66" s="1505"/>
      <c r="M66" s="1505"/>
      <c r="N66" s="1505"/>
      <c r="O66" s="1505"/>
      <c r="P66" s="1505"/>
      <c r="Q66" s="1505"/>
      <c r="R66" s="1505"/>
      <c r="S66" s="1505"/>
      <c r="T66" s="1505"/>
      <c r="U66" s="1505"/>
      <c r="V66" s="1505"/>
      <c r="W66" s="1505"/>
      <c r="X66" s="1505"/>
      <c r="Y66" s="1505"/>
      <c r="Z66" s="1505"/>
      <c r="AA66" s="1505"/>
      <c r="AB66" s="850"/>
      <c r="AC66" s="497"/>
      <c r="AD66" s="497"/>
      <c r="AE66" s="497"/>
      <c r="AF66" s="498"/>
      <c r="AG66" s="498"/>
      <c r="AH66" s="498"/>
      <c r="AI66" s="498"/>
      <c r="AJ66" s="497"/>
      <c r="AK66" s="498"/>
      <c r="AL66" s="498"/>
      <c r="AM66" s="498"/>
      <c r="AN66" s="498"/>
      <c r="AO66" s="494"/>
      <c r="AP66" s="494"/>
      <c r="AQ66" s="494"/>
      <c r="AR66" s="493"/>
    </row>
    <row r="67" spans="1:44" s="489" customFormat="1" ht="19.899999999999999" customHeight="1">
      <c r="A67" s="1505" t="s">
        <v>674</v>
      </c>
      <c r="B67" s="1505"/>
      <c r="C67" s="1505"/>
      <c r="D67" s="1505"/>
      <c r="E67" s="1505"/>
      <c r="F67" s="1505"/>
      <c r="G67" s="1505"/>
      <c r="H67" s="1505"/>
      <c r="I67" s="1505"/>
      <c r="J67" s="1505"/>
      <c r="K67" s="1505"/>
      <c r="L67" s="1505"/>
      <c r="M67" s="1505"/>
      <c r="N67" s="1505"/>
      <c r="O67" s="1505"/>
      <c r="P67" s="1505"/>
      <c r="Q67" s="1505"/>
      <c r="R67" s="1505"/>
      <c r="S67" s="1505"/>
      <c r="T67" s="1505"/>
      <c r="U67" s="1505"/>
      <c r="V67" s="1505"/>
      <c r="W67" s="1505"/>
      <c r="X67" s="1505"/>
      <c r="Y67" s="1505"/>
      <c r="Z67" s="1505"/>
      <c r="AA67" s="1505"/>
      <c r="AB67" s="850"/>
      <c r="AC67" s="497"/>
      <c r="AD67" s="497"/>
      <c r="AE67" s="497"/>
      <c r="AF67" s="495"/>
      <c r="AG67" s="495"/>
      <c r="AH67" s="495"/>
      <c r="AI67" s="495"/>
      <c r="AJ67" s="497"/>
      <c r="AK67" s="495"/>
      <c r="AL67" s="495"/>
      <c r="AM67" s="495"/>
      <c r="AN67" s="495"/>
      <c r="AO67" s="494"/>
      <c r="AP67" s="494"/>
      <c r="AQ67" s="494"/>
      <c r="AR67" s="493"/>
    </row>
    <row r="68" spans="1:44" s="489" customFormat="1" ht="19.899999999999999" customHeight="1">
      <c r="A68" s="490" t="s">
        <v>673</v>
      </c>
      <c r="B68" s="1506" t="s">
        <v>672</v>
      </c>
      <c r="C68" s="1506"/>
      <c r="D68" s="1506"/>
      <c r="E68" s="1506"/>
      <c r="F68" s="1506"/>
      <c r="G68" s="1506"/>
      <c r="H68" s="1506"/>
      <c r="I68" s="1506"/>
      <c r="J68" s="1506"/>
      <c r="K68" s="1506"/>
      <c r="L68" s="1506"/>
      <c r="M68" s="1506"/>
      <c r="N68" s="1506"/>
      <c r="O68" s="1506"/>
      <c r="P68" s="1506"/>
      <c r="Q68" s="1506"/>
      <c r="R68" s="1506"/>
      <c r="S68" s="1506"/>
      <c r="T68" s="1506"/>
      <c r="U68" s="1506"/>
      <c r="V68" s="1506"/>
      <c r="W68" s="1506"/>
      <c r="X68" s="1506"/>
      <c r="Y68" s="1506"/>
      <c r="Z68" s="1506"/>
      <c r="AA68" s="1506"/>
      <c r="AB68" s="851"/>
      <c r="AC68" s="496"/>
      <c r="AD68" s="496"/>
      <c r="AE68" s="496"/>
      <c r="AF68" s="495"/>
      <c r="AG68" s="495"/>
      <c r="AH68" s="495"/>
      <c r="AI68" s="495"/>
      <c r="AJ68" s="496"/>
      <c r="AK68" s="495"/>
      <c r="AL68" s="495"/>
      <c r="AM68" s="495"/>
      <c r="AN68" s="495"/>
      <c r="AO68" s="494"/>
      <c r="AP68" s="494"/>
      <c r="AQ68" s="494"/>
      <c r="AR68" s="493"/>
    </row>
    <row r="69" spans="1:44" s="491" customFormat="1" ht="19.899999999999999" customHeight="1">
      <c r="A69" s="490" t="s">
        <v>671</v>
      </c>
      <c r="B69" s="1503" t="s">
        <v>670</v>
      </c>
      <c r="C69" s="1503"/>
      <c r="D69" s="1503"/>
      <c r="E69" s="1503"/>
      <c r="F69" s="1503"/>
      <c r="G69" s="1503"/>
      <c r="H69" s="1503"/>
      <c r="I69" s="1503"/>
      <c r="J69" s="1503"/>
      <c r="K69" s="1503"/>
      <c r="L69" s="1503"/>
      <c r="M69" s="1503"/>
      <c r="N69" s="1503"/>
      <c r="O69" s="1503"/>
      <c r="P69" s="1503"/>
      <c r="Q69" s="1503"/>
      <c r="R69" s="1503"/>
      <c r="S69" s="1503"/>
      <c r="T69" s="1503"/>
      <c r="U69" s="1503"/>
      <c r="V69" s="1503"/>
      <c r="W69" s="1503"/>
      <c r="X69" s="1503"/>
      <c r="Y69" s="1503"/>
      <c r="Z69" s="1503"/>
      <c r="AA69" s="1503"/>
      <c r="AB69" s="848"/>
      <c r="AC69" s="492"/>
      <c r="AD69" s="492"/>
      <c r="AE69" s="492"/>
      <c r="AJ69" s="492"/>
    </row>
    <row r="70" spans="1:44" s="491" customFormat="1" ht="19.899999999999999" customHeight="1">
      <c r="A70" s="490"/>
      <c r="B70" s="1503" t="s">
        <v>669</v>
      </c>
      <c r="C70" s="1503"/>
      <c r="D70" s="1503"/>
      <c r="E70" s="1503"/>
      <c r="F70" s="1503"/>
      <c r="G70" s="1503"/>
      <c r="H70" s="1503"/>
      <c r="I70" s="1503"/>
      <c r="J70" s="1503"/>
      <c r="K70" s="1503"/>
      <c r="L70" s="1503"/>
      <c r="M70" s="1503"/>
      <c r="N70" s="1503"/>
      <c r="O70" s="1503"/>
      <c r="P70" s="1503"/>
      <c r="Q70" s="1503"/>
      <c r="R70" s="1503"/>
      <c r="S70" s="1503"/>
      <c r="T70" s="1503"/>
      <c r="U70" s="1503"/>
      <c r="V70" s="1503"/>
      <c r="W70" s="1503"/>
      <c r="X70" s="1503"/>
      <c r="Y70" s="1503"/>
      <c r="Z70" s="1503"/>
      <c r="AA70" s="1503"/>
      <c r="AB70" s="848"/>
      <c r="AC70" s="492"/>
      <c r="AD70" s="492"/>
      <c r="AE70" s="492"/>
      <c r="AJ70" s="492"/>
      <c r="AO70" s="492"/>
      <c r="AP70" s="492"/>
      <c r="AQ70" s="492"/>
      <c r="AR70" s="492"/>
    </row>
    <row r="71" spans="1:44" s="487" customFormat="1" ht="19.899999999999999" customHeight="1">
      <c r="A71" s="490" t="s">
        <v>668</v>
      </c>
      <c r="B71" s="1504" t="s">
        <v>667</v>
      </c>
      <c r="C71" s="1504"/>
      <c r="D71" s="1504"/>
      <c r="E71" s="1504"/>
      <c r="F71" s="1504"/>
      <c r="G71" s="1504"/>
      <c r="H71" s="1504"/>
      <c r="I71" s="1504"/>
      <c r="J71" s="1504"/>
      <c r="K71" s="1504"/>
      <c r="L71" s="1504"/>
      <c r="M71" s="1504"/>
      <c r="N71" s="1504"/>
      <c r="O71" s="1504"/>
      <c r="P71" s="1504"/>
      <c r="Q71" s="1504"/>
      <c r="R71" s="1504"/>
      <c r="S71" s="1504"/>
      <c r="T71" s="1504"/>
      <c r="U71" s="1504"/>
      <c r="V71" s="1504"/>
      <c r="W71" s="1504"/>
      <c r="X71" s="1504"/>
      <c r="Y71" s="1504"/>
      <c r="Z71" s="1504"/>
      <c r="AA71" s="1504"/>
      <c r="AB71" s="849"/>
      <c r="AC71" s="490"/>
      <c r="AD71" s="490"/>
      <c r="AE71" s="490"/>
      <c r="AJ71" s="490"/>
    </row>
    <row r="72" spans="1:44" s="489" customFormat="1" ht="19.899999999999999" customHeight="1">
      <c r="A72" s="490"/>
      <c r="B72" s="1504" t="s">
        <v>666</v>
      </c>
      <c r="C72" s="1504"/>
      <c r="D72" s="1504"/>
      <c r="E72" s="1504"/>
      <c r="F72" s="1504"/>
      <c r="G72" s="1504"/>
      <c r="H72" s="1504"/>
      <c r="I72" s="1504"/>
      <c r="J72" s="1504"/>
      <c r="K72" s="1504"/>
      <c r="L72" s="1504"/>
      <c r="M72" s="1504"/>
      <c r="N72" s="1504"/>
      <c r="O72" s="1504"/>
      <c r="P72" s="1504"/>
      <c r="Q72" s="1504"/>
      <c r="R72" s="1504"/>
      <c r="S72" s="1504"/>
      <c r="T72" s="1504"/>
      <c r="U72" s="1504"/>
      <c r="V72" s="1504"/>
      <c r="W72" s="1504"/>
      <c r="X72" s="1504"/>
      <c r="Y72" s="1504"/>
      <c r="Z72" s="1504"/>
      <c r="AA72" s="1504"/>
      <c r="AB72" s="849"/>
      <c r="AC72" s="490"/>
      <c r="AD72" s="490"/>
      <c r="AE72" s="490"/>
      <c r="AF72" s="487"/>
      <c r="AG72" s="487"/>
      <c r="AH72" s="487"/>
      <c r="AI72" s="487"/>
      <c r="AJ72" s="490"/>
      <c r="AK72" s="487"/>
      <c r="AL72" s="487"/>
      <c r="AM72" s="487"/>
      <c r="AN72" s="487"/>
      <c r="AO72" s="487"/>
      <c r="AP72" s="487"/>
      <c r="AQ72" s="487"/>
      <c r="AR72" s="487"/>
    </row>
    <row r="73" spans="1:44" s="489" customFormat="1" ht="19.899999999999999" customHeight="1">
      <c r="A73" s="488" t="s">
        <v>665</v>
      </c>
      <c r="B73" s="488"/>
      <c r="C73" s="487"/>
      <c r="D73" s="487"/>
      <c r="E73" s="487"/>
      <c r="F73" s="487"/>
      <c r="G73" s="487"/>
      <c r="H73" s="487"/>
      <c r="I73" s="487"/>
      <c r="J73" s="487"/>
      <c r="K73" s="487"/>
      <c r="L73" s="487"/>
      <c r="M73" s="487"/>
      <c r="N73" s="487"/>
      <c r="O73" s="487"/>
      <c r="P73" s="487"/>
      <c r="Q73" s="487"/>
      <c r="R73" s="487"/>
      <c r="S73" s="487"/>
      <c r="T73" s="487"/>
      <c r="U73" s="487"/>
      <c r="V73" s="487"/>
      <c r="W73" s="487"/>
      <c r="X73" s="487"/>
      <c r="Y73" s="487"/>
      <c r="Z73" s="487"/>
      <c r="AA73" s="487"/>
      <c r="AB73" s="487"/>
      <c r="AC73" s="487"/>
      <c r="AD73" s="487"/>
      <c r="AE73" s="487"/>
      <c r="AF73" s="487"/>
      <c r="AG73" s="487"/>
      <c r="AH73" s="487"/>
      <c r="AI73" s="487"/>
      <c r="AJ73" s="487"/>
      <c r="AK73" s="487"/>
      <c r="AL73" s="487"/>
      <c r="AM73" s="487"/>
      <c r="AN73" s="487"/>
      <c r="AO73" s="487"/>
      <c r="AP73" s="487"/>
      <c r="AQ73" s="487"/>
      <c r="AR73" s="487"/>
    </row>
    <row r="74" spans="1:44" s="486" customFormat="1" ht="19.899999999999999" customHeight="1">
      <c r="A74" s="488"/>
      <c r="B74" s="488"/>
      <c r="C74" s="485"/>
      <c r="D74" s="485"/>
      <c r="E74" s="485"/>
      <c r="F74" s="485"/>
      <c r="G74" s="485"/>
      <c r="H74" s="485"/>
      <c r="I74" s="485"/>
      <c r="J74" s="485"/>
      <c r="K74" s="485"/>
      <c r="L74" s="485"/>
      <c r="M74" s="485"/>
      <c r="N74" s="485"/>
      <c r="O74" s="485"/>
      <c r="P74" s="485"/>
      <c r="Q74" s="487"/>
      <c r="R74" s="485"/>
      <c r="S74" s="485"/>
      <c r="T74" s="485"/>
      <c r="U74" s="485"/>
      <c r="V74" s="485"/>
      <c r="W74" s="485"/>
      <c r="X74" s="485"/>
      <c r="Y74" s="485"/>
      <c r="Z74" s="485"/>
      <c r="AA74" s="485"/>
      <c r="AB74" s="485"/>
      <c r="AC74" s="485"/>
      <c r="AD74" s="485"/>
      <c r="AE74" s="485"/>
      <c r="AF74" s="485"/>
      <c r="AG74" s="485"/>
      <c r="AH74" s="485"/>
      <c r="AI74" s="485"/>
      <c r="AJ74" s="485"/>
      <c r="AK74" s="485"/>
      <c r="AL74" s="485"/>
      <c r="AM74" s="485"/>
      <c r="AN74" s="485"/>
      <c r="AO74" s="485"/>
      <c r="AP74" s="485"/>
      <c r="AQ74" s="485"/>
      <c r="AR74" s="485"/>
    </row>
    <row r="75" spans="1:44" ht="12" customHeight="1">
      <c r="B75" s="483"/>
      <c r="C75" s="483"/>
      <c r="D75" s="483"/>
      <c r="E75" s="483"/>
      <c r="F75" s="483"/>
      <c r="G75" s="483"/>
      <c r="H75" s="483"/>
      <c r="I75" s="483"/>
      <c r="J75" s="483"/>
      <c r="K75" s="483"/>
      <c r="L75" s="483"/>
      <c r="M75" s="483"/>
      <c r="N75" s="483"/>
      <c r="O75" s="483"/>
      <c r="P75" s="483"/>
      <c r="Q75" s="485"/>
      <c r="R75" s="483"/>
      <c r="S75" s="483"/>
      <c r="T75" s="483"/>
      <c r="U75" s="483"/>
      <c r="V75" s="483"/>
      <c r="W75" s="483"/>
      <c r="X75" s="483"/>
      <c r="Y75" s="483"/>
      <c r="Z75" s="483"/>
      <c r="AA75" s="483"/>
      <c r="AB75" s="483"/>
      <c r="AC75" s="483"/>
      <c r="AD75" s="483"/>
      <c r="AE75" s="483"/>
      <c r="AF75" s="483"/>
      <c r="AG75" s="483"/>
      <c r="AH75" s="483"/>
      <c r="AI75" s="483"/>
      <c r="AJ75" s="483"/>
      <c r="AK75" s="483"/>
      <c r="AL75" s="483"/>
      <c r="AM75" s="483"/>
      <c r="AN75" s="483"/>
      <c r="AO75" s="483"/>
      <c r="AP75" s="483"/>
      <c r="AQ75" s="483"/>
      <c r="AR75" s="483"/>
    </row>
    <row r="76" spans="1:44" ht="12" customHeight="1">
      <c r="B76" s="483"/>
      <c r="C76" s="483"/>
      <c r="D76" s="483"/>
      <c r="E76" s="483"/>
      <c r="F76" s="483"/>
      <c r="G76" s="483"/>
      <c r="H76" s="483"/>
      <c r="I76" s="483"/>
      <c r="J76" s="483"/>
      <c r="K76" s="483"/>
      <c r="L76" s="483"/>
      <c r="M76" s="483"/>
      <c r="N76" s="483"/>
      <c r="O76" s="483"/>
      <c r="P76" s="483"/>
      <c r="Q76" s="483"/>
      <c r="R76" s="483"/>
      <c r="S76" s="483"/>
      <c r="T76" s="483"/>
      <c r="U76" s="483"/>
      <c r="V76" s="483"/>
      <c r="W76" s="483"/>
      <c r="X76" s="483"/>
      <c r="Y76" s="483"/>
      <c r="Z76" s="483"/>
      <c r="AA76" s="483"/>
      <c r="AB76" s="483"/>
      <c r="AC76" s="483"/>
      <c r="AD76" s="483"/>
      <c r="AE76" s="483"/>
      <c r="AF76" s="483"/>
      <c r="AG76" s="483"/>
      <c r="AH76" s="483"/>
      <c r="AI76" s="483"/>
      <c r="AJ76" s="483"/>
      <c r="AK76" s="483"/>
      <c r="AL76" s="483"/>
      <c r="AM76" s="483"/>
      <c r="AN76" s="483"/>
      <c r="AO76" s="483"/>
      <c r="AP76" s="483"/>
      <c r="AQ76" s="483"/>
      <c r="AR76" s="483"/>
    </row>
    <row r="77" spans="1:44" ht="12" customHeight="1">
      <c r="B77" s="483"/>
      <c r="C77" s="483"/>
      <c r="D77" s="483"/>
      <c r="E77" s="483"/>
      <c r="F77" s="483"/>
      <c r="G77" s="483"/>
      <c r="H77" s="483"/>
      <c r="I77" s="483"/>
      <c r="J77" s="483"/>
      <c r="K77" s="483"/>
      <c r="L77" s="483"/>
      <c r="M77" s="483"/>
      <c r="N77" s="483"/>
      <c r="O77" s="483"/>
      <c r="P77" s="483"/>
      <c r="Q77" s="483"/>
      <c r="R77" s="483"/>
      <c r="S77" s="483"/>
      <c r="T77" s="483"/>
      <c r="U77" s="483"/>
      <c r="V77" s="483"/>
      <c r="W77" s="483"/>
      <c r="X77" s="483"/>
      <c r="Y77" s="483"/>
      <c r="Z77" s="483"/>
      <c r="AA77" s="483"/>
      <c r="AB77" s="483"/>
      <c r="AC77" s="483"/>
      <c r="AD77" s="483"/>
      <c r="AE77" s="483"/>
      <c r="AF77" s="483"/>
      <c r="AG77" s="483"/>
      <c r="AH77" s="483"/>
      <c r="AI77" s="483"/>
      <c r="AJ77" s="483"/>
      <c r="AK77" s="483"/>
      <c r="AL77" s="483"/>
      <c r="AM77" s="483"/>
      <c r="AN77" s="483"/>
      <c r="AO77" s="483"/>
      <c r="AP77" s="483"/>
      <c r="AQ77" s="483"/>
      <c r="AR77" s="483"/>
    </row>
    <row r="78" spans="1:44" ht="12" customHeight="1">
      <c r="B78" s="484"/>
      <c r="C78" s="483"/>
      <c r="D78" s="483"/>
      <c r="E78" s="483"/>
      <c r="F78" s="483"/>
      <c r="G78" s="483"/>
      <c r="H78" s="483"/>
      <c r="I78" s="483"/>
      <c r="J78" s="483"/>
      <c r="K78" s="483"/>
      <c r="L78" s="483"/>
      <c r="M78" s="483"/>
      <c r="N78" s="483"/>
      <c r="O78" s="483"/>
      <c r="P78" s="483"/>
      <c r="Q78" s="483"/>
      <c r="R78" s="483"/>
      <c r="S78" s="483"/>
      <c r="T78" s="483"/>
      <c r="U78" s="483"/>
      <c r="V78" s="483"/>
      <c r="W78" s="483"/>
      <c r="X78" s="483"/>
      <c r="Y78" s="483"/>
      <c r="Z78" s="483"/>
      <c r="AA78" s="483"/>
      <c r="AB78" s="483"/>
      <c r="AC78" s="483"/>
      <c r="AD78" s="483"/>
      <c r="AE78" s="483"/>
      <c r="AF78" s="483"/>
      <c r="AG78" s="483"/>
      <c r="AH78" s="483"/>
      <c r="AI78" s="483"/>
      <c r="AJ78" s="483"/>
      <c r="AK78" s="483"/>
      <c r="AL78" s="483"/>
      <c r="AM78" s="483"/>
      <c r="AN78" s="483"/>
      <c r="AO78" s="483"/>
      <c r="AP78" s="483"/>
      <c r="AQ78" s="483"/>
      <c r="AR78" s="483"/>
    </row>
    <row r="79" spans="1:44" ht="18.75">
      <c r="B79" s="480"/>
      <c r="C79" s="480"/>
      <c r="D79" s="480"/>
      <c r="E79" s="480"/>
      <c r="F79" s="480"/>
      <c r="G79" s="480"/>
      <c r="H79" s="480"/>
      <c r="I79" s="480"/>
      <c r="J79" s="480"/>
      <c r="K79" s="480"/>
      <c r="L79" s="480"/>
      <c r="M79" s="480"/>
      <c r="N79" s="480"/>
      <c r="O79" s="480"/>
      <c r="P79" s="480"/>
      <c r="Q79" s="483"/>
      <c r="R79" s="480"/>
      <c r="S79" s="480"/>
      <c r="T79" s="480"/>
      <c r="U79" s="482" t="s">
        <v>664</v>
      </c>
      <c r="V79" s="480"/>
      <c r="W79" s="480"/>
      <c r="X79" s="480"/>
      <c r="Y79" s="480"/>
      <c r="Z79" s="480"/>
      <c r="AA79" s="481"/>
      <c r="AB79" s="481"/>
      <c r="AC79" s="480"/>
      <c r="AD79" s="480"/>
      <c r="AE79" s="480"/>
      <c r="AF79" s="480"/>
      <c r="AG79" s="480"/>
      <c r="AH79" s="480"/>
      <c r="AI79" s="480"/>
      <c r="AJ79" s="480"/>
      <c r="AK79" s="480"/>
      <c r="AL79" s="480"/>
      <c r="AM79" s="480"/>
      <c r="AN79" s="480"/>
      <c r="AO79" s="480"/>
      <c r="AP79" s="480"/>
      <c r="AQ79" s="480"/>
      <c r="AR79" s="480"/>
    </row>
    <row r="80" spans="1:44" ht="25.5" customHeight="1">
      <c r="F80" s="476" t="s">
        <v>663</v>
      </c>
      <c r="Q80" s="480"/>
      <c r="U80" s="479" t="e">
        <f>様式4!$AZ$17/様式4!$AZ$18*$L$61</f>
        <v>#DIV/0!</v>
      </c>
      <c r="Z80" s="476" t="s">
        <v>662</v>
      </c>
      <c r="AA80" s="478"/>
      <c r="AB80" s="478"/>
    </row>
    <row r="81" spans="6:28">
      <c r="F81" s="476" t="s">
        <v>661</v>
      </c>
      <c r="Z81" s="476" t="s">
        <v>660</v>
      </c>
    </row>
    <row r="82" spans="6:28">
      <c r="F82" s="476" t="s">
        <v>659</v>
      </c>
      <c r="Z82" s="476" t="s">
        <v>658</v>
      </c>
    </row>
    <row r="83" spans="6:28">
      <c r="F83" s="476" t="s">
        <v>657</v>
      </c>
      <c r="Z83" s="476" t="s">
        <v>656</v>
      </c>
      <c r="AA83" s="478"/>
      <c r="AB83" s="478"/>
    </row>
    <row r="84" spans="6:28">
      <c r="F84" s="476" t="s">
        <v>655</v>
      </c>
      <c r="Z84" s="476" t="s">
        <v>654</v>
      </c>
    </row>
    <row r="85" spans="6:28">
      <c r="F85" s="476" t="s">
        <v>653</v>
      </c>
      <c r="Z85" s="476" t="s">
        <v>652</v>
      </c>
    </row>
    <row r="86" spans="6:28">
      <c r="F86" s="476" t="s">
        <v>651</v>
      </c>
    </row>
    <row r="87" spans="6:28">
      <c r="F87" s="476" t="s">
        <v>650</v>
      </c>
    </row>
    <row r="88" spans="6:28">
      <c r="F88" s="476" t="s">
        <v>649</v>
      </c>
    </row>
    <row r="89" spans="6:28">
      <c r="F89" s="476" t="s">
        <v>648</v>
      </c>
    </row>
    <row r="90" spans="6:28">
      <c r="F90" s="476" t="s">
        <v>647</v>
      </c>
    </row>
    <row r="91" spans="6:28">
      <c r="F91" s="476" t="s">
        <v>646</v>
      </c>
    </row>
    <row r="92" spans="6:28">
      <c r="F92" s="476" t="s">
        <v>645</v>
      </c>
    </row>
    <row r="93" spans="6:28">
      <c r="F93" s="476" t="s">
        <v>644</v>
      </c>
    </row>
    <row r="94" spans="6:28">
      <c r="F94" s="476" t="s">
        <v>643</v>
      </c>
      <c r="W94" s="477"/>
    </row>
    <row r="95" spans="6:28">
      <c r="F95" s="476" t="s">
        <v>642</v>
      </c>
    </row>
  </sheetData>
  <sheetProtection formatCells="0" insertColumns="0" insertRows="0" selectLockedCells="1"/>
  <mergeCells count="157">
    <mergeCell ref="AG1:AG3"/>
    <mergeCell ref="AH1:AI3"/>
    <mergeCell ref="A5:N5"/>
    <mergeCell ref="A6:A10"/>
    <mergeCell ref="B6:D10"/>
    <mergeCell ref="E6:E10"/>
    <mergeCell ref="F6:F10"/>
    <mergeCell ref="G6:G10"/>
    <mergeCell ref="H6:H10"/>
    <mergeCell ref="I6:I10"/>
    <mergeCell ref="AG6:AI10"/>
    <mergeCell ref="S7:S8"/>
    <mergeCell ref="V7:X7"/>
    <mergeCell ref="Z7:AA7"/>
    <mergeCell ref="K8:K10"/>
    <mergeCell ref="L8:L10"/>
    <mergeCell ref="AG20:AI20"/>
    <mergeCell ref="AG21:AI21"/>
    <mergeCell ref="J6:J10"/>
    <mergeCell ref="K6:S6"/>
    <mergeCell ref="T6:AF6"/>
    <mergeCell ref="Y8:AA8"/>
    <mergeCell ref="AG51:AI51"/>
    <mergeCell ref="AG36:AI36"/>
    <mergeCell ref="AG60:AI60"/>
    <mergeCell ref="AG54:AI54"/>
    <mergeCell ref="AG57:AI57"/>
    <mergeCell ref="AA9:AA10"/>
    <mergeCell ref="AG34:AI34"/>
    <mergeCell ref="AG14:AI14"/>
    <mergeCell ref="S11:S60"/>
    <mergeCell ref="AG40:AI40"/>
    <mergeCell ref="AG41:AI41"/>
    <mergeCell ref="T8:T10"/>
    <mergeCell ref="U8:X8"/>
    <mergeCell ref="AG37:AI37"/>
    <mergeCell ref="AG38:AI38"/>
    <mergeCell ref="AG39:AI39"/>
    <mergeCell ref="AG35:AI35"/>
    <mergeCell ref="AD11:AD60"/>
    <mergeCell ref="AF11:AF60"/>
    <mergeCell ref="AG11:AI11"/>
    <mergeCell ref="AG45:AI45"/>
    <mergeCell ref="AG52:AI52"/>
    <mergeCell ref="AB8:AB10"/>
    <mergeCell ref="AG32:AI32"/>
    <mergeCell ref="AG22:AI22"/>
    <mergeCell ref="AG12:AI12"/>
    <mergeCell ref="AG33:AI33"/>
    <mergeCell ref="AG25:AI25"/>
    <mergeCell ref="B53:D53"/>
    <mergeCell ref="AG53:AI53"/>
    <mergeCell ref="B49:D49"/>
    <mergeCell ref="AG49:AI49"/>
    <mergeCell ref="B50:D50"/>
    <mergeCell ref="AG50:AI50"/>
    <mergeCell ref="B51:D51"/>
    <mergeCell ref="B13:D13"/>
    <mergeCell ref="AG44:AI44"/>
    <mergeCell ref="AG13:AI13"/>
    <mergeCell ref="AG43:AI43"/>
    <mergeCell ref="B14:D14"/>
    <mergeCell ref="AG47:AI47"/>
    <mergeCell ref="B48:D48"/>
    <mergeCell ref="AG48:AI48"/>
    <mergeCell ref="AG42:AI42"/>
    <mergeCell ref="B46:D46"/>
    <mergeCell ref="AG46:AI46"/>
    <mergeCell ref="AG15:AI15"/>
    <mergeCell ref="AG16:AI16"/>
    <mergeCell ref="AG17:AI17"/>
    <mergeCell ref="AG18:AI18"/>
    <mergeCell ref="AG19:AI19"/>
    <mergeCell ref="B17:D17"/>
    <mergeCell ref="B18:D18"/>
    <mergeCell ref="B19:D19"/>
    <mergeCell ref="B26:D26"/>
    <mergeCell ref="B29:D29"/>
    <mergeCell ref="B21:D21"/>
    <mergeCell ref="B22:D22"/>
    <mergeCell ref="B27:D27"/>
    <mergeCell ref="B52:D52"/>
    <mergeCell ref="Q8:Q10"/>
    <mergeCell ref="B45:D45"/>
    <mergeCell ref="B44:D44"/>
    <mergeCell ref="B43:D43"/>
    <mergeCell ref="B15:D15"/>
    <mergeCell ref="B20:D20"/>
    <mergeCell ref="B25:D25"/>
    <mergeCell ref="B32:D32"/>
    <mergeCell ref="B28:D28"/>
    <mergeCell ref="B47:D47"/>
    <mergeCell ref="B34:D34"/>
    <mergeCell ref="B33:D33"/>
    <mergeCell ref="B37:D37"/>
    <mergeCell ref="B38:D38"/>
    <mergeCell ref="B39:D39"/>
    <mergeCell ref="P8:P10"/>
    <mergeCell ref="B69:AA69"/>
    <mergeCell ref="B70:AA70"/>
    <mergeCell ref="B71:AA71"/>
    <mergeCell ref="B72:AA72"/>
    <mergeCell ref="A65:E65"/>
    <mergeCell ref="A66:AA66"/>
    <mergeCell ref="A67:AA67"/>
    <mergeCell ref="B68:AA68"/>
    <mergeCell ref="B54:D54"/>
    <mergeCell ref="L11:L60"/>
    <mergeCell ref="AG61:AI61"/>
    <mergeCell ref="T63:X63"/>
    <mergeCell ref="AC63:AE63"/>
    <mergeCell ref="B58:D58"/>
    <mergeCell ref="AG58:AI58"/>
    <mergeCell ref="B59:D59"/>
    <mergeCell ref="AG59:AI59"/>
    <mergeCell ref="B60:D60"/>
    <mergeCell ref="AG55:AI55"/>
    <mergeCell ref="B56:D56"/>
    <mergeCell ref="AG56:AI56"/>
    <mergeCell ref="B57:D57"/>
    <mergeCell ref="B61:J61"/>
    <mergeCell ref="B55:D55"/>
    <mergeCell ref="M11:M60"/>
    <mergeCell ref="N11:N60"/>
    <mergeCell ref="R11:R60"/>
    <mergeCell ref="B36:D36"/>
    <mergeCell ref="B41:D41"/>
    <mergeCell ref="B42:D42"/>
    <mergeCell ref="B40:D40"/>
    <mergeCell ref="B35:D35"/>
    <mergeCell ref="B12:D12"/>
    <mergeCell ref="B16:D16"/>
    <mergeCell ref="B23:D23"/>
    <mergeCell ref="AG23:AI23"/>
    <mergeCell ref="B30:D30"/>
    <mergeCell ref="AG30:AI30"/>
    <mergeCell ref="B31:D31"/>
    <mergeCell ref="AG31:AI31"/>
    <mergeCell ref="AG27:AI27"/>
    <mergeCell ref="AG28:AI28"/>
    <mergeCell ref="B24:D24"/>
    <mergeCell ref="AG24:AI24"/>
    <mergeCell ref="AG26:AI26"/>
    <mergeCell ref="AG29:AI29"/>
    <mergeCell ref="B11:D11"/>
    <mergeCell ref="AC8:AC10"/>
    <mergeCell ref="AD8:AD10"/>
    <mergeCell ref="AE8:AE10"/>
    <mergeCell ref="AF8:AF10"/>
    <mergeCell ref="S9:S10"/>
    <mergeCell ref="U9:X9"/>
    <mergeCell ref="Y9:Y10"/>
    <mergeCell ref="Z9:Z10"/>
    <mergeCell ref="M8:M10"/>
    <mergeCell ref="N8:N10"/>
    <mergeCell ref="O8:O10"/>
    <mergeCell ref="R8:R10"/>
  </mergeCells>
  <phoneticPr fontId="4"/>
  <conditionalFormatting sqref="B11:F60 K11:K60 O11:P60 U12:U61 B61 K61:P61 R61:T61 V61:AD61">
    <cfRule type="containsBlanks" dxfId="7" priority="10">
      <formula>LEN(TRIM(B11))=0</formula>
    </cfRule>
  </conditionalFormatting>
  <conditionalFormatting sqref="L11:N11 L12:M60">
    <cfRule type="containsBlanks" dxfId="6" priority="4">
      <formula>LEN(TRIM(L11))=0</formula>
    </cfRule>
  </conditionalFormatting>
  <conditionalFormatting sqref="Q11:Q61">
    <cfRule type="containsBlanks" dxfId="5" priority="11">
      <formula>LEN(TRIM(Q11))=0</formula>
    </cfRule>
  </conditionalFormatting>
  <conditionalFormatting sqref="R11:X11">
    <cfRule type="containsBlanks" dxfId="4" priority="3">
      <formula>LEN(TRIM(R11))=0</formula>
    </cfRule>
  </conditionalFormatting>
  <conditionalFormatting sqref="Y11:AC60">
    <cfRule type="containsBlanks" dxfId="3" priority="12">
      <formula>LEN(TRIM(Y11))=0</formula>
    </cfRule>
  </conditionalFormatting>
  <conditionalFormatting sqref="AD11">
    <cfRule type="containsBlanks" dxfId="2" priority="2">
      <formula>LEN(TRIM(AD11))=0</formula>
    </cfRule>
  </conditionalFormatting>
  <conditionalFormatting sqref="AE11:AE61 AG11:AI61 T12:T60 V12:X60 AF61">
    <cfRule type="containsBlanks" dxfId="1" priority="13">
      <formula>LEN(TRIM(T11))=0</formula>
    </cfRule>
  </conditionalFormatting>
  <conditionalFormatting sqref="AF11">
    <cfRule type="containsBlanks" dxfId="0" priority="1">
      <formula>LEN(TRIM(AF11))=0</formula>
    </cfRule>
  </conditionalFormatting>
  <dataValidations count="9">
    <dataValidation type="list" allowBlank="1" showInputMessage="1" showErrorMessage="1" sqref="Z11:Z60" xr:uid="{1B849464-416D-4794-B742-D850194BCAA7}">
      <formula1>$Z$80:$Z$85</formula1>
    </dataValidation>
    <dataValidation type="list" allowBlank="1" showInputMessage="1" showErrorMessage="1" sqref="F11:F60" xr:uid="{F0742D7F-ED33-48F0-81DE-4E819227076E}">
      <formula1>$F$80:$F$95</formula1>
    </dataValidation>
    <dataValidation type="list" showErrorMessage="1" sqref="E11:E60" xr:uid="{1C6C80DE-6829-4858-814B-69A0A5DE357B}">
      <formula1>"○,×"</formula1>
    </dataValidation>
    <dataValidation type="list" allowBlank="1" showInputMessage="1" showErrorMessage="1" sqref="WVO983064:WVO983083 WLS65:WLS68 WBW65:WBW68 VSA65:VSA68 VIE65:VIE68 UYI65:UYI68 UOM65:UOM68 UEQ65:UEQ68 TUU65:TUU68 TKY65:TKY68 TBC65:TBC68 SRG65:SRG68 SHK65:SHK68 RXO65:RXO68 RNS65:RNS68 RDW65:RDW68 QUA65:QUA68 QKE65:QKE68 QAI65:QAI68 PQM65:PQM68 PGQ65:PGQ68 OWU65:OWU68 OMY65:OMY68 ODC65:ODC68 NTG65:NTG68 NJK65:NJK68 MZO65:MZO68 MPS65:MPS68 MFW65:MFW68 LWA65:LWA68 LME65:LME68 LCI65:LCI68 KSM65:KSM68 KIQ65:KIQ68 JYU65:JYU68 JOY65:JOY68 JFC65:JFC68 IVG65:IVG68 ILK65:ILK68 IBO65:IBO68 HRS65:HRS68 HHW65:HHW68 GYA65:GYA68 GOE65:GOE68 GEI65:GEI68 FUM65:FUM68 FKQ65:FKQ68 FAU65:FAU68 EQY65:EQY68 EHC65:EHC68 DXG65:DXG68 DNK65:DNK68 DDO65:DDO68 CTS65:CTS68 CJW65:CJW68 CAA65:CAA68 BQE65:BQE68 BGI65:BGI68 AWM65:AWM68 AMQ65:AMQ68 ACU65:ACU68 SY65:SY68 JC65:JC68 JC65560:JC65579 WLS983064:WLS983083 WBW983064:WBW983083 VSA983064:VSA983083 VIE983064:VIE983083 UYI983064:UYI983083 UOM983064:UOM983083 UEQ983064:UEQ983083 TUU983064:TUU983083 TKY983064:TKY983083 TBC983064:TBC983083 SRG983064:SRG983083 SHK983064:SHK983083 RXO983064:RXO983083 RNS983064:RNS983083 RDW983064:RDW983083 QUA983064:QUA983083 QKE983064:QKE983083 QAI983064:QAI983083 PQM983064:PQM983083 PGQ983064:PGQ983083 OWU983064:OWU983083 OMY983064:OMY983083 ODC983064:ODC983083 NTG983064:NTG983083 NJK983064:NJK983083 MZO983064:MZO983083 MPS983064:MPS983083 MFW983064:MFW983083 LWA983064:LWA983083 LME983064:LME983083 LCI983064:LCI983083 KSM983064:KSM983083 KIQ983064:KIQ983083 JYU983064:JYU983083 JOY983064:JOY983083 JFC983064:JFC983083 IVG983064:IVG983083 ILK983064:ILK983083 IBO983064:IBO983083 HRS983064:HRS983083 HHW983064:HHW983083 GYA983064:GYA983083 GOE983064:GOE983083 GEI983064:GEI983083 FUM983064:FUM983083 FKQ983064:FKQ983083 FAU983064:FAU983083 EQY983064:EQY983083 EHC983064:EHC983083 DXG983064:DXG983083 DNK983064:DNK983083 DDO983064:DDO983083 CTS983064:CTS983083 CJW983064:CJW983083 CAA983064:CAA983083 BQE983064:BQE983083 BGI983064:BGI983083 AWM983064:AWM983083 AMQ983064:AMQ983083 ACU983064:ACU983083 SY983064:SY983083 JC983064:JC983083 WVO917528:WVO917547 WLS917528:WLS917547 WBW917528:WBW917547 VSA917528:VSA917547 VIE917528:VIE917547 UYI917528:UYI917547 UOM917528:UOM917547 UEQ917528:UEQ917547 TUU917528:TUU917547 TKY917528:TKY917547 TBC917528:TBC917547 SRG917528:SRG917547 SHK917528:SHK917547 RXO917528:RXO917547 RNS917528:RNS917547 RDW917528:RDW917547 QUA917528:QUA917547 QKE917528:QKE917547 QAI917528:QAI917547 PQM917528:PQM917547 PGQ917528:PGQ917547 OWU917528:OWU917547 OMY917528:OMY917547 ODC917528:ODC917547 NTG917528:NTG917547 NJK917528:NJK917547 MZO917528:MZO917547 MPS917528:MPS917547 MFW917528:MFW917547 LWA917528:LWA917547 LME917528:LME917547 LCI917528:LCI917547 KSM917528:KSM917547 KIQ917528:KIQ917547 JYU917528:JYU917547 JOY917528:JOY917547 JFC917528:JFC917547 IVG917528:IVG917547 ILK917528:ILK917547 IBO917528:IBO917547 HRS917528:HRS917547 HHW917528:HHW917547 GYA917528:GYA917547 GOE917528:GOE917547 GEI917528:GEI917547 FUM917528:FUM917547 FKQ917528:FKQ917547 FAU917528:FAU917547 EQY917528:EQY917547 EHC917528:EHC917547 DXG917528:DXG917547 DNK917528:DNK917547 DDO917528:DDO917547 CTS917528:CTS917547 CJW917528:CJW917547 CAA917528:CAA917547 BQE917528:BQE917547 BGI917528:BGI917547 AWM917528:AWM917547 AMQ917528:AMQ917547 ACU917528:ACU917547 SY917528:SY917547 JC917528:JC917547 WVO851992:WVO852011 WLS851992:WLS852011 WBW851992:WBW852011 VSA851992:VSA852011 VIE851992:VIE852011 UYI851992:UYI852011 UOM851992:UOM852011 UEQ851992:UEQ852011 TUU851992:TUU852011 TKY851992:TKY852011 TBC851992:TBC852011 SRG851992:SRG852011 SHK851992:SHK852011 RXO851992:RXO852011 RNS851992:RNS852011 RDW851992:RDW852011 QUA851992:QUA852011 QKE851992:QKE852011 QAI851992:QAI852011 PQM851992:PQM852011 PGQ851992:PGQ852011 OWU851992:OWU852011 OMY851992:OMY852011 ODC851992:ODC852011 NTG851992:NTG852011 NJK851992:NJK852011 MZO851992:MZO852011 MPS851992:MPS852011 MFW851992:MFW852011 LWA851992:LWA852011 LME851992:LME852011 LCI851992:LCI852011 KSM851992:KSM852011 KIQ851992:KIQ852011 JYU851992:JYU852011 JOY851992:JOY852011 JFC851992:JFC852011 IVG851992:IVG852011 ILK851992:ILK852011 IBO851992:IBO852011 HRS851992:HRS852011 HHW851992:HHW852011 GYA851992:GYA852011 GOE851992:GOE852011 GEI851992:GEI852011 FUM851992:FUM852011 FKQ851992:FKQ852011 FAU851992:FAU852011 EQY851992:EQY852011 EHC851992:EHC852011 DXG851992:DXG852011 DNK851992:DNK852011 DDO851992:DDO852011 CTS851992:CTS852011 CJW851992:CJW852011 CAA851992:CAA852011 BQE851992:BQE852011 BGI851992:BGI852011 AWM851992:AWM852011 AMQ851992:AMQ852011 ACU851992:ACU852011 SY851992:SY852011 JC851992:JC852011 WVO786456:WVO786475 WLS786456:WLS786475 WBW786456:WBW786475 VSA786456:VSA786475 VIE786456:VIE786475 UYI786456:UYI786475 UOM786456:UOM786475 UEQ786456:UEQ786475 TUU786456:TUU786475 TKY786456:TKY786475 TBC786456:TBC786475 SRG786456:SRG786475 SHK786456:SHK786475 RXO786456:RXO786475 RNS786456:RNS786475 RDW786456:RDW786475 QUA786456:QUA786475 QKE786456:QKE786475 QAI786456:QAI786475 PQM786456:PQM786475 PGQ786456:PGQ786475 OWU786456:OWU786475 OMY786456:OMY786475 ODC786456:ODC786475 NTG786456:NTG786475 NJK786456:NJK786475 MZO786456:MZO786475 MPS786456:MPS786475 MFW786456:MFW786475 LWA786456:LWA786475 LME786456:LME786475 LCI786456:LCI786475 KSM786456:KSM786475 KIQ786456:KIQ786475 JYU786456:JYU786475 JOY786456:JOY786475 JFC786456:JFC786475 IVG786456:IVG786475 ILK786456:ILK786475 IBO786456:IBO786475 HRS786456:HRS786475 HHW786456:HHW786475 GYA786456:GYA786475 GOE786456:GOE786475 GEI786456:GEI786475 FUM786456:FUM786475 FKQ786456:FKQ786475 FAU786456:FAU786475 EQY786456:EQY786475 EHC786456:EHC786475 DXG786456:DXG786475 DNK786456:DNK786475 DDO786456:DDO786475 CTS786456:CTS786475 CJW786456:CJW786475 CAA786456:CAA786475 BQE786456:BQE786475 BGI786456:BGI786475 AWM786456:AWM786475 AMQ786456:AMQ786475 ACU786456:ACU786475 SY786456:SY786475 JC786456:JC786475 WVO720920:WVO720939 WLS720920:WLS720939 WBW720920:WBW720939 VSA720920:VSA720939 VIE720920:VIE720939 UYI720920:UYI720939 UOM720920:UOM720939 UEQ720920:UEQ720939 TUU720920:TUU720939 TKY720920:TKY720939 TBC720920:TBC720939 SRG720920:SRG720939 SHK720920:SHK720939 RXO720920:RXO720939 RNS720920:RNS720939 RDW720920:RDW720939 QUA720920:QUA720939 QKE720920:QKE720939 QAI720920:QAI720939 PQM720920:PQM720939 PGQ720920:PGQ720939 OWU720920:OWU720939 OMY720920:OMY720939 ODC720920:ODC720939 NTG720920:NTG720939 NJK720920:NJK720939 MZO720920:MZO720939 MPS720920:MPS720939 MFW720920:MFW720939 LWA720920:LWA720939 LME720920:LME720939 LCI720920:LCI720939 KSM720920:KSM720939 KIQ720920:KIQ720939 JYU720920:JYU720939 JOY720920:JOY720939 JFC720920:JFC720939 IVG720920:IVG720939 ILK720920:ILK720939 IBO720920:IBO720939 HRS720920:HRS720939 HHW720920:HHW720939 GYA720920:GYA720939 GOE720920:GOE720939 GEI720920:GEI720939 FUM720920:FUM720939 FKQ720920:FKQ720939 FAU720920:FAU720939 EQY720920:EQY720939 EHC720920:EHC720939 DXG720920:DXG720939 DNK720920:DNK720939 DDO720920:DDO720939 CTS720920:CTS720939 CJW720920:CJW720939 CAA720920:CAA720939 BQE720920:BQE720939 BGI720920:BGI720939 AWM720920:AWM720939 AMQ720920:AMQ720939 ACU720920:ACU720939 SY720920:SY720939 JC720920:JC720939 WVO655384:WVO655403 WLS655384:WLS655403 WBW655384:WBW655403 VSA655384:VSA655403 VIE655384:VIE655403 UYI655384:UYI655403 UOM655384:UOM655403 UEQ655384:UEQ655403 TUU655384:TUU655403 TKY655384:TKY655403 TBC655384:TBC655403 SRG655384:SRG655403 SHK655384:SHK655403 RXO655384:RXO655403 RNS655384:RNS655403 RDW655384:RDW655403 QUA655384:QUA655403 QKE655384:QKE655403 QAI655384:QAI655403 PQM655384:PQM655403 PGQ655384:PGQ655403 OWU655384:OWU655403 OMY655384:OMY655403 ODC655384:ODC655403 NTG655384:NTG655403 NJK655384:NJK655403 MZO655384:MZO655403 MPS655384:MPS655403 MFW655384:MFW655403 LWA655384:LWA655403 LME655384:LME655403 LCI655384:LCI655403 KSM655384:KSM655403 KIQ655384:KIQ655403 JYU655384:JYU655403 JOY655384:JOY655403 JFC655384:JFC655403 IVG655384:IVG655403 ILK655384:ILK655403 IBO655384:IBO655403 HRS655384:HRS655403 HHW655384:HHW655403 GYA655384:GYA655403 GOE655384:GOE655403 GEI655384:GEI655403 FUM655384:FUM655403 FKQ655384:FKQ655403 FAU655384:FAU655403 EQY655384:EQY655403 EHC655384:EHC655403 DXG655384:DXG655403 DNK655384:DNK655403 DDO655384:DDO655403 CTS655384:CTS655403 CJW655384:CJW655403 CAA655384:CAA655403 BQE655384:BQE655403 BGI655384:BGI655403 AWM655384:AWM655403 AMQ655384:AMQ655403 ACU655384:ACU655403 SY655384:SY655403 JC655384:JC655403 WVO589848:WVO589867 WLS589848:WLS589867 WBW589848:WBW589867 VSA589848:VSA589867 VIE589848:VIE589867 UYI589848:UYI589867 UOM589848:UOM589867 UEQ589848:UEQ589867 TUU589848:TUU589867 TKY589848:TKY589867 TBC589848:TBC589867 SRG589848:SRG589867 SHK589848:SHK589867 RXO589848:RXO589867 RNS589848:RNS589867 RDW589848:RDW589867 QUA589848:QUA589867 QKE589848:QKE589867 QAI589848:QAI589867 PQM589848:PQM589867 PGQ589848:PGQ589867 OWU589848:OWU589867 OMY589848:OMY589867 ODC589848:ODC589867 NTG589848:NTG589867 NJK589848:NJK589867 MZO589848:MZO589867 MPS589848:MPS589867 MFW589848:MFW589867 LWA589848:LWA589867 LME589848:LME589867 LCI589848:LCI589867 KSM589848:KSM589867 KIQ589848:KIQ589867 JYU589848:JYU589867 JOY589848:JOY589867 JFC589848:JFC589867 IVG589848:IVG589867 ILK589848:ILK589867 IBO589848:IBO589867 HRS589848:HRS589867 HHW589848:HHW589867 GYA589848:GYA589867 GOE589848:GOE589867 GEI589848:GEI589867 FUM589848:FUM589867 FKQ589848:FKQ589867 FAU589848:FAU589867 EQY589848:EQY589867 EHC589848:EHC589867 DXG589848:DXG589867 DNK589848:DNK589867 DDO589848:DDO589867 CTS589848:CTS589867 CJW589848:CJW589867 CAA589848:CAA589867 BQE589848:BQE589867 BGI589848:BGI589867 AWM589848:AWM589867 AMQ589848:AMQ589867 ACU589848:ACU589867 SY589848:SY589867 JC589848:JC589867 WVO524312:WVO524331 WLS524312:WLS524331 WBW524312:WBW524331 VSA524312:VSA524331 VIE524312:VIE524331 UYI524312:UYI524331 UOM524312:UOM524331 UEQ524312:UEQ524331 TUU524312:TUU524331 TKY524312:TKY524331 TBC524312:TBC524331 SRG524312:SRG524331 SHK524312:SHK524331 RXO524312:RXO524331 RNS524312:RNS524331 RDW524312:RDW524331 QUA524312:QUA524331 QKE524312:QKE524331 QAI524312:QAI524331 PQM524312:PQM524331 PGQ524312:PGQ524331 OWU524312:OWU524331 OMY524312:OMY524331 ODC524312:ODC524331 NTG524312:NTG524331 NJK524312:NJK524331 MZO524312:MZO524331 MPS524312:MPS524331 MFW524312:MFW524331 LWA524312:LWA524331 LME524312:LME524331 LCI524312:LCI524331 KSM524312:KSM524331 KIQ524312:KIQ524331 JYU524312:JYU524331 JOY524312:JOY524331 JFC524312:JFC524331 IVG524312:IVG524331 ILK524312:ILK524331 IBO524312:IBO524331 HRS524312:HRS524331 HHW524312:HHW524331 GYA524312:GYA524331 GOE524312:GOE524331 GEI524312:GEI524331 FUM524312:FUM524331 FKQ524312:FKQ524331 FAU524312:FAU524331 EQY524312:EQY524331 EHC524312:EHC524331 DXG524312:DXG524331 DNK524312:DNK524331 DDO524312:DDO524331 CTS524312:CTS524331 CJW524312:CJW524331 CAA524312:CAA524331 BQE524312:BQE524331 BGI524312:BGI524331 AWM524312:AWM524331 AMQ524312:AMQ524331 ACU524312:ACU524331 SY524312:SY524331 JC524312:JC524331 WVO458776:WVO458795 WLS458776:WLS458795 WBW458776:WBW458795 VSA458776:VSA458795 VIE458776:VIE458795 UYI458776:UYI458795 UOM458776:UOM458795 UEQ458776:UEQ458795 TUU458776:TUU458795 TKY458776:TKY458795 TBC458776:TBC458795 SRG458776:SRG458795 SHK458776:SHK458795 RXO458776:RXO458795 RNS458776:RNS458795 RDW458776:RDW458795 QUA458776:QUA458795 QKE458776:QKE458795 QAI458776:QAI458795 PQM458776:PQM458795 PGQ458776:PGQ458795 OWU458776:OWU458795 OMY458776:OMY458795 ODC458776:ODC458795 NTG458776:NTG458795 NJK458776:NJK458795 MZO458776:MZO458795 MPS458776:MPS458795 MFW458776:MFW458795 LWA458776:LWA458795 LME458776:LME458795 LCI458776:LCI458795 KSM458776:KSM458795 KIQ458776:KIQ458795 JYU458776:JYU458795 JOY458776:JOY458795 JFC458776:JFC458795 IVG458776:IVG458795 ILK458776:ILK458795 IBO458776:IBO458795 HRS458776:HRS458795 HHW458776:HHW458795 GYA458776:GYA458795 GOE458776:GOE458795 GEI458776:GEI458795 FUM458776:FUM458795 FKQ458776:FKQ458795 FAU458776:FAU458795 EQY458776:EQY458795 EHC458776:EHC458795 DXG458776:DXG458795 DNK458776:DNK458795 DDO458776:DDO458795 CTS458776:CTS458795 CJW458776:CJW458795 CAA458776:CAA458795 BQE458776:BQE458795 BGI458776:BGI458795 AWM458776:AWM458795 AMQ458776:AMQ458795 ACU458776:ACU458795 SY458776:SY458795 JC458776:JC458795 WVO393240:WVO393259 WLS393240:WLS393259 WBW393240:WBW393259 VSA393240:VSA393259 VIE393240:VIE393259 UYI393240:UYI393259 UOM393240:UOM393259 UEQ393240:UEQ393259 TUU393240:TUU393259 TKY393240:TKY393259 TBC393240:TBC393259 SRG393240:SRG393259 SHK393240:SHK393259 RXO393240:RXO393259 RNS393240:RNS393259 RDW393240:RDW393259 QUA393240:QUA393259 QKE393240:QKE393259 QAI393240:QAI393259 PQM393240:PQM393259 PGQ393240:PGQ393259 OWU393240:OWU393259 OMY393240:OMY393259 ODC393240:ODC393259 NTG393240:NTG393259 NJK393240:NJK393259 MZO393240:MZO393259 MPS393240:MPS393259 MFW393240:MFW393259 LWA393240:LWA393259 LME393240:LME393259 LCI393240:LCI393259 KSM393240:KSM393259 KIQ393240:KIQ393259 JYU393240:JYU393259 JOY393240:JOY393259 JFC393240:JFC393259 IVG393240:IVG393259 ILK393240:ILK393259 IBO393240:IBO393259 HRS393240:HRS393259 HHW393240:HHW393259 GYA393240:GYA393259 GOE393240:GOE393259 GEI393240:GEI393259 FUM393240:FUM393259 FKQ393240:FKQ393259 FAU393240:FAU393259 EQY393240:EQY393259 EHC393240:EHC393259 DXG393240:DXG393259 DNK393240:DNK393259 DDO393240:DDO393259 CTS393240:CTS393259 CJW393240:CJW393259 CAA393240:CAA393259 BQE393240:BQE393259 BGI393240:BGI393259 AWM393240:AWM393259 AMQ393240:AMQ393259 ACU393240:ACU393259 SY393240:SY393259 JC393240:JC393259 WVO327704:WVO327723 WLS327704:WLS327723 WBW327704:WBW327723 VSA327704:VSA327723 VIE327704:VIE327723 UYI327704:UYI327723 UOM327704:UOM327723 UEQ327704:UEQ327723 TUU327704:TUU327723 TKY327704:TKY327723 TBC327704:TBC327723 SRG327704:SRG327723 SHK327704:SHK327723 RXO327704:RXO327723 RNS327704:RNS327723 RDW327704:RDW327723 QUA327704:QUA327723 QKE327704:QKE327723 QAI327704:QAI327723 PQM327704:PQM327723 PGQ327704:PGQ327723 OWU327704:OWU327723 OMY327704:OMY327723 ODC327704:ODC327723 NTG327704:NTG327723 NJK327704:NJK327723 MZO327704:MZO327723 MPS327704:MPS327723 MFW327704:MFW327723 LWA327704:LWA327723 LME327704:LME327723 LCI327704:LCI327723 KSM327704:KSM327723 KIQ327704:KIQ327723 JYU327704:JYU327723 JOY327704:JOY327723 JFC327704:JFC327723 IVG327704:IVG327723 ILK327704:ILK327723 IBO327704:IBO327723 HRS327704:HRS327723 HHW327704:HHW327723 GYA327704:GYA327723 GOE327704:GOE327723 GEI327704:GEI327723 FUM327704:FUM327723 FKQ327704:FKQ327723 FAU327704:FAU327723 EQY327704:EQY327723 EHC327704:EHC327723 DXG327704:DXG327723 DNK327704:DNK327723 DDO327704:DDO327723 CTS327704:CTS327723 CJW327704:CJW327723 CAA327704:CAA327723 BQE327704:BQE327723 BGI327704:BGI327723 AWM327704:AWM327723 AMQ327704:AMQ327723 ACU327704:ACU327723 SY327704:SY327723 JC327704:JC327723 WVO262168:WVO262187 WLS262168:WLS262187 WBW262168:WBW262187 VSA262168:VSA262187 VIE262168:VIE262187 UYI262168:UYI262187 UOM262168:UOM262187 UEQ262168:UEQ262187 TUU262168:TUU262187 TKY262168:TKY262187 TBC262168:TBC262187 SRG262168:SRG262187 SHK262168:SHK262187 RXO262168:RXO262187 RNS262168:RNS262187 RDW262168:RDW262187 QUA262168:QUA262187 QKE262168:QKE262187 QAI262168:QAI262187 PQM262168:PQM262187 PGQ262168:PGQ262187 OWU262168:OWU262187 OMY262168:OMY262187 ODC262168:ODC262187 NTG262168:NTG262187 NJK262168:NJK262187 MZO262168:MZO262187 MPS262168:MPS262187 MFW262168:MFW262187 LWA262168:LWA262187 LME262168:LME262187 LCI262168:LCI262187 KSM262168:KSM262187 KIQ262168:KIQ262187 JYU262168:JYU262187 JOY262168:JOY262187 JFC262168:JFC262187 IVG262168:IVG262187 ILK262168:ILK262187 IBO262168:IBO262187 HRS262168:HRS262187 HHW262168:HHW262187 GYA262168:GYA262187 GOE262168:GOE262187 GEI262168:GEI262187 FUM262168:FUM262187 FKQ262168:FKQ262187 FAU262168:FAU262187 EQY262168:EQY262187 EHC262168:EHC262187 DXG262168:DXG262187 DNK262168:DNK262187 DDO262168:DDO262187 CTS262168:CTS262187 CJW262168:CJW262187 CAA262168:CAA262187 BQE262168:BQE262187 BGI262168:BGI262187 AWM262168:AWM262187 AMQ262168:AMQ262187 ACU262168:ACU262187 SY262168:SY262187 JC262168:JC262187 WVO196632:WVO196651 WLS196632:WLS196651 WBW196632:WBW196651 VSA196632:VSA196651 VIE196632:VIE196651 UYI196632:UYI196651 UOM196632:UOM196651 UEQ196632:UEQ196651 TUU196632:TUU196651 TKY196632:TKY196651 TBC196632:TBC196651 SRG196632:SRG196651 SHK196632:SHK196651 RXO196632:RXO196651 RNS196632:RNS196651 RDW196632:RDW196651 QUA196632:QUA196651 QKE196632:QKE196651 QAI196632:QAI196651 PQM196632:PQM196651 PGQ196632:PGQ196651 OWU196632:OWU196651 OMY196632:OMY196651 ODC196632:ODC196651 NTG196632:NTG196651 NJK196632:NJK196651 MZO196632:MZO196651 MPS196632:MPS196651 MFW196632:MFW196651 LWA196632:LWA196651 LME196632:LME196651 LCI196632:LCI196651 KSM196632:KSM196651 KIQ196632:KIQ196651 JYU196632:JYU196651 JOY196632:JOY196651 JFC196632:JFC196651 IVG196632:IVG196651 ILK196632:ILK196651 IBO196632:IBO196651 HRS196632:HRS196651 HHW196632:HHW196651 GYA196632:GYA196651 GOE196632:GOE196651 GEI196632:GEI196651 FUM196632:FUM196651 FKQ196632:FKQ196651 FAU196632:FAU196651 EQY196632:EQY196651 EHC196632:EHC196651 DXG196632:DXG196651 DNK196632:DNK196651 DDO196632:DDO196651 CTS196632:CTS196651 CJW196632:CJW196651 CAA196632:CAA196651 BQE196632:BQE196651 BGI196632:BGI196651 AWM196632:AWM196651 AMQ196632:AMQ196651 ACU196632:ACU196651 SY196632:SY196651 JC196632:JC196651 WVO131096:WVO131115 WLS131096:WLS131115 WBW131096:WBW131115 VSA131096:VSA131115 VIE131096:VIE131115 UYI131096:UYI131115 UOM131096:UOM131115 UEQ131096:UEQ131115 TUU131096:TUU131115 TKY131096:TKY131115 TBC131096:TBC131115 SRG131096:SRG131115 SHK131096:SHK131115 RXO131096:RXO131115 RNS131096:RNS131115 RDW131096:RDW131115 QUA131096:QUA131115 QKE131096:QKE131115 QAI131096:QAI131115 PQM131096:PQM131115 PGQ131096:PGQ131115 OWU131096:OWU131115 OMY131096:OMY131115 ODC131096:ODC131115 NTG131096:NTG131115 NJK131096:NJK131115 MZO131096:MZO131115 MPS131096:MPS131115 MFW131096:MFW131115 LWA131096:LWA131115 LME131096:LME131115 LCI131096:LCI131115 KSM131096:KSM131115 KIQ131096:KIQ131115 JYU131096:JYU131115 JOY131096:JOY131115 JFC131096:JFC131115 IVG131096:IVG131115 ILK131096:ILK131115 IBO131096:IBO131115 HRS131096:HRS131115 HHW131096:HHW131115 GYA131096:GYA131115 GOE131096:GOE131115 GEI131096:GEI131115 FUM131096:FUM131115 FKQ131096:FKQ131115 FAU131096:FAU131115 EQY131096:EQY131115 EHC131096:EHC131115 DXG131096:DXG131115 DNK131096:DNK131115 DDO131096:DDO131115 CTS131096:CTS131115 CJW131096:CJW131115 CAA131096:CAA131115 BQE131096:BQE131115 BGI131096:BGI131115 AWM131096:AWM131115 AMQ131096:AMQ131115 ACU131096:ACU131115 SY131096:SY131115 JC131096:JC131115 WVO65560:WVO65579 WLS65560:WLS65579 WBW65560:WBW65579 VSA65560:VSA65579 VIE65560:VIE65579 UYI65560:UYI65579 UOM65560:UOM65579 UEQ65560:UEQ65579 TUU65560:TUU65579 TKY65560:TKY65579 TBC65560:TBC65579 SRG65560:SRG65579 SHK65560:SHK65579 RXO65560:RXO65579 RNS65560:RNS65579 RDW65560:RDW65579 QUA65560:QUA65579 QKE65560:QKE65579 QAI65560:QAI65579 PQM65560:PQM65579 PGQ65560:PGQ65579 OWU65560:OWU65579 OMY65560:OMY65579 ODC65560:ODC65579 NTG65560:NTG65579 NJK65560:NJK65579 MZO65560:MZO65579 MPS65560:MPS65579 MFW65560:MFW65579 LWA65560:LWA65579 LME65560:LME65579 LCI65560:LCI65579 KSM65560:KSM65579 KIQ65560:KIQ65579 JYU65560:JYU65579 JOY65560:JOY65579 JFC65560:JFC65579 IVG65560:IVG65579 ILK65560:ILK65579 IBO65560:IBO65579 HRS65560:HRS65579 HHW65560:HHW65579 GYA65560:GYA65579 GOE65560:GOE65579 GEI65560:GEI65579 FUM65560:FUM65579 FKQ65560:FKQ65579 FAU65560:FAU65579 EQY65560:EQY65579 EHC65560:EHC65579 DXG65560:DXG65579 DNK65560:DNK65579 DDO65560:DDO65579 CTS65560:CTS65579 CJW65560:CJW65579 CAA65560:CAA65579 BQE65560:BQE65579 BGI65560:BGI65579 AWM65560:AWM65579 AMQ65560:AMQ65579 ACU65560:ACU65579 SY65560:SY65579 WVO65:WVO68 IU11:IU61 WVG11:WVG61 WLK11:WLK61 WBO11:WBO61 VRS11:VRS61 VHW11:VHW61 UYA11:UYA61 UOE11:UOE61 UEI11:UEI61 TUM11:TUM61 TKQ11:TKQ61 TAU11:TAU61 SQY11:SQY61 SHC11:SHC61 RXG11:RXG61 RNK11:RNK61 RDO11:RDO61 QTS11:QTS61 QJW11:QJW61 QAA11:QAA61 PQE11:PQE61 PGI11:PGI61 OWM11:OWM61 OMQ11:OMQ61 OCU11:OCU61 NSY11:NSY61 NJC11:NJC61 MZG11:MZG61 MPK11:MPK61 MFO11:MFO61 LVS11:LVS61 LLW11:LLW61 LCA11:LCA61 KSE11:KSE61 KII11:KII61 JYM11:JYM61 JOQ11:JOQ61 JEU11:JEU61 IUY11:IUY61 ILC11:ILC61 IBG11:IBG61 HRK11:HRK61 HHO11:HHO61 GXS11:GXS61 GNW11:GNW61 GEA11:GEA61 FUE11:FUE61 FKI11:FKI61 FAM11:FAM61 EQQ11:EQQ61 EGU11:EGU61 DWY11:DWY61 DNC11:DNC61 DDG11:DDG61 CTK11:CTK61 CJO11:CJO61 BZS11:BZS61 BPW11:BPW61 BGA11:BGA61 AWE11:AWE61 AMI11:AMI61 ACM11:ACM61 SQ11:SQ61" xr:uid="{28D1620A-1E52-4C30-8237-D3009C984A08}">
      <formula1>$B$77:$B$78</formula1>
    </dataValidation>
    <dataValidation type="list" showInputMessage="1" showErrorMessage="1" prompt="空白にする時は、「Delete」キーを押してください。" sqref="WVM983064:WVM983083 JA65560:JA65579 SW65560:SW65579 ACS65560:ACS65579 AMO65560:AMO65579 AWK65560:AWK65579 BGG65560:BGG65579 BQC65560:BQC65579 BZY65560:BZY65579 CJU65560:CJU65579 CTQ65560:CTQ65579 DDM65560:DDM65579 DNI65560:DNI65579 DXE65560:DXE65579 EHA65560:EHA65579 EQW65560:EQW65579 FAS65560:FAS65579 FKO65560:FKO65579 FUK65560:FUK65579 GEG65560:GEG65579 GOC65560:GOC65579 GXY65560:GXY65579 HHU65560:HHU65579 HRQ65560:HRQ65579 IBM65560:IBM65579 ILI65560:ILI65579 IVE65560:IVE65579 JFA65560:JFA65579 JOW65560:JOW65579 JYS65560:JYS65579 KIO65560:KIO65579 KSK65560:KSK65579 LCG65560:LCG65579 LMC65560:LMC65579 LVY65560:LVY65579 MFU65560:MFU65579 MPQ65560:MPQ65579 MZM65560:MZM65579 NJI65560:NJI65579 NTE65560:NTE65579 ODA65560:ODA65579 OMW65560:OMW65579 OWS65560:OWS65579 PGO65560:PGO65579 PQK65560:PQK65579 QAG65560:QAG65579 QKC65560:QKC65579 QTY65560:QTY65579 RDU65560:RDU65579 RNQ65560:RNQ65579 RXM65560:RXM65579 SHI65560:SHI65579 SRE65560:SRE65579 TBA65560:TBA65579 TKW65560:TKW65579 TUS65560:TUS65579 UEO65560:UEO65579 UOK65560:UOK65579 UYG65560:UYG65579 VIC65560:VIC65579 VRY65560:VRY65579 WBU65560:WBU65579 WLQ65560:WLQ65579 WVM65560:WVM65579 JA131096:JA131115 SW131096:SW131115 ACS131096:ACS131115 AMO131096:AMO131115 AWK131096:AWK131115 BGG131096:BGG131115 BQC131096:BQC131115 BZY131096:BZY131115 CJU131096:CJU131115 CTQ131096:CTQ131115 DDM131096:DDM131115 DNI131096:DNI131115 DXE131096:DXE131115 EHA131096:EHA131115 EQW131096:EQW131115 FAS131096:FAS131115 FKO131096:FKO131115 FUK131096:FUK131115 GEG131096:GEG131115 GOC131096:GOC131115 GXY131096:GXY131115 HHU131096:HHU131115 HRQ131096:HRQ131115 IBM131096:IBM131115 ILI131096:ILI131115 IVE131096:IVE131115 JFA131096:JFA131115 JOW131096:JOW131115 JYS131096:JYS131115 KIO131096:KIO131115 KSK131096:KSK131115 LCG131096:LCG131115 LMC131096:LMC131115 LVY131096:LVY131115 MFU131096:MFU131115 MPQ131096:MPQ131115 MZM131096:MZM131115 NJI131096:NJI131115 NTE131096:NTE131115 ODA131096:ODA131115 OMW131096:OMW131115 OWS131096:OWS131115 PGO131096:PGO131115 PQK131096:PQK131115 QAG131096:QAG131115 QKC131096:QKC131115 QTY131096:QTY131115 RDU131096:RDU131115 RNQ131096:RNQ131115 RXM131096:RXM131115 SHI131096:SHI131115 SRE131096:SRE131115 TBA131096:TBA131115 TKW131096:TKW131115 TUS131096:TUS131115 UEO131096:UEO131115 UOK131096:UOK131115 UYG131096:UYG131115 VIC131096:VIC131115 VRY131096:VRY131115 WBU131096:WBU131115 WLQ131096:WLQ131115 WVM131096:WVM131115 JA196632:JA196651 SW196632:SW196651 ACS196632:ACS196651 AMO196632:AMO196651 AWK196632:AWK196651 BGG196632:BGG196651 BQC196632:BQC196651 BZY196632:BZY196651 CJU196632:CJU196651 CTQ196632:CTQ196651 DDM196632:DDM196651 DNI196632:DNI196651 DXE196632:DXE196651 EHA196632:EHA196651 EQW196632:EQW196651 FAS196632:FAS196651 FKO196632:FKO196651 FUK196632:FUK196651 GEG196632:GEG196651 GOC196632:GOC196651 GXY196632:GXY196651 HHU196632:HHU196651 HRQ196632:HRQ196651 IBM196632:IBM196651 ILI196632:ILI196651 IVE196632:IVE196651 JFA196632:JFA196651 JOW196632:JOW196651 JYS196632:JYS196651 KIO196632:KIO196651 KSK196632:KSK196651 LCG196632:LCG196651 LMC196632:LMC196651 LVY196632:LVY196651 MFU196632:MFU196651 MPQ196632:MPQ196651 MZM196632:MZM196651 NJI196632:NJI196651 NTE196632:NTE196651 ODA196632:ODA196651 OMW196632:OMW196651 OWS196632:OWS196651 PGO196632:PGO196651 PQK196632:PQK196651 QAG196632:QAG196651 QKC196632:QKC196651 QTY196632:QTY196651 RDU196632:RDU196651 RNQ196632:RNQ196651 RXM196632:RXM196651 SHI196632:SHI196651 SRE196632:SRE196651 TBA196632:TBA196651 TKW196632:TKW196651 TUS196632:TUS196651 UEO196632:UEO196651 UOK196632:UOK196651 UYG196632:UYG196651 VIC196632:VIC196651 VRY196632:VRY196651 WBU196632:WBU196651 WLQ196632:WLQ196651 WVM196632:WVM196651 JA262168:JA262187 SW262168:SW262187 ACS262168:ACS262187 AMO262168:AMO262187 AWK262168:AWK262187 BGG262168:BGG262187 BQC262168:BQC262187 BZY262168:BZY262187 CJU262168:CJU262187 CTQ262168:CTQ262187 DDM262168:DDM262187 DNI262168:DNI262187 DXE262168:DXE262187 EHA262168:EHA262187 EQW262168:EQW262187 FAS262168:FAS262187 FKO262168:FKO262187 FUK262168:FUK262187 GEG262168:GEG262187 GOC262168:GOC262187 GXY262168:GXY262187 HHU262168:HHU262187 HRQ262168:HRQ262187 IBM262168:IBM262187 ILI262168:ILI262187 IVE262168:IVE262187 JFA262168:JFA262187 JOW262168:JOW262187 JYS262168:JYS262187 KIO262168:KIO262187 KSK262168:KSK262187 LCG262168:LCG262187 LMC262168:LMC262187 LVY262168:LVY262187 MFU262168:MFU262187 MPQ262168:MPQ262187 MZM262168:MZM262187 NJI262168:NJI262187 NTE262168:NTE262187 ODA262168:ODA262187 OMW262168:OMW262187 OWS262168:OWS262187 PGO262168:PGO262187 PQK262168:PQK262187 QAG262168:QAG262187 QKC262168:QKC262187 QTY262168:QTY262187 RDU262168:RDU262187 RNQ262168:RNQ262187 RXM262168:RXM262187 SHI262168:SHI262187 SRE262168:SRE262187 TBA262168:TBA262187 TKW262168:TKW262187 TUS262168:TUS262187 UEO262168:UEO262187 UOK262168:UOK262187 UYG262168:UYG262187 VIC262168:VIC262187 VRY262168:VRY262187 WBU262168:WBU262187 WLQ262168:WLQ262187 WVM262168:WVM262187 JA327704:JA327723 SW327704:SW327723 ACS327704:ACS327723 AMO327704:AMO327723 AWK327704:AWK327723 BGG327704:BGG327723 BQC327704:BQC327723 BZY327704:BZY327723 CJU327704:CJU327723 CTQ327704:CTQ327723 DDM327704:DDM327723 DNI327704:DNI327723 DXE327704:DXE327723 EHA327704:EHA327723 EQW327704:EQW327723 FAS327704:FAS327723 FKO327704:FKO327723 FUK327704:FUK327723 GEG327704:GEG327723 GOC327704:GOC327723 GXY327704:GXY327723 HHU327704:HHU327723 HRQ327704:HRQ327723 IBM327704:IBM327723 ILI327704:ILI327723 IVE327704:IVE327723 JFA327704:JFA327723 JOW327704:JOW327723 JYS327704:JYS327723 KIO327704:KIO327723 KSK327704:KSK327723 LCG327704:LCG327723 LMC327704:LMC327723 LVY327704:LVY327723 MFU327704:MFU327723 MPQ327704:MPQ327723 MZM327704:MZM327723 NJI327704:NJI327723 NTE327704:NTE327723 ODA327704:ODA327723 OMW327704:OMW327723 OWS327704:OWS327723 PGO327704:PGO327723 PQK327704:PQK327723 QAG327704:QAG327723 QKC327704:QKC327723 QTY327704:QTY327723 RDU327704:RDU327723 RNQ327704:RNQ327723 RXM327704:RXM327723 SHI327704:SHI327723 SRE327704:SRE327723 TBA327704:TBA327723 TKW327704:TKW327723 TUS327704:TUS327723 UEO327704:UEO327723 UOK327704:UOK327723 UYG327704:UYG327723 VIC327704:VIC327723 VRY327704:VRY327723 WBU327704:WBU327723 WLQ327704:WLQ327723 WVM327704:WVM327723 JA393240:JA393259 SW393240:SW393259 ACS393240:ACS393259 AMO393240:AMO393259 AWK393240:AWK393259 BGG393240:BGG393259 BQC393240:BQC393259 BZY393240:BZY393259 CJU393240:CJU393259 CTQ393240:CTQ393259 DDM393240:DDM393259 DNI393240:DNI393259 DXE393240:DXE393259 EHA393240:EHA393259 EQW393240:EQW393259 FAS393240:FAS393259 FKO393240:FKO393259 FUK393240:FUK393259 GEG393240:GEG393259 GOC393240:GOC393259 GXY393240:GXY393259 HHU393240:HHU393259 HRQ393240:HRQ393259 IBM393240:IBM393259 ILI393240:ILI393259 IVE393240:IVE393259 JFA393240:JFA393259 JOW393240:JOW393259 JYS393240:JYS393259 KIO393240:KIO393259 KSK393240:KSK393259 LCG393240:LCG393259 LMC393240:LMC393259 LVY393240:LVY393259 MFU393240:MFU393259 MPQ393240:MPQ393259 MZM393240:MZM393259 NJI393240:NJI393259 NTE393240:NTE393259 ODA393240:ODA393259 OMW393240:OMW393259 OWS393240:OWS393259 PGO393240:PGO393259 PQK393240:PQK393259 QAG393240:QAG393259 QKC393240:QKC393259 QTY393240:QTY393259 RDU393240:RDU393259 RNQ393240:RNQ393259 RXM393240:RXM393259 SHI393240:SHI393259 SRE393240:SRE393259 TBA393240:TBA393259 TKW393240:TKW393259 TUS393240:TUS393259 UEO393240:UEO393259 UOK393240:UOK393259 UYG393240:UYG393259 VIC393240:VIC393259 VRY393240:VRY393259 WBU393240:WBU393259 WLQ393240:WLQ393259 WVM393240:WVM393259 JA458776:JA458795 SW458776:SW458795 ACS458776:ACS458795 AMO458776:AMO458795 AWK458776:AWK458795 BGG458776:BGG458795 BQC458776:BQC458795 BZY458776:BZY458795 CJU458776:CJU458795 CTQ458776:CTQ458795 DDM458776:DDM458795 DNI458776:DNI458795 DXE458776:DXE458795 EHA458776:EHA458795 EQW458776:EQW458795 FAS458776:FAS458795 FKO458776:FKO458795 FUK458776:FUK458795 GEG458776:GEG458795 GOC458776:GOC458795 GXY458776:GXY458795 HHU458776:HHU458795 HRQ458776:HRQ458795 IBM458776:IBM458795 ILI458776:ILI458795 IVE458776:IVE458795 JFA458776:JFA458795 JOW458776:JOW458795 JYS458776:JYS458795 KIO458776:KIO458795 KSK458776:KSK458795 LCG458776:LCG458795 LMC458776:LMC458795 LVY458776:LVY458795 MFU458776:MFU458795 MPQ458776:MPQ458795 MZM458776:MZM458795 NJI458776:NJI458795 NTE458776:NTE458795 ODA458776:ODA458795 OMW458776:OMW458795 OWS458776:OWS458795 PGO458776:PGO458795 PQK458776:PQK458795 QAG458776:QAG458795 QKC458776:QKC458795 QTY458776:QTY458795 RDU458776:RDU458795 RNQ458776:RNQ458795 RXM458776:RXM458795 SHI458776:SHI458795 SRE458776:SRE458795 TBA458776:TBA458795 TKW458776:TKW458795 TUS458776:TUS458795 UEO458776:UEO458795 UOK458776:UOK458795 UYG458776:UYG458795 VIC458776:VIC458795 VRY458776:VRY458795 WBU458776:WBU458795 WLQ458776:WLQ458795 WVM458776:WVM458795 JA524312:JA524331 SW524312:SW524331 ACS524312:ACS524331 AMO524312:AMO524331 AWK524312:AWK524331 BGG524312:BGG524331 BQC524312:BQC524331 BZY524312:BZY524331 CJU524312:CJU524331 CTQ524312:CTQ524331 DDM524312:DDM524331 DNI524312:DNI524331 DXE524312:DXE524331 EHA524312:EHA524331 EQW524312:EQW524331 FAS524312:FAS524331 FKO524312:FKO524331 FUK524312:FUK524331 GEG524312:GEG524331 GOC524312:GOC524331 GXY524312:GXY524331 HHU524312:HHU524331 HRQ524312:HRQ524331 IBM524312:IBM524331 ILI524312:ILI524331 IVE524312:IVE524331 JFA524312:JFA524331 JOW524312:JOW524331 JYS524312:JYS524331 KIO524312:KIO524331 KSK524312:KSK524331 LCG524312:LCG524331 LMC524312:LMC524331 LVY524312:LVY524331 MFU524312:MFU524331 MPQ524312:MPQ524331 MZM524312:MZM524331 NJI524312:NJI524331 NTE524312:NTE524331 ODA524312:ODA524331 OMW524312:OMW524331 OWS524312:OWS524331 PGO524312:PGO524331 PQK524312:PQK524331 QAG524312:QAG524331 QKC524312:QKC524331 QTY524312:QTY524331 RDU524312:RDU524331 RNQ524312:RNQ524331 RXM524312:RXM524331 SHI524312:SHI524331 SRE524312:SRE524331 TBA524312:TBA524331 TKW524312:TKW524331 TUS524312:TUS524331 UEO524312:UEO524331 UOK524312:UOK524331 UYG524312:UYG524331 VIC524312:VIC524331 VRY524312:VRY524331 WBU524312:WBU524331 WLQ524312:WLQ524331 WVM524312:WVM524331 JA589848:JA589867 SW589848:SW589867 ACS589848:ACS589867 AMO589848:AMO589867 AWK589848:AWK589867 BGG589848:BGG589867 BQC589848:BQC589867 BZY589848:BZY589867 CJU589848:CJU589867 CTQ589848:CTQ589867 DDM589848:DDM589867 DNI589848:DNI589867 DXE589848:DXE589867 EHA589848:EHA589867 EQW589848:EQW589867 FAS589848:FAS589867 FKO589848:FKO589867 FUK589848:FUK589867 GEG589848:GEG589867 GOC589848:GOC589867 GXY589848:GXY589867 HHU589848:HHU589867 HRQ589848:HRQ589867 IBM589848:IBM589867 ILI589848:ILI589867 IVE589848:IVE589867 JFA589848:JFA589867 JOW589848:JOW589867 JYS589848:JYS589867 KIO589848:KIO589867 KSK589848:KSK589867 LCG589848:LCG589867 LMC589848:LMC589867 LVY589848:LVY589867 MFU589848:MFU589867 MPQ589848:MPQ589867 MZM589848:MZM589867 NJI589848:NJI589867 NTE589848:NTE589867 ODA589848:ODA589867 OMW589848:OMW589867 OWS589848:OWS589867 PGO589848:PGO589867 PQK589848:PQK589867 QAG589848:QAG589867 QKC589848:QKC589867 QTY589848:QTY589867 RDU589848:RDU589867 RNQ589848:RNQ589867 RXM589848:RXM589867 SHI589848:SHI589867 SRE589848:SRE589867 TBA589848:TBA589867 TKW589848:TKW589867 TUS589848:TUS589867 UEO589848:UEO589867 UOK589848:UOK589867 UYG589848:UYG589867 VIC589848:VIC589867 VRY589848:VRY589867 WBU589848:WBU589867 WLQ589848:WLQ589867 WVM589848:WVM589867 JA655384:JA655403 SW655384:SW655403 ACS655384:ACS655403 AMO655384:AMO655403 AWK655384:AWK655403 BGG655384:BGG655403 BQC655384:BQC655403 BZY655384:BZY655403 CJU655384:CJU655403 CTQ655384:CTQ655403 DDM655384:DDM655403 DNI655384:DNI655403 DXE655384:DXE655403 EHA655384:EHA655403 EQW655384:EQW655403 FAS655384:FAS655403 FKO655384:FKO655403 FUK655384:FUK655403 GEG655384:GEG655403 GOC655384:GOC655403 GXY655384:GXY655403 HHU655384:HHU655403 HRQ655384:HRQ655403 IBM655384:IBM655403 ILI655384:ILI655403 IVE655384:IVE655403 JFA655384:JFA655403 JOW655384:JOW655403 JYS655384:JYS655403 KIO655384:KIO655403 KSK655384:KSK655403 LCG655384:LCG655403 LMC655384:LMC655403 LVY655384:LVY655403 MFU655384:MFU655403 MPQ655384:MPQ655403 MZM655384:MZM655403 NJI655384:NJI655403 NTE655384:NTE655403 ODA655384:ODA655403 OMW655384:OMW655403 OWS655384:OWS655403 PGO655384:PGO655403 PQK655384:PQK655403 QAG655384:QAG655403 QKC655384:QKC655403 QTY655384:QTY655403 RDU655384:RDU655403 RNQ655384:RNQ655403 RXM655384:RXM655403 SHI655384:SHI655403 SRE655384:SRE655403 TBA655384:TBA655403 TKW655384:TKW655403 TUS655384:TUS655403 UEO655384:UEO655403 UOK655384:UOK655403 UYG655384:UYG655403 VIC655384:VIC655403 VRY655384:VRY655403 WBU655384:WBU655403 WLQ655384:WLQ655403 WVM655384:WVM655403 JA720920:JA720939 SW720920:SW720939 ACS720920:ACS720939 AMO720920:AMO720939 AWK720920:AWK720939 BGG720920:BGG720939 BQC720920:BQC720939 BZY720920:BZY720939 CJU720920:CJU720939 CTQ720920:CTQ720939 DDM720920:DDM720939 DNI720920:DNI720939 DXE720920:DXE720939 EHA720920:EHA720939 EQW720920:EQW720939 FAS720920:FAS720939 FKO720920:FKO720939 FUK720920:FUK720939 GEG720920:GEG720939 GOC720920:GOC720939 GXY720920:GXY720939 HHU720920:HHU720939 HRQ720920:HRQ720939 IBM720920:IBM720939 ILI720920:ILI720939 IVE720920:IVE720939 JFA720920:JFA720939 JOW720920:JOW720939 JYS720920:JYS720939 KIO720920:KIO720939 KSK720920:KSK720939 LCG720920:LCG720939 LMC720920:LMC720939 LVY720920:LVY720939 MFU720920:MFU720939 MPQ720920:MPQ720939 MZM720920:MZM720939 NJI720920:NJI720939 NTE720920:NTE720939 ODA720920:ODA720939 OMW720920:OMW720939 OWS720920:OWS720939 PGO720920:PGO720939 PQK720920:PQK720939 QAG720920:QAG720939 QKC720920:QKC720939 QTY720920:QTY720939 RDU720920:RDU720939 RNQ720920:RNQ720939 RXM720920:RXM720939 SHI720920:SHI720939 SRE720920:SRE720939 TBA720920:TBA720939 TKW720920:TKW720939 TUS720920:TUS720939 UEO720920:UEO720939 UOK720920:UOK720939 UYG720920:UYG720939 VIC720920:VIC720939 VRY720920:VRY720939 WBU720920:WBU720939 WLQ720920:WLQ720939 WVM720920:WVM720939 JA786456:JA786475 SW786456:SW786475 ACS786456:ACS786475 AMO786456:AMO786475 AWK786456:AWK786475 BGG786456:BGG786475 BQC786456:BQC786475 BZY786456:BZY786475 CJU786456:CJU786475 CTQ786456:CTQ786475 DDM786456:DDM786475 DNI786456:DNI786475 DXE786456:DXE786475 EHA786456:EHA786475 EQW786456:EQW786475 FAS786456:FAS786475 FKO786456:FKO786475 FUK786456:FUK786475 GEG786456:GEG786475 GOC786456:GOC786475 GXY786456:GXY786475 HHU786456:HHU786475 HRQ786456:HRQ786475 IBM786456:IBM786475 ILI786456:ILI786475 IVE786456:IVE786475 JFA786456:JFA786475 JOW786456:JOW786475 JYS786456:JYS786475 KIO786456:KIO786475 KSK786456:KSK786475 LCG786456:LCG786475 LMC786456:LMC786475 LVY786456:LVY786475 MFU786456:MFU786475 MPQ786456:MPQ786475 MZM786456:MZM786475 NJI786456:NJI786475 NTE786456:NTE786475 ODA786456:ODA786475 OMW786456:OMW786475 OWS786456:OWS786475 PGO786456:PGO786475 PQK786456:PQK786475 QAG786456:QAG786475 QKC786456:QKC786475 QTY786456:QTY786475 RDU786456:RDU786475 RNQ786456:RNQ786475 RXM786456:RXM786475 SHI786456:SHI786475 SRE786456:SRE786475 TBA786456:TBA786475 TKW786456:TKW786475 TUS786456:TUS786475 UEO786456:UEO786475 UOK786456:UOK786475 UYG786456:UYG786475 VIC786456:VIC786475 VRY786456:VRY786475 WBU786456:WBU786475 WLQ786456:WLQ786475 WVM786456:WVM786475 JA851992:JA852011 SW851992:SW852011 ACS851992:ACS852011 AMO851992:AMO852011 AWK851992:AWK852011 BGG851992:BGG852011 BQC851992:BQC852011 BZY851992:BZY852011 CJU851992:CJU852011 CTQ851992:CTQ852011 DDM851992:DDM852011 DNI851992:DNI852011 DXE851992:DXE852011 EHA851992:EHA852011 EQW851992:EQW852011 FAS851992:FAS852011 FKO851992:FKO852011 FUK851992:FUK852011 GEG851992:GEG852011 GOC851992:GOC852011 GXY851992:GXY852011 HHU851992:HHU852011 HRQ851992:HRQ852011 IBM851992:IBM852011 ILI851992:ILI852011 IVE851992:IVE852011 JFA851992:JFA852011 JOW851992:JOW852011 JYS851992:JYS852011 KIO851992:KIO852011 KSK851992:KSK852011 LCG851992:LCG852011 LMC851992:LMC852011 LVY851992:LVY852011 MFU851992:MFU852011 MPQ851992:MPQ852011 MZM851992:MZM852011 NJI851992:NJI852011 NTE851992:NTE852011 ODA851992:ODA852011 OMW851992:OMW852011 OWS851992:OWS852011 PGO851992:PGO852011 PQK851992:PQK852011 QAG851992:QAG852011 QKC851992:QKC852011 QTY851992:QTY852011 RDU851992:RDU852011 RNQ851992:RNQ852011 RXM851992:RXM852011 SHI851992:SHI852011 SRE851992:SRE852011 TBA851992:TBA852011 TKW851992:TKW852011 TUS851992:TUS852011 UEO851992:UEO852011 UOK851992:UOK852011 UYG851992:UYG852011 VIC851992:VIC852011 VRY851992:VRY852011 WBU851992:WBU852011 WLQ851992:WLQ852011 WVM851992:WVM852011 JA917528:JA917547 SW917528:SW917547 ACS917528:ACS917547 AMO917528:AMO917547 AWK917528:AWK917547 BGG917528:BGG917547 BQC917528:BQC917547 BZY917528:BZY917547 CJU917528:CJU917547 CTQ917528:CTQ917547 DDM917528:DDM917547 DNI917528:DNI917547 DXE917528:DXE917547 EHA917528:EHA917547 EQW917528:EQW917547 FAS917528:FAS917547 FKO917528:FKO917547 FUK917528:FUK917547 GEG917528:GEG917547 GOC917528:GOC917547 GXY917528:GXY917547 HHU917528:HHU917547 HRQ917528:HRQ917547 IBM917528:IBM917547 ILI917528:ILI917547 IVE917528:IVE917547 JFA917528:JFA917547 JOW917528:JOW917547 JYS917528:JYS917547 KIO917528:KIO917547 KSK917528:KSK917547 LCG917528:LCG917547 LMC917528:LMC917547 LVY917528:LVY917547 MFU917528:MFU917547 MPQ917528:MPQ917547 MZM917528:MZM917547 NJI917528:NJI917547 NTE917528:NTE917547 ODA917528:ODA917547 OMW917528:OMW917547 OWS917528:OWS917547 PGO917528:PGO917547 PQK917528:PQK917547 QAG917528:QAG917547 QKC917528:QKC917547 QTY917528:QTY917547 RDU917528:RDU917547 RNQ917528:RNQ917547 RXM917528:RXM917547 SHI917528:SHI917547 SRE917528:SRE917547 TBA917528:TBA917547 TKW917528:TKW917547 TUS917528:TUS917547 UEO917528:UEO917547 UOK917528:UOK917547 UYG917528:UYG917547 VIC917528:VIC917547 VRY917528:VRY917547 WBU917528:WBU917547 WLQ917528:WLQ917547 WVM917528:WVM917547 JA983064:JA983083 SW983064:SW983083 ACS983064:ACS983083 AMO983064:AMO983083 AWK983064:AWK983083 BGG983064:BGG983083 BQC983064:BQC983083 BZY983064:BZY983083 CJU983064:CJU983083 CTQ983064:CTQ983083 DDM983064:DDM983083 DNI983064:DNI983083 DXE983064:DXE983083 EHA983064:EHA983083 EQW983064:EQW983083 FAS983064:FAS983083 FKO983064:FKO983083 FUK983064:FUK983083 GEG983064:GEG983083 GOC983064:GOC983083 GXY983064:GXY983083 HHU983064:HHU983083 HRQ983064:HRQ983083 IBM983064:IBM983083 ILI983064:ILI983083 IVE983064:IVE983083 JFA983064:JFA983083 JOW983064:JOW983083 JYS983064:JYS983083 KIO983064:KIO983083 KSK983064:KSK983083 LCG983064:LCG983083 LMC983064:LMC983083 LVY983064:LVY983083 MFU983064:MFU983083 MPQ983064:MPQ983083 MZM983064:MZM983083 NJI983064:NJI983083 NTE983064:NTE983083 ODA983064:ODA983083 OMW983064:OMW983083 OWS983064:OWS983083 PGO983064:PGO983083 PQK983064:PQK983083 QAG983064:QAG983083 QKC983064:QKC983083 QTY983064:QTY983083 RDU983064:RDU983083 RNQ983064:RNQ983083 RXM983064:RXM983083 SHI983064:SHI983083 SRE983064:SRE983083 TBA983064:TBA983083 TKW983064:TKW983083 TUS983064:TUS983083 UEO983064:UEO983083 UOK983064:UOK983083 UYG983064:UYG983083 VIC983064:VIC983083 VRY983064:VRY983083 WBU983064:WBU983083 WLQ983064:WLQ983083 SW65:SW68 ACS65:ACS68 AMO65:AMO68 AWK65:AWK68 BGG65:BGG68 BQC65:BQC68 BZY65:BZY68 CJU65:CJU68 CTQ65:CTQ68 DDM65:DDM68 DNI65:DNI68 DXE65:DXE68 EHA65:EHA68 EQW65:EQW68 FAS65:FAS68 FKO65:FKO68 FUK65:FUK68 GEG65:GEG68 GOC65:GOC68 GXY65:GXY68 HHU65:HHU68 HRQ65:HRQ68 IBM65:IBM68 ILI65:ILI68 IVE65:IVE68 JFA65:JFA68 JOW65:JOW68 JYS65:JYS68 KIO65:KIO68 KSK65:KSK68 LCG65:LCG68 LMC65:LMC68 LVY65:LVY68 MFU65:MFU68 MPQ65:MPQ68 MZM65:MZM68 NJI65:NJI68 NTE65:NTE68 ODA65:ODA68 OMW65:OMW68 OWS65:OWS68 PGO65:PGO68 PQK65:PQK68 QAG65:QAG68 QKC65:QKC68 QTY65:QTY68 RDU65:RDU68 RNQ65:RNQ68 RXM65:RXM68 SHI65:SHI68 SRE65:SRE68 TBA65:TBA68 TKW65:TKW68 TUS65:TUS68 UEO65:UEO68 UOK65:UOK68 UYG65:UYG68 VIC65:VIC68 VRY65:VRY68 WBU65:WBU68 WLQ65:WLQ68 WVM65:WVM68 JA65:JA68 WVE11:WVE61 IS11:IS61 SO11:SO61 ACK11:ACK61 AMG11:AMG61 AWC11:AWC61 BFY11:BFY61 BPU11:BPU61 BZQ11:BZQ61 CJM11:CJM61 CTI11:CTI61 DDE11:DDE61 DNA11:DNA61 DWW11:DWW61 EGS11:EGS61 EQO11:EQO61 FAK11:FAK61 FKG11:FKG61 FUC11:FUC61 GDY11:GDY61 GNU11:GNU61 GXQ11:GXQ61 HHM11:HHM61 HRI11:HRI61 IBE11:IBE61 ILA11:ILA61 IUW11:IUW61 JES11:JES61 JOO11:JOO61 JYK11:JYK61 KIG11:KIG61 KSC11:KSC61 LBY11:LBY61 LLU11:LLU61 LVQ11:LVQ61 MFM11:MFM61 MPI11:MPI61 MZE11:MZE61 NJA11:NJA61 NSW11:NSW61 OCS11:OCS61 OMO11:OMO61 OWK11:OWK61 PGG11:PGG61 PQC11:PQC61 PZY11:PZY61 QJU11:QJU61 QTQ11:QTQ61 RDM11:RDM61 RNI11:RNI61 RXE11:RXE61 SHA11:SHA61 SQW11:SQW61 TAS11:TAS61 TKO11:TKO61 TUK11:TUK61 UEG11:UEG61 UOC11:UOC61 UXY11:UXY61 VHU11:VHU61 VRQ11:VRQ61 WBM11:WBM61 WLI11:WLI61" xr:uid="{CEC1A6AA-6192-494F-BE2E-BDD02868F042}">
      <formula1>",×"</formula1>
    </dataValidation>
    <dataValidation type="list" allowBlank="1" showInputMessage="1" showErrorMessage="1" sqref="WVK983064:WVK983083 I65561:I65580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131097:I131116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196633:I196652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262169:I262188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327705:I327724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393241:I393260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458777:I458796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524313:I524332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589849:I589868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655385:I655404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720921:I720940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786457:I786476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851993:I852012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917529:I917548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983065:I983084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WLO65:WLO68 IY65:IY68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VK65:WVK68 WBK11:WBK61 WVC11:WVC61 WLG11:WLG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I11:I60" xr:uid="{E839B7A2-2233-45E3-8579-8A616D33C9D8}">
      <formula1>"常勤,非常勤"</formula1>
    </dataValidation>
    <dataValidation type="list" allowBlank="1" showInputMessage="1" showErrorMessage="1" sqref="WVL983064:WVL983083 J131097:J131116 IZ65560:IZ65579 SV65560:SV65579 ACR65560:ACR65579 AMN65560:AMN65579 AWJ65560:AWJ65579 BGF65560:BGF65579 BQB65560:BQB65579 BZX65560:BZX65579 CJT65560:CJT65579 CTP65560:CTP65579 DDL65560:DDL65579 DNH65560:DNH65579 DXD65560:DXD65579 EGZ65560:EGZ65579 EQV65560:EQV65579 FAR65560:FAR65579 FKN65560:FKN65579 FUJ65560:FUJ65579 GEF65560:GEF65579 GOB65560:GOB65579 GXX65560:GXX65579 HHT65560:HHT65579 HRP65560:HRP65579 IBL65560:IBL65579 ILH65560:ILH65579 IVD65560:IVD65579 JEZ65560:JEZ65579 JOV65560:JOV65579 JYR65560:JYR65579 KIN65560:KIN65579 KSJ65560:KSJ65579 LCF65560:LCF65579 LMB65560:LMB65579 LVX65560:LVX65579 MFT65560:MFT65579 MPP65560:MPP65579 MZL65560:MZL65579 NJH65560:NJH65579 NTD65560:NTD65579 OCZ65560:OCZ65579 OMV65560:OMV65579 OWR65560:OWR65579 PGN65560:PGN65579 PQJ65560:PQJ65579 QAF65560:QAF65579 QKB65560:QKB65579 QTX65560:QTX65579 RDT65560:RDT65579 RNP65560:RNP65579 RXL65560:RXL65579 SHH65560:SHH65579 SRD65560:SRD65579 TAZ65560:TAZ65579 TKV65560:TKV65579 TUR65560:TUR65579 UEN65560:UEN65579 UOJ65560:UOJ65579 UYF65560:UYF65579 VIB65560:VIB65579 VRX65560:VRX65579 WBT65560:WBT65579 WLP65560:WLP65579 WVL65560:WVL65579 J196633:J196652 IZ131096:IZ131115 SV131096:SV131115 ACR131096:ACR131115 AMN131096:AMN131115 AWJ131096:AWJ131115 BGF131096:BGF131115 BQB131096:BQB131115 BZX131096:BZX131115 CJT131096:CJT131115 CTP131096:CTP131115 DDL131096:DDL131115 DNH131096:DNH131115 DXD131096:DXD131115 EGZ131096:EGZ131115 EQV131096:EQV131115 FAR131096:FAR131115 FKN131096:FKN131115 FUJ131096:FUJ131115 GEF131096:GEF131115 GOB131096:GOB131115 GXX131096:GXX131115 HHT131096:HHT131115 HRP131096:HRP131115 IBL131096:IBL131115 ILH131096:ILH131115 IVD131096:IVD131115 JEZ131096:JEZ131115 JOV131096:JOV131115 JYR131096:JYR131115 KIN131096:KIN131115 KSJ131096:KSJ131115 LCF131096:LCF131115 LMB131096:LMB131115 LVX131096:LVX131115 MFT131096:MFT131115 MPP131096:MPP131115 MZL131096:MZL131115 NJH131096:NJH131115 NTD131096:NTD131115 OCZ131096:OCZ131115 OMV131096:OMV131115 OWR131096:OWR131115 PGN131096:PGN131115 PQJ131096:PQJ131115 QAF131096:QAF131115 QKB131096:QKB131115 QTX131096:QTX131115 RDT131096:RDT131115 RNP131096:RNP131115 RXL131096:RXL131115 SHH131096:SHH131115 SRD131096:SRD131115 TAZ131096:TAZ131115 TKV131096:TKV131115 TUR131096:TUR131115 UEN131096:UEN131115 UOJ131096:UOJ131115 UYF131096:UYF131115 VIB131096:VIB131115 VRX131096:VRX131115 WBT131096:WBT131115 WLP131096:WLP131115 WVL131096:WVL131115 J262169:J262188 IZ196632:IZ196651 SV196632:SV196651 ACR196632:ACR196651 AMN196632:AMN196651 AWJ196632:AWJ196651 BGF196632:BGF196651 BQB196632:BQB196651 BZX196632:BZX196651 CJT196632:CJT196651 CTP196632:CTP196651 DDL196632:DDL196651 DNH196632:DNH196651 DXD196632:DXD196651 EGZ196632:EGZ196651 EQV196632:EQV196651 FAR196632:FAR196651 FKN196632:FKN196651 FUJ196632:FUJ196651 GEF196632:GEF196651 GOB196632:GOB196651 GXX196632:GXX196651 HHT196632:HHT196651 HRP196632:HRP196651 IBL196632:IBL196651 ILH196632:ILH196651 IVD196632:IVD196651 JEZ196632:JEZ196651 JOV196632:JOV196651 JYR196632:JYR196651 KIN196632:KIN196651 KSJ196632:KSJ196651 LCF196632:LCF196651 LMB196632:LMB196651 LVX196632:LVX196651 MFT196632:MFT196651 MPP196632:MPP196651 MZL196632:MZL196651 NJH196632:NJH196651 NTD196632:NTD196651 OCZ196632:OCZ196651 OMV196632:OMV196651 OWR196632:OWR196651 PGN196632:PGN196651 PQJ196632:PQJ196651 QAF196632:QAF196651 QKB196632:QKB196651 QTX196632:QTX196651 RDT196632:RDT196651 RNP196632:RNP196651 RXL196632:RXL196651 SHH196632:SHH196651 SRD196632:SRD196651 TAZ196632:TAZ196651 TKV196632:TKV196651 TUR196632:TUR196651 UEN196632:UEN196651 UOJ196632:UOJ196651 UYF196632:UYF196651 VIB196632:VIB196651 VRX196632:VRX196651 WBT196632:WBT196651 WLP196632:WLP196651 WVL196632:WVL196651 J327705:J327724 IZ262168:IZ262187 SV262168:SV262187 ACR262168:ACR262187 AMN262168:AMN262187 AWJ262168:AWJ262187 BGF262168:BGF262187 BQB262168:BQB262187 BZX262168:BZX262187 CJT262168:CJT262187 CTP262168:CTP262187 DDL262168:DDL262187 DNH262168:DNH262187 DXD262168:DXD262187 EGZ262168:EGZ262187 EQV262168:EQV262187 FAR262168:FAR262187 FKN262168:FKN262187 FUJ262168:FUJ262187 GEF262168:GEF262187 GOB262168:GOB262187 GXX262168:GXX262187 HHT262168:HHT262187 HRP262168:HRP262187 IBL262168:IBL262187 ILH262168:ILH262187 IVD262168:IVD262187 JEZ262168:JEZ262187 JOV262168:JOV262187 JYR262168:JYR262187 KIN262168:KIN262187 KSJ262168:KSJ262187 LCF262168:LCF262187 LMB262168:LMB262187 LVX262168:LVX262187 MFT262168:MFT262187 MPP262168:MPP262187 MZL262168:MZL262187 NJH262168:NJH262187 NTD262168:NTD262187 OCZ262168:OCZ262187 OMV262168:OMV262187 OWR262168:OWR262187 PGN262168:PGN262187 PQJ262168:PQJ262187 QAF262168:QAF262187 QKB262168:QKB262187 QTX262168:QTX262187 RDT262168:RDT262187 RNP262168:RNP262187 RXL262168:RXL262187 SHH262168:SHH262187 SRD262168:SRD262187 TAZ262168:TAZ262187 TKV262168:TKV262187 TUR262168:TUR262187 UEN262168:UEN262187 UOJ262168:UOJ262187 UYF262168:UYF262187 VIB262168:VIB262187 VRX262168:VRX262187 WBT262168:WBT262187 WLP262168:WLP262187 WVL262168:WVL262187 J393241:J393260 IZ327704:IZ327723 SV327704:SV327723 ACR327704:ACR327723 AMN327704:AMN327723 AWJ327704:AWJ327723 BGF327704:BGF327723 BQB327704:BQB327723 BZX327704:BZX327723 CJT327704:CJT327723 CTP327704:CTP327723 DDL327704:DDL327723 DNH327704:DNH327723 DXD327704:DXD327723 EGZ327704:EGZ327723 EQV327704:EQV327723 FAR327704:FAR327723 FKN327704:FKN327723 FUJ327704:FUJ327723 GEF327704:GEF327723 GOB327704:GOB327723 GXX327704:GXX327723 HHT327704:HHT327723 HRP327704:HRP327723 IBL327704:IBL327723 ILH327704:ILH327723 IVD327704:IVD327723 JEZ327704:JEZ327723 JOV327704:JOV327723 JYR327704:JYR327723 KIN327704:KIN327723 KSJ327704:KSJ327723 LCF327704:LCF327723 LMB327704:LMB327723 LVX327704:LVX327723 MFT327704:MFT327723 MPP327704:MPP327723 MZL327704:MZL327723 NJH327704:NJH327723 NTD327704:NTD327723 OCZ327704:OCZ327723 OMV327704:OMV327723 OWR327704:OWR327723 PGN327704:PGN327723 PQJ327704:PQJ327723 QAF327704:QAF327723 QKB327704:QKB327723 QTX327704:QTX327723 RDT327704:RDT327723 RNP327704:RNP327723 RXL327704:RXL327723 SHH327704:SHH327723 SRD327704:SRD327723 TAZ327704:TAZ327723 TKV327704:TKV327723 TUR327704:TUR327723 UEN327704:UEN327723 UOJ327704:UOJ327723 UYF327704:UYF327723 VIB327704:VIB327723 VRX327704:VRX327723 WBT327704:WBT327723 WLP327704:WLP327723 WVL327704:WVL327723 J458777:J458796 IZ393240:IZ393259 SV393240:SV393259 ACR393240:ACR393259 AMN393240:AMN393259 AWJ393240:AWJ393259 BGF393240:BGF393259 BQB393240:BQB393259 BZX393240:BZX393259 CJT393240:CJT393259 CTP393240:CTP393259 DDL393240:DDL393259 DNH393240:DNH393259 DXD393240:DXD393259 EGZ393240:EGZ393259 EQV393240:EQV393259 FAR393240:FAR393259 FKN393240:FKN393259 FUJ393240:FUJ393259 GEF393240:GEF393259 GOB393240:GOB393259 GXX393240:GXX393259 HHT393240:HHT393259 HRP393240:HRP393259 IBL393240:IBL393259 ILH393240:ILH393259 IVD393240:IVD393259 JEZ393240:JEZ393259 JOV393240:JOV393259 JYR393240:JYR393259 KIN393240:KIN393259 KSJ393240:KSJ393259 LCF393240:LCF393259 LMB393240:LMB393259 LVX393240:LVX393259 MFT393240:MFT393259 MPP393240:MPP393259 MZL393240:MZL393259 NJH393240:NJH393259 NTD393240:NTD393259 OCZ393240:OCZ393259 OMV393240:OMV393259 OWR393240:OWR393259 PGN393240:PGN393259 PQJ393240:PQJ393259 QAF393240:QAF393259 QKB393240:QKB393259 QTX393240:QTX393259 RDT393240:RDT393259 RNP393240:RNP393259 RXL393240:RXL393259 SHH393240:SHH393259 SRD393240:SRD393259 TAZ393240:TAZ393259 TKV393240:TKV393259 TUR393240:TUR393259 UEN393240:UEN393259 UOJ393240:UOJ393259 UYF393240:UYF393259 VIB393240:VIB393259 VRX393240:VRX393259 WBT393240:WBT393259 WLP393240:WLP393259 WVL393240:WVL393259 J524313:J524332 IZ458776:IZ458795 SV458776:SV458795 ACR458776:ACR458795 AMN458776:AMN458795 AWJ458776:AWJ458795 BGF458776:BGF458795 BQB458776:BQB458795 BZX458776:BZX458795 CJT458776:CJT458795 CTP458776:CTP458795 DDL458776:DDL458795 DNH458776:DNH458795 DXD458776:DXD458795 EGZ458776:EGZ458795 EQV458776:EQV458795 FAR458776:FAR458795 FKN458776:FKN458795 FUJ458776:FUJ458795 GEF458776:GEF458795 GOB458776:GOB458795 GXX458776:GXX458795 HHT458776:HHT458795 HRP458776:HRP458795 IBL458776:IBL458795 ILH458776:ILH458795 IVD458776:IVD458795 JEZ458776:JEZ458795 JOV458776:JOV458795 JYR458776:JYR458795 KIN458776:KIN458795 KSJ458776:KSJ458795 LCF458776:LCF458795 LMB458776:LMB458795 LVX458776:LVX458795 MFT458776:MFT458795 MPP458776:MPP458795 MZL458776:MZL458795 NJH458776:NJH458795 NTD458776:NTD458795 OCZ458776:OCZ458795 OMV458776:OMV458795 OWR458776:OWR458795 PGN458776:PGN458795 PQJ458776:PQJ458795 QAF458776:QAF458795 QKB458776:QKB458795 QTX458776:QTX458795 RDT458776:RDT458795 RNP458776:RNP458795 RXL458776:RXL458795 SHH458776:SHH458795 SRD458776:SRD458795 TAZ458776:TAZ458795 TKV458776:TKV458795 TUR458776:TUR458795 UEN458776:UEN458795 UOJ458776:UOJ458795 UYF458776:UYF458795 VIB458776:VIB458795 VRX458776:VRX458795 WBT458776:WBT458795 WLP458776:WLP458795 WVL458776:WVL458795 J589849:J589868 IZ524312:IZ524331 SV524312:SV524331 ACR524312:ACR524331 AMN524312:AMN524331 AWJ524312:AWJ524331 BGF524312:BGF524331 BQB524312:BQB524331 BZX524312:BZX524331 CJT524312:CJT524331 CTP524312:CTP524331 DDL524312:DDL524331 DNH524312:DNH524331 DXD524312:DXD524331 EGZ524312:EGZ524331 EQV524312:EQV524331 FAR524312:FAR524331 FKN524312:FKN524331 FUJ524312:FUJ524331 GEF524312:GEF524331 GOB524312:GOB524331 GXX524312:GXX524331 HHT524312:HHT524331 HRP524312:HRP524331 IBL524312:IBL524331 ILH524312:ILH524331 IVD524312:IVD524331 JEZ524312:JEZ524331 JOV524312:JOV524331 JYR524312:JYR524331 KIN524312:KIN524331 KSJ524312:KSJ524331 LCF524312:LCF524331 LMB524312:LMB524331 LVX524312:LVX524331 MFT524312:MFT524331 MPP524312:MPP524331 MZL524312:MZL524331 NJH524312:NJH524331 NTD524312:NTD524331 OCZ524312:OCZ524331 OMV524312:OMV524331 OWR524312:OWR524331 PGN524312:PGN524331 PQJ524312:PQJ524331 QAF524312:QAF524331 QKB524312:QKB524331 QTX524312:QTX524331 RDT524312:RDT524331 RNP524312:RNP524331 RXL524312:RXL524331 SHH524312:SHH524331 SRD524312:SRD524331 TAZ524312:TAZ524331 TKV524312:TKV524331 TUR524312:TUR524331 UEN524312:UEN524331 UOJ524312:UOJ524331 UYF524312:UYF524331 VIB524312:VIB524331 VRX524312:VRX524331 WBT524312:WBT524331 WLP524312:WLP524331 WVL524312:WVL524331 J655385:J655404 IZ589848:IZ589867 SV589848:SV589867 ACR589848:ACR589867 AMN589848:AMN589867 AWJ589848:AWJ589867 BGF589848:BGF589867 BQB589848:BQB589867 BZX589848:BZX589867 CJT589848:CJT589867 CTP589848:CTP589867 DDL589848:DDL589867 DNH589848:DNH589867 DXD589848:DXD589867 EGZ589848:EGZ589867 EQV589848:EQV589867 FAR589848:FAR589867 FKN589848:FKN589867 FUJ589848:FUJ589867 GEF589848:GEF589867 GOB589848:GOB589867 GXX589848:GXX589867 HHT589848:HHT589867 HRP589848:HRP589867 IBL589848:IBL589867 ILH589848:ILH589867 IVD589848:IVD589867 JEZ589848:JEZ589867 JOV589848:JOV589867 JYR589848:JYR589867 KIN589848:KIN589867 KSJ589848:KSJ589867 LCF589848:LCF589867 LMB589848:LMB589867 LVX589848:LVX589867 MFT589848:MFT589867 MPP589848:MPP589867 MZL589848:MZL589867 NJH589848:NJH589867 NTD589848:NTD589867 OCZ589848:OCZ589867 OMV589848:OMV589867 OWR589848:OWR589867 PGN589848:PGN589867 PQJ589848:PQJ589867 QAF589848:QAF589867 QKB589848:QKB589867 QTX589848:QTX589867 RDT589848:RDT589867 RNP589848:RNP589867 RXL589848:RXL589867 SHH589848:SHH589867 SRD589848:SRD589867 TAZ589848:TAZ589867 TKV589848:TKV589867 TUR589848:TUR589867 UEN589848:UEN589867 UOJ589848:UOJ589867 UYF589848:UYF589867 VIB589848:VIB589867 VRX589848:VRX589867 WBT589848:WBT589867 WLP589848:WLP589867 WVL589848:WVL589867 J720921:J720940 IZ655384:IZ655403 SV655384:SV655403 ACR655384:ACR655403 AMN655384:AMN655403 AWJ655384:AWJ655403 BGF655384:BGF655403 BQB655384:BQB655403 BZX655384:BZX655403 CJT655384:CJT655403 CTP655384:CTP655403 DDL655384:DDL655403 DNH655384:DNH655403 DXD655384:DXD655403 EGZ655384:EGZ655403 EQV655384:EQV655403 FAR655384:FAR655403 FKN655384:FKN655403 FUJ655384:FUJ655403 GEF655384:GEF655403 GOB655384:GOB655403 GXX655384:GXX655403 HHT655384:HHT655403 HRP655384:HRP655403 IBL655384:IBL655403 ILH655384:ILH655403 IVD655384:IVD655403 JEZ655384:JEZ655403 JOV655384:JOV655403 JYR655384:JYR655403 KIN655384:KIN655403 KSJ655384:KSJ655403 LCF655384:LCF655403 LMB655384:LMB655403 LVX655384:LVX655403 MFT655384:MFT655403 MPP655384:MPP655403 MZL655384:MZL655403 NJH655384:NJH655403 NTD655384:NTD655403 OCZ655384:OCZ655403 OMV655384:OMV655403 OWR655384:OWR655403 PGN655384:PGN655403 PQJ655384:PQJ655403 QAF655384:QAF655403 QKB655384:QKB655403 QTX655384:QTX655403 RDT655384:RDT655403 RNP655384:RNP655403 RXL655384:RXL655403 SHH655384:SHH655403 SRD655384:SRD655403 TAZ655384:TAZ655403 TKV655384:TKV655403 TUR655384:TUR655403 UEN655384:UEN655403 UOJ655384:UOJ655403 UYF655384:UYF655403 VIB655384:VIB655403 VRX655384:VRX655403 WBT655384:WBT655403 WLP655384:WLP655403 WVL655384:WVL655403 J786457:J786476 IZ720920:IZ720939 SV720920:SV720939 ACR720920:ACR720939 AMN720920:AMN720939 AWJ720920:AWJ720939 BGF720920:BGF720939 BQB720920:BQB720939 BZX720920:BZX720939 CJT720920:CJT720939 CTP720920:CTP720939 DDL720920:DDL720939 DNH720920:DNH720939 DXD720920:DXD720939 EGZ720920:EGZ720939 EQV720920:EQV720939 FAR720920:FAR720939 FKN720920:FKN720939 FUJ720920:FUJ720939 GEF720920:GEF720939 GOB720920:GOB720939 GXX720920:GXX720939 HHT720920:HHT720939 HRP720920:HRP720939 IBL720920:IBL720939 ILH720920:ILH720939 IVD720920:IVD720939 JEZ720920:JEZ720939 JOV720920:JOV720939 JYR720920:JYR720939 KIN720920:KIN720939 KSJ720920:KSJ720939 LCF720920:LCF720939 LMB720920:LMB720939 LVX720920:LVX720939 MFT720920:MFT720939 MPP720920:MPP720939 MZL720920:MZL720939 NJH720920:NJH720939 NTD720920:NTD720939 OCZ720920:OCZ720939 OMV720920:OMV720939 OWR720920:OWR720939 PGN720920:PGN720939 PQJ720920:PQJ720939 QAF720920:QAF720939 QKB720920:QKB720939 QTX720920:QTX720939 RDT720920:RDT720939 RNP720920:RNP720939 RXL720920:RXL720939 SHH720920:SHH720939 SRD720920:SRD720939 TAZ720920:TAZ720939 TKV720920:TKV720939 TUR720920:TUR720939 UEN720920:UEN720939 UOJ720920:UOJ720939 UYF720920:UYF720939 VIB720920:VIB720939 VRX720920:VRX720939 WBT720920:WBT720939 WLP720920:WLP720939 WVL720920:WVL720939 J851993:J852012 IZ786456:IZ786475 SV786456:SV786475 ACR786456:ACR786475 AMN786456:AMN786475 AWJ786456:AWJ786475 BGF786456:BGF786475 BQB786456:BQB786475 BZX786456:BZX786475 CJT786456:CJT786475 CTP786456:CTP786475 DDL786456:DDL786475 DNH786456:DNH786475 DXD786456:DXD786475 EGZ786456:EGZ786475 EQV786456:EQV786475 FAR786456:FAR786475 FKN786456:FKN786475 FUJ786456:FUJ786475 GEF786456:GEF786475 GOB786456:GOB786475 GXX786456:GXX786475 HHT786456:HHT786475 HRP786456:HRP786475 IBL786456:IBL786475 ILH786456:ILH786475 IVD786456:IVD786475 JEZ786456:JEZ786475 JOV786456:JOV786475 JYR786456:JYR786475 KIN786456:KIN786475 KSJ786456:KSJ786475 LCF786456:LCF786475 LMB786456:LMB786475 LVX786456:LVX786475 MFT786456:MFT786475 MPP786456:MPP786475 MZL786456:MZL786475 NJH786456:NJH786475 NTD786456:NTD786475 OCZ786456:OCZ786475 OMV786456:OMV786475 OWR786456:OWR786475 PGN786456:PGN786475 PQJ786456:PQJ786475 QAF786456:QAF786475 QKB786456:QKB786475 QTX786456:QTX786475 RDT786456:RDT786475 RNP786456:RNP786475 RXL786456:RXL786475 SHH786456:SHH786475 SRD786456:SRD786475 TAZ786456:TAZ786475 TKV786456:TKV786475 TUR786456:TUR786475 UEN786456:UEN786475 UOJ786456:UOJ786475 UYF786456:UYF786475 VIB786456:VIB786475 VRX786456:VRX786475 WBT786456:WBT786475 WLP786456:WLP786475 WVL786456:WVL786475 J917529:J917548 IZ851992:IZ852011 SV851992:SV852011 ACR851992:ACR852011 AMN851992:AMN852011 AWJ851992:AWJ852011 BGF851992:BGF852011 BQB851992:BQB852011 BZX851992:BZX852011 CJT851992:CJT852011 CTP851992:CTP852011 DDL851992:DDL852011 DNH851992:DNH852011 DXD851992:DXD852011 EGZ851992:EGZ852011 EQV851992:EQV852011 FAR851992:FAR852011 FKN851992:FKN852011 FUJ851992:FUJ852011 GEF851992:GEF852011 GOB851992:GOB852011 GXX851992:GXX852011 HHT851992:HHT852011 HRP851992:HRP852011 IBL851992:IBL852011 ILH851992:ILH852011 IVD851992:IVD852011 JEZ851992:JEZ852011 JOV851992:JOV852011 JYR851992:JYR852011 KIN851992:KIN852011 KSJ851992:KSJ852011 LCF851992:LCF852011 LMB851992:LMB852011 LVX851992:LVX852011 MFT851992:MFT852011 MPP851992:MPP852011 MZL851992:MZL852011 NJH851992:NJH852011 NTD851992:NTD852011 OCZ851992:OCZ852011 OMV851992:OMV852011 OWR851992:OWR852011 PGN851992:PGN852011 PQJ851992:PQJ852011 QAF851992:QAF852011 QKB851992:QKB852011 QTX851992:QTX852011 RDT851992:RDT852011 RNP851992:RNP852011 RXL851992:RXL852011 SHH851992:SHH852011 SRD851992:SRD852011 TAZ851992:TAZ852011 TKV851992:TKV852011 TUR851992:TUR852011 UEN851992:UEN852011 UOJ851992:UOJ852011 UYF851992:UYF852011 VIB851992:VIB852011 VRX851992:VRX852011 WBT851992:WBT852011 WLP851992:WLP852011 WVL851992:WVL852011 J983065:J983084 IZ917528:IZ917547 SV917528:SV917547 ACR917528:ACR917547 AMN917528:AMN917547 AWJ917528:AWJ917547 BGF917528:BGF917547 BQB917528:BQB917547 BZX917528:BZX917547 CJT917528:CJT917547 CTP917528:CTP917547 DDL917528:DDL917547 DNH917528:DNH917547 DXD917528:DXD917547 EGZ917528:EGZ917547 EQV917528:EQV917547 FAR917528:FAR917547 FKN917528:FKN917547 FUJ917528:FUJ917547 GEF917528:GEF917547 GOB917528:GOB917547 GXX917528:GXX917547 HHT917528:HHT917547 HRP917528:HRP917547 IBL917528:IBL917547 ILH917528:ILH917547 IVD917528:IVD917547 JEZ917528:JEZ917547 JOV917528:JOV917547 JYR917528:JYR917547 KIN917528:KIN917547 KSJ917528:KSJ917547 LCF917528:LCF917547 LMB917528:LMB917547 LVX917528:LVX917547 MFT917528:MFT917547 MPP917528:MPP917547 MZL917528:MZL917547 NJH917528:NJH917547 NTD917528:NTD917547 OCZ917528:OCZ917547 OMV917528:OMV917547 OWR917528:OWR917547 PGN917528:PGN917547 PQJ917528:PQJ917547 QAF917528:QAF917547 QKB917528:QKB917547 QTX917528:QTX917547 RDT917528:RDT917547 RNP917528:RNP917547 RXL917528:RXL917547 SHH917528:SHH917547 SRD917528:SRD917547 TAZ917528:TAZ917547 TKV917528:TKV917547 TUR917528:TUR917547 UEN917528:UEN917547 UOJ917528:UOJ917547 UYF917528:UYF917547 VIB917528:VIB917547 VRX917528:VRX917547 WBT917528:WBT917547 WLP917528:WLP917547 WVL917528:WVL917547 IZ983064:IZ983083 SV983064:SV983083 ACR983064:ACR983083 AMN983064:AMN983083 AWJ983064:AWJ983083 BGF983064:BGF983083 BQB983064:BQB983083 BZX983064:BZX983083 CJT983064:CJT983083 CTP983064:CTP983083 DDL983064:DDL983083 DNH983064:DNH983083 DXD983064:DXD983083 EGZ983064:EGZ983083 EQV983064:EQV983083 FAR983064:FAR983083 FKN983064:FKN983083 FUJ983064:FUJ983083 GEF983064:GEF983083 GOB983064:GOB983083 GXX983064:GXX983083 HHT983064:HHT983083 HRP983064:HRP983083 IBL983064:IBL983083 ILH983064:ILH983083 IVD983064:IVD983083 JEZ983064:JEZ983083 JOV983064:JOV983083 JYR983064:JYR983083 KIN983064:KIN983083 KSJ983064:KSJ983083 LCF983064:LCF983083 LMB983064:LMB983083 LVX983064:LVX983083 MFT983064:MFT983083 MPP983064:MPP983083 MZL983064:MZL983083 NJH983064:NJH983083 NTD983064:NTD983083 OCZ983064:OCZ983083 OMV983064:OMV983083 OWR983064:OWR983083 PGN983064:PGN983083 PQJ983064:PQJ983083 QAF983064:QAF983083 QKB983064:QKB983083 QTX983064:QTX983083 RDT983064:RDT983083 RNP983064:RNP983083 RXL983064:RXL983083 SHH983064:SHH983083 SRD983064:SRD983083 TAZ983064:TAZ983083 TKV983064:TKV983083 TUR983064:TUR983083 UEN983064:UEN983083 UOJ983064:UOJ983083 UYF983064:UYF983083 VIB983064:VIB983083 VRX983064:VRX983083 WBT983064:WBT983083 WLP983064:WLP983083 SV65:SV68 ACR65:ACR68 AMN65:AMN68 AWJ65:AWJ68 BGF65:BGF68 BQB65:BQB68 BZX65:BZX68 CJT65:CJT68 CTP65:CTP68 DDL65:DDL68 DNH65:DNH68 DXD65:DXD68 EGZ65:EGZ68 EQV65:EQV68 FAR65:FAR68 FKN65:FKN68 FUJ65:FUJ68 GEF65:GEF68 GOB65:GOB68 GXX65:GXX68 HHT65:HHT68 HRP65:HRP68 IBL65:IBL68 ILH65:ILH68 IVD65:IVD68 JEZ65:JEZ68 JOV65:JOV68 JYR65:JYR68 KIN65:KIN68 KSJ65:KSJ68 LCF65:LCF68 LMB65:LMB68 LVX65:LVX68 MFT65:MFT68 MPP65:MPP68 MZL65:MZL68 NJH65:NJH68 NTD65:NTD68 OCZ65:OCZ68 OMV65:OMV68 OWR65:OWR68 PGN65:PGN68 PQJ65:PQJ68 QAF65:QAF68 QKB65:QKB68 QTX65:QTX68 RDT65:RDT68 RNP65:RNP68 RXL65:RXL68 SHH65:SHH68 SRD65:SRD68 TAZ65:TAZ68 TKV65:TKV68 TUR65:TUR68 UEN65:UEN68 UOJ65:UOJ68 UYF65:UYF68 VIB65:VIB68 VRX65:VRX68 WBT65:WBT68 WLP65:WLP68 WVL65:WVL68 J65561:J65580 IZ65:IZ68 IR11:IR61 SN11:SN61 ACJ11:ACJ61 AMF11:AMF61 AWB11:AWB61 BFX11:BFX61 BPT11:BPT61 BZP11:BZP61 CJL11:CJL61 CTH11:CTH61 DDD11:DDD61 DMZ11:DMZ61 DWV11:DWV61 EGR11:EGR61 EQN11:EQN61 FAJ11:FAJ61 FKF11:FKF61 FUB11:FUB61 GDX11:GDX61 GNT11:GNT61 GXP11:GXP61 HHL11:HHL61 HRH11:HRH61 IBD11:IBD61 IKZ11:IKZ61 IUV11:IUV61 JER11:JER61 JON11:JON61 JYJ11:JYJ61 KIF11:KIF61 KSB11:KSB61 LBX11:LBX61 LLT11:LLT61 LVP11:LVP61 MFL11:MFL61 MPH11:MPH61 MZD11:MZD61 NIZ11:NIZ61 NSV11:NSV61 OCR11:OCR61 OMN11:OMN61 OWJ11:OWJ61 PGF11:PGF61 PQB11:PQB61 PZX11:PZX61 QJT11:QJT61 QTP11:QTP61 RDL11:RDL61 RNH11:RNH61 RXD11:RXD61 SGZ11:SGZ61 SQV11:SQV61 TAR11:TAR61 TKN11:TKN61 TUJ11:TUJ61 UEF11:UEF61 UOB11:UOB61 UXX11:UXX61 VHT11:VHT61 VRP11:VRP61 WBL11:WBL61 WLH11:WLH61 WVD11:WVD61" xr:uid="{049EB11F-E1F9-4DD4-B52B-99EFA347E15B}">
      <formula1>"教育・保育従事者,教育・保育従事者以外"</formula1>
    </dataValidation>
    <dataValidation type="custom" allowBlank="1" showInputMessage="1" showErrorMessage="1" sqref="AR65560:AR65579 AR131096:AR131115 AR196632:AR196651 AR262168:AR262187 AR327704:AR327723 AR393240:AR393259 AR458776:AR458795 AR524312:AR524331 AR589848:AR589867 AR655384:AR655403 AR720920:AR720939 AR786456:AR786475 AR851992:AR852011 AR917528:AR917547 AR983064:AR983083 WVP983064:WWQ983083 VSB983064:VTC983083 WBX983064:WCY983083 JD65560:KE65579 SZ65560:UA65579 ACV65560:ADW65579 AMR65560:ANS65579 AWN65560:AXO65579 BGJ65560:BHK65579 BQF65560:BRG65579 CAB65560:CBC65579 CJX65560:CKY65579 CTT65560:CUU65579 DDP65560:DEQ65579 DNL65560:DOM65579 DXH65560:DYI65579 EHD65560:EIE65579 EQZ65560:ESA65579 FAV65560:FBW65579 FKR65560:FLS65579 FUN65560:FVO65579 GEJ65560:GFK65579 GOF65560:GPG65579 GYB65560:GZC65579 HHX65560:HIY65579 HRT65560:HSU65579 IBP65560:ICQ65579 ILL65560:IMM65579 IVH65560:IWI65579 JFD65560:JGE65579 JOZ65560:JQA65579 JYV65560:JZW65579 KIR65560:KJS65579 KSN65560:KTO65579 LCJ65560:LDK65579 LMF65560:LNG65579 LWB65560:LXC65579 MFX65560:MGY65579 MPT65560:MQU65579 MZP65560:NAQ65579 NJL65560:NKM65579 NTH65560:NUI65579 ODD65560:OEE65579 OMZ65560:OOA65579 OWV65560:OXW65579 PGR65560:PHS65579 PQN65560:PRO65579 QAJ65560:QBK65579 QKF65560:QLG65579 QUB65560:QVC65579 RDX65560:REY65579 RNT65560:ROU65579 RXP65560:RYQ65579 SHL65560:SIM65579 SRH65560:SSI65579 TBD65560:TCE65579 TKZ65560:TMA65579 TUV65560:TVW65579 UER65560:UFS65579 UON65560:UPO65579 UYJ65560:UZK65579 VIF65560:VJG65579 VSB65560:VTC65579 WBX65560:WCY65579 WLT65560:WMU65579 WVP65560:WWQ65579 JD131096:KE131115 SZ131096:UA131115 ACV131096:ADW131115 AMR131096:ANS131115 AWN131096:AXO131115 BGJ131096:BHK131115 BQF131096:BRG131115 CAB131096:CBC131115 CJX131096:CKY131115 CTT131096:CUU131115 DDP131096:DEQ131115 DNL131096:DOM131115 DXH131096:DYI131115 EHD131096:EIE131115 EQZ131096:ESA131115 FAV131096:FBW131115 FKR131096:FLS131115 FUN131096:FVO131115 GEJ131096:GFK131115 GOF131096:GPG131115 GYB131096:GZC131115 HHX131096:HIY131115 HRT131096:HSU131115 IBP131096:ICQ131115 ILL131096:IMM131115 IVH131096:IWI131115 JFD131096:JGE131115 JOZ131096:JQA131115 JYV131096:JZW131115 KIR131096:KJS131115 KSN131096:KTO131115 LCJ131096:LDK131115 LMF131096:LNG131115 LWB131096:LXC131115 MFX131096:MGY131115 MPT131096:MQU131115 MZP131096:NAQ131115 NJL131096:NKM131115 NTH131096:NUI131115 ODD131096:OEE131115 OMZ131096:OOA131115 OWV131096:OXW131115 PGR131096:PHS131115 PQN131096:PRO131115 QAJ131096:QBK131115 QKF131096:QLG131115 QUB131096:QVC131115 RDX131096:REY131115 RNT131096:ROU131115 RXP131096:RYQ131115 SHL131096:SIM131115 SRH131096:SSI131115 TBD131096:TCE131115 TKZ131096:TMA131115 TUV131096:TVW131115 UER131096:UFS131115 UON131096:UPO131115 UYJ131096:UZK131115 VIF131096:VJG131115 VSB131096:VTC131115 WBX131096:WCY131115 WLT131096:WMU131115 WVP131096:WWQ131115 JD196632:KE196651 SZ196632:UA196651 ACV196632:ADW196651 AMR196632:ANS196651 AWN196632:AXO196651 BGJ196632:BHK196651 BQF196632:BRG196651 CAB196632:CBC196651 CJX196632:CKY196651 CTT196632:CUU196651 DDP196632:DEQ196651 DNL196632:DOM196651 DXH196632:DYI196651 EHD196632:EIE196651 EQZ196632:ESA196651 FAV196632:FBW196651 FKR196632:FLS196651 FUN196632:FVO196651 GEJ196632:GFK196651 GOF196632:GPG196651 GYB196632:GZC196651 HHX196632:HIY196651 HRT196632:HSU196651 IBP196632:ICQ196651 ILL196632:IMM196651 IVH196632:IWI196651 JFD196632:JGE196651 JOZ196632:JQA196651 JYV196632:JZW196651 KIR196632:KJS196651 KSN196632:KTO196651 LCJ196632:LDK196651 LMF196632:LNG196651 LWB196632:LXC196651 MFX196632:MGY196651 MPT196632:MQU196651 MZP196632:NAQ196651 NJL196632:NKM196651 NTH196632:NUI196651 ODD196632:OEE196651 OMZ196632:OOA196651 OWV196632:OXW196651 PGR196632:PHS196651 PQN196632:PRO196651 QAJ196632:QBK196651 QKF196632:QLG196651 QUB196632:QVC196651 RDX196632:REY196651 RNT196632:ROU196651 RXP196632:RYQ196651 SHL196632:SIM196651 SRH196632:SSI196651 TBD196632:TCE196651 TKZ196632:TMA196651 TUV196632:TVW196651 UER196632:UFS196651 UON196632:UPO196651 UYJ196632:UZK196651 VIF196632:VJG196651 VSB196632:VTC196651 WBX196632:WCY196651 WLT196632:WMU196651 WVP196632:WWQ196651 JD262168:KE262187 SZ262168:UA262187 ACV262168:ADW262187 AMR262168:ANS262187 AWN262168:AXO262187 BGJ262168:BHK262187 BQF262168:BRG262187 CAB262168:CBC262187 CJX262168:CKY262187 CTT262168:CUU262187 DDP262168:DEQ262187 DNL262168:DOM262187 DXH262168:DYI262187 EHD262168:EIE262187 EQZ262168:ESA262187 FAV262168:FBW262187 FKR262168:FLS262187 FUN262168:FVO262187 GEJ262168:GFK262187 GOF262168:GPG262187 GYB262168:GZC262187 HHX262168:HIY262187 HRT262168:HSU262187 IBP262168:ICQ262187 ILL262168:IMM262187 IVH262168:IWI262187 JFD262168:JGE262187 JOZ262168:JQA262187 JYV262168:JZW262187 KIR262168:KJS262187 KSN262168:KTO262187 LCJ262168:LDK262187 LMF262168:LNG262187 LWB262168:LXC262187 MFX262168:MGY262187 MPT262168:MQU262187 MZP262168:NAQ262187 NJL262168:NKM262187 NTH262168:NUI262187 ODD262168:OEE262187 OMZ262168:OOA262187 OWV262168:OXW262187 PGR262168:PHS262187 PQN262168:PRO262187 QAJ262168:QBK262187 QKF262168:QLG262187 QUB262168:QVC262187 RDX262168:REY262187 RNT262168:ROU262187 RXP262168:RYQ262187 SHL262168:SIM262187 SRH262168:SSI262187 TBD262168:TCE262187 TKZ262168:TMA262187 TUV262168:TVW262187 UER262168:UFS262187 UON262168:UPO262187 UYJ262168:UZK262187 VIF262168:VJG262187 VSB262168:VTC262187 WBX262168:WCY262187 WLT262168:WMU262187 WVP262168:WWQ262187 JD327704:KE327723 SZ327704:UA327723 ACV327704:ADW327723 AMR327704:ANS327723 AWN327704:AXO327723 BGJ327704:BHK327723 BQF327704:BRG327723 CAB327704:CBC327723 CJX327704:CKY327723 CTT327704:CUU327723 DDP327704:DEQ327723 DNL327704:DOM327723 DXH327704:DYI327723 EHD327704:EIE327723 EQZ327704:ESA327723 FAV327704:FBW327723 FKR327704:FLS327723 FUN327704:FVO327723 GEJ327704:GFK327723 GOF327704:GPG327723 GYB327704:GZC327723 HHX327704:HIY327723 HRT327704:HSU327723 IBP327704:ICQ327723 ILL327704:IMM327723 IVH327704:IWI327723 JFD327704:JGE327723 JOZ327704:JQA327723 JYV327704:JZW327723 KIR327704:KJS327723 KSN327704:KTO327723 LCJ327704:LDK327723 LMF327704:LNG327723 LWB327704:LXC327723 MFX327704:MGY327723 MPT327704:MQU327723 MZP327704:NAQ327723 NJL327704:NKM327723 NTH327704:NUI327723 ODD327704:OEE327723 OMZ327704:OOA327723 OWV327704:OXW327723 PGR327704:PHS327723 PQN327704:PRO327723 QAJ327704:QBK327723 QKF327704:QLG327723 QUB327704:QVC327723 RDX327704:REY327723 RNT327704:ROU327723 RXP327704:RYQ327723 SHL327704:SIM327723 SRH327704:SSI327723 TBD327704:TCE327723 TKZ327704:TMA327723 TUV327704:TVW327723 UER327704:UFS327723 UON327704:UPO327723 UYJ327704:UZK327723 VIF327704:VJG327723 VSB327704:VTC327723 WBX327704:WCY327723 WLT327704:WMU327723 WVP327704:WWQ327723 JD393240:KE393259 SZ393240:UA393259 ACV393240:ADW393259 AMR393240:ANS393259 AWN393240:AXO393259 BGJ393240:BHK393259 BQF393240:BRG393259 CAB393240:CBC393259 CJX393240:CKY393259 CTT393240:CUU393259 DDP393240:DEQ393259 DNL393240:DOM393259 DXH393240:DYI393259 EHD393240:EIE393259 EQZ393240:ESA393259 FAV393240:FBW393259 FKR393240:FLS393259 FUN393240:FVO393259 GEJ393240:GFK393259 GOF393240:GPG393259 GYB393240:GZC393259 HHX393240:HIY393259 HRT393240:HSU393259 IBP393240:ICQ393259 ILL393240:IMM393259 IVH393240:IWI393259 JFD393240:JGE393259 JOZ393240:JQA393259 JYV393240:JZW393259 KIR393240:KJS393259 KSN393240:KTO393259 LCJ393240:LDK393259 LMF393240:LNG393259 LWB393240:LXC393259 MFX393240:MGY393259 MPT393240:MQU393259 MZP393240:NAQ393259 NJL393240:NKM393259 NTH393240:NUI393259 ODD393240:OEE393259 OMZ393240:OOA393259 OWV393240:OXW393259 PGR393240:PHS393259 PQN393240:PRO393259 QAJ393240:QBK393259 QKF393240:QLG393259 QUB393240:QVC393259 RDX393240:REY393259 RNT393240:ROU393259 RXP393240:RYQ393259 SHL393240:SIM393259 SRH393240:SSI393259 TBD393240:TCE393259 TKZ393240:TMA393259 TUV393240:TVW393259 UER393240:UFS393259 UON393240:UPO393259 UYJ393240:UZK393259 VIF393240:VJG393259 VSB393240:VTC393259 WBX393240:WCY393259 WLT393240:WMU393259 WVP393240:WWQ393259 JD458776:KE458795 SZ458776:UA458795 ACV458776:ADW458795 AMR458776:ANS458795 AWN458776:AXO458795 BGJ458776:BHK458795 BQF458776:BRG458795 CAB458776:CBC458795 CJX458776:CKY458795 CTT458776:CUU458795 DDP458776:DEQ458795 DNL458776:DOM458795 DXH458776:DYI458795 EHD458776:EIE458795 EQZ458776:ESA458795 FAV458776:FBW458795 FKR458776:FLS458795 FUN458776:FVO458795 GEJ458776:GFK458795 GOF458776:GPG458795 GYB458776:GZC458795 HHX458776:HIY458795 HRT458776:HSU458795 IBP458776:ICQ458795 ILL458776:IMM458795 IVH458776:IWI458795 JFD458776:JGE458795 JOZ458776:JQA458795 JYV458776:JZW458795 KIR458776:KJS458795 KSN458776:KTO458795 LCJ458776:LDK458795 LMF458776:LNG458795 LWB458776:LXC458795 MFX458776:MGY458795 MPT458776:MQU458795 MZP458776:NAQ458795 NJL458776:NKM458795 NTH458776:NUI458795 ODD458776:OEE458795 OMZ458776:OOA458795 OWV458776:OXW458795 PGR458776:PHS458795 PQN458776:PRO458795 QAJ458776:QBK458795 QKF458776:QLG458795 QUB458776:QVC458795 RDX458776:REY458795 RNT458776:ROU458795 RXP458776:RYQ458795 SHL458776:SIM458795 SRH458776:SSI458795 TBD458776:TCE458795 TKZ458776:TMA458795 TUV458776:TVW458795 UER458776:UFS458795 UON458776:UPO458795 UYJ458776:UZK458795 VIF458776:VJG458795 VSB458776:VTC458795 WBX458776:WCY458795 WLT458776:WMU458795 WVP458776:WWQ458795 JD524312:KE524331 SZ524312:UA524331 ACV524312:ADW524331 AMR524312:ANS524331 AWN524312:AXO524331 BGJ524312:BHK524331 BQF524312:BRG524331 CAB524312:CBC524331 CJX524312:CKY524331 CTT524312:CUU524331 DDP524312:DEQ524331 DNL524312:DOM524331 DXH524312:DYI524331 EHD524312:EIE524331 EQZ524312:ESA524331 FAV524312:FBW524331 FKR524312:FLS524331 FUN524312:FVO524331 GEJ524312:GFK524331 GOF524312:GPG524331 GYB524312:GZC524331 HHX524312:HIY524331 HRT524312:HSU524331 IBP524312:ICQ524331 ILL524312:IMM524331 IVH524312:IWI524331 JFD524312:JGE524331 JOZ524312:JQA524331 JYV524312:JZW524331 KIR524312:KJS524331 KSN524312:KTO524331 LCJ524312:LDK524331 LMF524312:LNG524331 LWB524312:LXC524331 MFX524312:MGY524331 MPT524312:MQU524331 MZP524312:NAQ524331 NJL524312:NKM524331 NTH524312:NUI524331 ODD524312:OEE524331 OMZ524312:OOA524331 OWV524312:OXW524331 PGR524312:PHS524331 PQN524312:PRO524331 QAJ524312:QBK524331 QKF524312:QLG524331 QUB524312:QVC524331 RDX524312:REY524331 RNT524312:ROU524331 RXP524312:RYQ524331 SHL524312:SIM524331 SRH524312:SSI524331 TBD524312:TCE524331 TKZ524312:TMA524331 TUV524312:TVW524331 UER524312:UFS524331 UON524312:UPO524331 UYJ524312:UZK524331 VIF524312:VJG524331 VSB524312:VTC524331 WBX524312:WCY524331 WLT524312:WMU524331 WVP524312:WWQ524331 JD589848:KE589867 SZ589848:UA589867 ACV589848:ADW589867 AMR589848:ANS589867 AWN589848:AXO589867 BGJ589848:BHK589867 BQF589848:BRG589867 CAB589848:CBC589867 CJX589848:CKY589867 CTT589848:CUU589867 DDP589848:DEQ589867 DNL589848:DOM589867 DXH589848:DYI589867 EHD589848:EIE589867 EQZ589848:ESA589867 FAV589848:FBW589867 FKR589848:FLS589867 FUN589848:FVO589867 GEJ589848:GFK589867 GOF589848:GPG589867 GYB589848:GZC589867 HHX589848:HIY589867 HRT589848:HSU589867 IBP589848:ICQ589867 ILL589848:IMM589867 IVH589848:IWI589867 JFD589848:JGE589867 JOZ589848:JQA589867 JYV589848:JZW589867 KIR589848:KJS589867 KSN589848:KTO589867 LCJ589848:LDK589867 LMF589848:LNG589867 LWB589848:LXC589867 MFX589848:MGY589867 MPT589848:MQU589867 MZP589848:NAQ589867 NJL589848:NKM589867 NTH589848:NUI589867 ODD589848:OEE589867 OMZ589848:OOA589867 OWV589848:OXW589867 PGR589848:PHS589867 PQN589848:PRO589867 QAJ589848:QBK589867 QKF589848:QLG589867 QUB589848:QVC589867 RDX589848:REY589867 RNT589848:ROU589867 RXP589848:RYQ589867 SHL589848:SIM589867 SRH589848:SSI589867 TBD589848:TCE589867 TKZ589848:TMA589867 TUV589848:TVW589867 UER589848:UFS589867 UON589848:UPO589867 UYJ589848:UZK589867 VIF589848:VJG589867 VSB589848:VTC589867 WBX589848:WCY589867 WLT589848:WMU589867 WVP589848:WWQ589867 JD655384:KE655403 SZ655384:UA655403 ACV655384:ADW655403 AMR655384:ANS655403 AWN655384:AXO655403 BGJ655384:BHK655403 BQF655384:BRG655403 CAB655384:CBC655403 CJX655384:CKY655403 CTT655384:CUU655403 DDP655384:DEQ655403 DNL655384:DOM655403 DXH655384:DYI655403 EHD655384:EIE655403 EQZ655384:ESA655403 FAV655384:FBW655403 FKR655384:FLS655403 FUN655384:FVO655403 GEJ655384:GFK655403 GOF655384:GPG655403 GYB655384:GZC655403 HHX655384:HIY655403 HRT655384:HSU655403 IBP655384:ICQ655403 ILL655384:IMM655403 IVH655384:IWI655403 JFD655384:JGE655403 JOZ655384:JQA655403 JYV655384:JZW655403 KIR655384:KJS655403 KSN655384:KTO655403 LCJ655384:LDK655403 LMF655384:LNG655403 LWB655384:LXC655403 MFX655384:MGY655403 MPT655384:MQU655403 MZP655384:NAQ655403 NJL655384:NKM655403 NTH655384:NUI655403 ODD655384:OEE655403 OMZ655384:OOA655403 OWV655384:OXW655403 PGR655384:PHS655403 PQN655384:PRO655403 QAJ655384:QBK655403 QKF655384:QLG655403 QUB655384:QVC655403 RDX655384:REY655403 RNT655384:ROU655403 RXP655384:RYQ655403 SHL655384:SIM655403 SRH655384:SSI655403 TBD655384:TCE655403 TKZ655384:TMA655403 TUV655384:TVW655403 UER655384:UFS655403 UON655384:UPO655403 UYJ655384:UZK655403 VIF655384:VJG655403 VSB655384:VTC655403 WBX655384:WCY655403 WLT655384:WMU655403 WVP655384:WWQ655403 JD720920:KE720939 SZ720920:UA720939 ACV720920:ADW720939 AMR720920:ANS720939 AWN720920:AXO720939 BGJ720920:BHK720939 BQF720920:BRG720939 CAB720920:CBC720939 CJX720920:CKY720939 CTT720920:CUU720939 DDP720920:DEQ720939 DNL720920:DOM720939 DXH720920:DYI720939 EHD720920:EIE720939 EQZ720920:ESA720939 FAV720920:FBW720939 FKR720920:FLS720939 FUN720920:FVO720939 GEJ720920:GFK720939 GOF720920:GPG720939 GYB720920:GZC720939 HHX720920:HIY720939 HRT720920:HSU720939 IBP720920:ICQ720939 ILL720920:IMM720939 IVH720920:IWI720939 JFD720920:JGE720939 JOZ720920:JQA720939 JYV720920:JZW720939 KIR720920:KJS720939 KSN720920:KTO720939 LCJ720920:LDK720939 LMF720920:LNG720939 LWB720920:LXC720939 MFX720920:MGY720939 MPT720920:MQU720939 MZP720920:NAQ720939 NJL720920:NKM720939 NTH720920:NUI720939 ODD720920:OEE720939 OMZ720920:OOA720939 OWV720920:OXW720939 PGR720920:PHS720939 PQN720920:PRO720939 QAJ720920:QBK720939 QKF720920:QLG720939 QUB720920:QVC720939 RDX720920:REY720939 RNT720920:ROU720939 RXP720920:RYQ720939 SHL720920:SIM720939 SRH720920:SSI720939 TBD720920:TCE720939 TKZ720920:TMA720939 TUV720920:TVW720939 UER720920:UFS720939 UON720920:UPO720939 UYJ720920:UZK720939 VIF720920:VJG720939 VSB720920:VTC720939 WBX720920:WCY720939 WLT720920:WMU720939 WVP720920:WWQ720939 JD786456:KE786475 SZ786456:UA786475 ACV786456:ADW786475 AMR786456:ANS786475 AWN786456:AXO786475 BGJ786456:BHK786475 BQF786456:BRG786475 CAB786456:CBC786475 CJX786456:CKY786475 CTT786456:CUU786475 DDP786456:DEQ786475 DNL786456:DOM786475 DXH786456:DYI786475 EHD786456:EIE786475 EQZ786456:ESA786475 FAV786456:FBW786475 FKR786456:FLS786475 FUN786456:FVO786475 GEJ786456:GFK786475 GOF786456:GPG786475 GYB786456:GZC786475 HHX786456:HIY786475 HRT786456:HSU786475 IBP786456:ICQ786475 ILL786456:IMM786475 IVH786456:IWI786475 JFD786456:JGE786475 JOZ786456:JQA786475 JYV786456:JZW786475 KIR786456:KJS786475 KSN786456:KTO786475 LCJ786456:LDK786475 LMF786456:LNG786475 LWB786456:LXC786475 MFX786456:MGY786475 MPT786456:MQU786475 MZP786456:NAQ786475 NJL786456:NKM786475 NTH786456:NUI786475 ODD786456:OEE786475 OMZ786456:OOA786475 OWV786456:OXW786475 PGR786456:PHS786475 PQN786456:PRO786475 QAJ786456:QBK786475 QKF786456:QLG786475 QUB786456:QVC786475 RDX786456:REY786475 RNT786456:ROU786475 RXP786456:RYQ786475 SHL786456:SIM786475 SRH786456:SSI786475 TBD786456:TCE786475 TKZ786456:TMA786475 TUV786456:TVW786475 UER786456:UFS786475 UON786456:UPO786475 UYJ786456:UZK786475 VIF786456:VJG786475 VSB786456:VTC786475 WBX786456:WCY786475 WLT786456:WMU786475 WVP786456:WWQ786475 JD851992:KE852011 SZ851992:UA852011 ACV851992:ADW852011 AMR851992:ANS852011 AWN851992:AXO852011 BGJ851992:BHK852011 BQF851992:BRG852011 CAB851992:CBC852011 CJX851992:CKY852011 CTT851992:CUU852011 DDP851992:DEQ852011 DNL851992:DOM852011 DXH851992:DYI852011 EHD851992:EIE852011 EQZ851992:ESA852011 FAV851992:FBW852011 FKR851992:FLS852011 FUN851992:FVO852011 GEJ851992:GFK852011 GOF851992:GPG852011 GYB851992:GZC852011 HHX851992:HIY852011 HRT851992:HSU852011 IBP851992:ICQ852011 ILL851992:IMM852011 IVH851992:IWI852011 JFD851992:JGE852011 JOZ851992:JQA852011 JYV851992:JZW852011 KIR851992:KJS852011 KSN851992:KTO852011 LCJ851992:LDK852011 LMF851992:LNG852011 LWB851992:LXC852011 MFX851992:MGY852011 MPT851992:MQU852011 MZP851992:NAQ852011 NJL851992:NKM852011 NTH851992:NUI852011 ODD851992:OEE852011 OMZ851992:OOA852011 OWV851992:OXW852011 PGR851992:PHS852011 PQN851992:PRO852011 QAJ851992:QBK852011 QKF851992:QLG852011 QUB851992:QVC852011 RDX851992:REY852011 RNT851992:ROU852011 RXP851992:RYQ852011 SHL851992:SIM852011 SRH851992:SSI852011 TBD851992:TCE852011 TKZ851992:TMA852011 TUV851992:TVW852011 UER851992:UFS852011 UON851992:UPO852011 UYJ851992:UZK852011 VIF851992:VJG852011 VSB851992:VTC852011 WBX851992:WCY852011 WLT851992:WMU852011 WVP851992:WWQ852011 JD917528:KE917547 SZ917528:UA917547 ACV917528:ADW917547 AMR917528:ANS917547 AWN917528:AXO917547 BGJ917528:BHK917547 BQF917528:BRG917547 CAB917528:CBC917547 CJX917528:CKY917547 CTT917528:CUU917547 DDP917528:DEQ917547 DNL917528:DOM917547 DXH917528:DYI917547 EHD917528:EIE917547 EQZ917528:ESA917547 FAV917528:FBW917547 FKR917528:FLS917547 FUN917528:FVO917547 GEJ917528:GFK917547 GOF917528:GPG917547 GYB917528:GZC917547 HHX917528:HIY917547 HRT917528:HSU917547 IBP917528:ICQ917547 ILL917528:IMM917547 IVH917528:IWI917547 JFD917528:JGE917547 JOZ917528:JQA917547 JYV917528:JZW917547 KIR917528:KJS917547 KSN917528:KTO917547 LCJ917528:LDK917547 LMF917528:LNG917547 LWB917528:LXC917547 MFX917528:MGY917547 MPT917528:MQU917547 MZP917528:NAQ917547 NJL917528:NKM917547 NTH917528:NUI917547 ODD917528:OEE917547 OMZ917528:OOA917547 OWV917528:OXW917547 PGR917528:PHS917547 PQN917528:PRO917547 QAJ917528:QBK917547 QKF917528:QLG917547 QUB917528:QVC917547 RDX917528:REY917547 RNT917528:ROU917547 RXP917528:RYQ917547 SHL917528:SIM917547 SRH917528:SSI917547 TBD917528:TCE917547 TKZ917528:TMA917547 TUV917528:TVW917547 UER917528:UFS917547 UON917528:UPO917547 UYJ917528:UZK917547 VIF917528:VJG917547 VSB917528:VTC917547 WBX917528:WCY917547 WLT917528:WMU917547 WVP917528:WWQ917547 JD983064:KE983083 SZ983064:UA983083 ACV983064:ADW983083 AMR983064:ANS983083 AWN983064:AXO983083 BGJ983064:BHK983083 BQF983064:BRG983083 CAB983064:CBC983083 CJX983064:CKY983083 CTT983064:CUU983083 DDP983064:DEQ983083 DNL983064:DOM983083 DXH983064:DYI983083 EHD983064:EIE983083 EQZ983064:ESA983083 FAV983064:FBW983083 FKR983064:FLS983083 FUN983064:FVO983083 GEJ983064:GFK983083 GOF983064:GPG983083 GYB983064:GZC983083 HHX983064:HIY983083 HRT983064:HSU983083 IBP983064:ICQ983083 ILL983064:IMM983083 IVH983064:IWI983083 JFD983064:JGE983083 JOZ983064:JQA983083 JYV983064:JZW983083 KIR983064:KJS983083 KSN983064:KTO983083 LCJ983064:LDK983083 LMF983064:LNG983083 LWB983064:LXC983083 MFX983064:MGY983083 MPT983064:MQU983083 MZP983064:NAQ983083 NJL983064:NKM983083 NTH983064:NUI983083 ODD983064:OEE983083 OMZ983064:OOA983083 OWV983064:OXW983083 PGR983064:PHS983083 PQN983064:PRO983083 QAJ983064:QBK983083 QKF983064:QLG983083 QUB983064:QVC983083 RDX983064:REY983083 RNT983064:ROU983083 RXP983064:RYQ983083 SHL983064:SIM983083 SRH983064:SSI983083 TBD983064:TCE983083 TKZ983064:TMA983083 TUV983064:TVW983083 UER983064:UFS983083 UON983064:UPO983083 UYJ983064:UZK983083 VIF983064:VJG983083 WLT983064:WMU983083 SZ65:UA68 ACV65:ADW68 AMR65:ANS68 AWN65:AXO68 BGJ65:BHK68 BQF65:BRG68 CAB65:CBC68 CJX65:CKY68 CTT65:CUU68 DDP65:DEQ68 DNL65:DOM68 DXH65:DYI68 EHD65:EIE68 EQZ65:ESA68 FAV65:FBW68 FKR65:FLS68 FUN65:FVO68 GEJ65:GFK68 GOF65:GPG68 GYB65:GZC68 HHX65:HIY68 HRT65:HSU68 IBP65:ICQ68 ILL65:IMM68 IVH65:IWI68 JFD65:JGE68 JOZ65:JQA68 JYV65:JZW68 KIR65:KJS68 KSN65:KTO68 LCJ65:LDK68 LMF65:LNG68 LWB65:LXC68 MFX65:MGY68 MPT65:MQU68 MZP65:NAQ68 NJL65:NKM68 NTH65:NUI68 ODD65:OEE68 OMZ65:OOA68 OWV65:OXW68 PGR65:PHS68 PQN65:PRO68 QAJ65:QBK68 QKF65:QLG68 QUB65:QVC68 RDX65:REY68 RNT65:ROU68 RXP65:RYQ68 SHL65:SIM68 SRH65:SSI68 TBD65:TCE68 TKZ65:TMA68 TUV65:TVW68 UER65:UFS68 UON65:UPO68 UYJ65:UZK68 VIF65:VJG68 VSB65:VTC68 WBX65:WCY68 WLT65:WMU68 WVP65:WWQ68 JD65:KE68 AR65:AR68 AF917529:AI917548 AK983065:AQ983084 AK917529:AQ917548 AK851993:AQ852012 AK786457:AQ786476 AK720921:AQ720940 AK655385:AQ655404 AK589849:AQ589868 AK524313:AQ524332 AK458777:AQ458796 AK393241:AQ393260 AK327705:AQ327724 AK262169:AQ262188 AK196633:AQ196652 AK131097:AQ131116 AK65561:AQ65580 T262169:X262188 T327705:X327724 T393241:X393260 T458777:X458796 T524313:X524332 T589849:X589868 T655385:X655404 T720921:X720940 T786457:X786476 T851993:X852012 T917529:X917548 T983065:X983084 T65561:X65580 T131097:X131116 T196633:X196652 AF983065:AI983084 AF65561:AI65580 AF131097:AI131116 AF196633:AI196652 AF262169:AI262188 AF327705:AI327724 AF393241:AI393260 AF458777:AI458796 AF524313:AI524332 AF589849:AI589868 AF655385:AI655404 AF720921:AI720940 AF786457:AI786476 AF851993:AI852012 IV11:JW61 AJ11:AJ61 SR11:TS61 ACN11:ADO61 AMJ11:ANK61 AWF11:AXG61 BGB11:BHC61 BPX11:BQY61 BZT11:CAU61 CJP11:CKQ61 CTL11:CUM61 DDH11:DEI61 DND11:DOE61 DWZ11:DYA61 EGV11:EHW61 EQR11:ERS61 FAN11:FBO61 FKJ11:FLK61 FUF11:FVG61 GEB11:GFC61 GNX11:GOY61 GXT11:GYU61 HHP11:HIQ61 HRL11:HSM61 IBH11:ICI61 ILD11:IME61 IUZ11:IWA61 JEV11:JFW61 JOR11:JPS61 JYN11:JZO61 KIJ11:KJK61 KSF11:KTG61 LCB11:LDC61 LLX11:LMY61 LVT11:LWU61 MFP11:MGQ61 MPL11:MQM61 MZH11:NAI61 NJD11:NKE61 NSZ11:NUA61 OCV11:ODW61 OMR11:ONS61 OWN11:OXO61 PGJ11:PHK61 PQF11:PRG61 QAB11:QBC61 QJX11:QKY61 QTT11:QUU61 RDP11:REQ61 RNL11:ROM61 RXH11:RYI61 SHD11:SIE61 SQZ11:SSA61 TAV11:TBW61 TKR11:TLS61 TUN11:TVO61 UEJ11:UFK61 UOF11:UPG61 UYB11:UZC61 VHX11:VIY61 VRT11:VSU61 WBP11:WCQ61 WLL11:WMM61 WVH11:WWI61" xr:uid="{9CED3F26-B77B-4AC5-B641-2202A125C419}">
      <formula1>IF(#REF!="×","")</formula1>
    </dataValidation>
    <dataValidation showErrorMessage="1" sqref="L11:M60" xr:uid="{8FAD4BCB-6F41-4245-A37D-4A73F48E787C}"/>
  </dataValidations>
  <printOptions horizontalCentered="1"/>
  <pageMargins left="0.78740157480314965" right="0.78740157480314965" top="0.59055118110236227" bottom="0.59055118110236227" header="0.51181102362204722" footer="0.51181102362204722"/>
  <pageSetup paperSize="8" scale="2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20CAB-DCAA-4112-B8FB-B0C10D89569C}">
  <sheetPr>
    <pageSetUpPr fitToPage="1"/>
  </sheetPr>
  <dimension ref="A1:F21"/>
  <sheetViews>
    <sheetView showGridLines="0" view="pageBreakPreview" zoomScale="85" zoomScaleNormal="100" zoomScaleSheetLayoutView="85" workbookViewId="0"/>
  </sheetViews>
  <sheetFormatPr defaultColWidth="9" defaultRowHeight="18" customHeight="1"/>
  <cols>
    <col min="1" max="1" width="5" style="456" customWidth="1"/>
    <col min="2" max="2" width="15.625" style="456" customWidth="1"/>
    <col min="3" max="3" width="14.625" style="456" customWidth="1"/>
    <col min="4" max="4" width="23.125" style="456" customWidth="1"/>
    <col min="5" max="6" width="22.875" style="456" customWidth="1"/>
    <col min="7" max="7" width="2.5" style="456" customWidth="1"/>
    <col min="8" max="19" width="3" style="456" customWidth="1"/>
    <col min="20" max="16384" width="9" style="456"/>
  </cols>
  <sheetData>
    <row r="1" spans="1:6" ht="18" customHeight="1" thickBot="1">
      <c r="A1" s="463" t="s">
        <v>743</v>
      </c>
    </row>
    <row r="2" spans="1:6" ht="18" customHeight="1" thickBot="1">
      <c r="D2" s="562" t="s">
        <v>728</v>
      </c>
      <c r="E2" s="1560">
        <f>様式1!U8</f>
        <v>0</v>
      </c>
      <c r="F2" s="1561"/>
    </row>
    <row r="4" spans="1:6" ht="18" customHeight="1">
      <c r="A4" s="1159" t="s">
        <v>742</v>
      </c>
      <c r="B4" s="1159"/>
      <c r="C4" s="1159"/>
      <c r="D4" s="1159"/>
      <c r="E4" s="1159"/>
      <c r="F4" s="1159"/>
    </row>
    <row r="5" spans="1:6" ht="18" customHeight="1" thickBot="1">
      <c r="A5" s="462"/>
      <c r="B5" s="462"/>
      <c r="C5" s="462"/>
      <c r="D5" s="462"/>
      <c r="E5" s="462"/>
      <c r="F5" s="462"/>
    </row>
    <row r="6" spans="1:6" ht="40.15" customHeight="1">
      <c r="A6" s="1562" t="s">
        <v>741</v>
      </c>
      <c r="B6" s="1564" t="s">
        <v>740</v>
      </c>
      <c r="C6" s="1564" t="s">
        <v>739</v>
      </c>
      <c r="D6" s="1564" t="s">
        <v>738</v>
      </c>
      <c r="E6" s="1566" t="s">
        <v>737</v>
      </c>
      <c r="F6" s="1553" t="s">
        <v>736</v>
      </c>
    </row>
    <row r="7" spans="1:6" ht="56.1" customHeight="1" thickBot="1">
      <c r="A7" s="1563"/>
      <c r="B7" s="1565"/>
      <c r="C7" s="1565"/>
      <c r="D7" s="1565"/>
      <c r="E7" s="1567"/>
      <c r="F7" s="1554"/>
    </row>
    <row r="8" spans="1:6" ht="21.75" customHeight="1">
      <c r="A8" s="561" t="s">
        <v>735</v>
      </c>
      <c r="B8" s="560" t="s">
        <v>734</v>
      </c>
      <c r="C8" s="560" t="s">
        <v>733</v>
      </c>
      <c r="D8" s="560" t="s">
        <v>732</v>
      </c>
      <c r="E8" s="559">
        <v>200000</v>
      </c>
      <c r="F8" s="558"/>
    </row>
    <row r="9" spans="1:6" ht="21.75" customHeight="1">
      <c r="A9" s="563"/>
      <c r="B9" s="564"/>
      <c r="C9" s="564"/>
      <c r="D9" s="564"/>
      <c r="E9" s="565"/>
      <c r="F9" s="566"/>
    </row>
    <row r="10" spans="1:6" ht="21.75" customHeight="1">
      <c r="A10" s="563"/>
      <c r="B10" s="564"/>
      <c r="C10" s="564"/>
      <c r="D10" s="564"/>
      <c r="E10" s="565"/>
      <c r="F10" s="566"/>
    </row>
    <row r="11" spans="1:6" ht="21.75" customHeight="1">
      <c r="A11" s="563"/>
      <c r="B11" s="564"/>
      <c r="C11" s="564"/>
      <c r="D11" s="564"/>
      <c r="E11" s="565"/>
      <c r="F11" s="566"/>
    </row>
    <row r="12" spans="1:6" ht="21.75" customHeight="1">
      <c r="A12" s="563"/>
      <c r="B12" s="564"/>
      <c r="C12" s="564"/>
      <c r="D12" s="564"/>
      <c r="E12" s="565"/>
      <c r="F12" s="566"/>
    </row>
    <row r="13" spans="1:6" ht="21.75" customHeight="1">
      <c r="A13" s="563"/>
      <c r="B13" s="564"/>
      <c r="C13" s="564"/>
      <c r="D13" s="564"/>
      <c r="E13" s="565"/>
      <c r="F13" s="566"/>
    </row>
    <row r="14" spans="1:6" ht="21.75" customHeight="1">
      <c r="A14" s="563"/>
      <c r="B14" s="564"/>
      <c r="C14" s="564"/>
      <c r="D14" s="564"/>
      <c r="E14" s="565"/>
      <c r="F14" s="566"/>
    </row>
    <row r="15" spans="1:6" ht="21.75" customHeight="1">
      <c r="A15" s="563"/>
      <c r="B15" s="564"/>
      <c r="C15" s="564"/>
      <c r="D15" s="564"/>
      <c r="E15" s="565"/>
      <c r="F15" s="566"/>
    </row>
    <row r="16" spans="1:6" ht="21.75" customHeight="1">
      <c r="A16" s="563"/>
      <c r="B16" s="564"/>
      <c r="C16" s="564"/>
      <c r="D16" s="564"/>
      <c r="E16" s="565"/>
      <c r="F16" s="566"/>
    </row>
    <row r="17" spans="1:6" ht="21.75" customHeight="1">
      <c r="A17" s="567"/>
      <c r="B17" s="568"/>
      <c r="C17" s="568"/>
      <c r="D17" s="568"/>
      <c r="E17" s="569"/>
      <c r="F17" s="570"/>
    </row>
    <row r="18" spans="1:6" ht="21.75" customHeight="1" thickBot="1">
      <c r="A18" s="1555" t="s">
        <v>731</v>
      </c>
      <c r="B18" s="1556"/>
      <c r="C18" s="1556"/>
      <c r="D18" s="1557"/>
      <c r="E18" s="557">
        <f>SUM(E9:E17)</f>
        <v>0</v>
      </c>
      <c r="F18" s="556">
        <f>SUM(F9:F17)</f>
        <v>0</v>
      </c>
    </row>
    <row r="19" spans="1:6" ht="19.5" customHeight="1">
      <c r="A19" s="555" t="s">
        <v>673</v>
      </c>
      <c r="B19" s="1558" t="s">
        <v>730</v>
      </c>
      <c r="C19" s="1558"/>
      <c r="D19" s="1558"/>
      <c r="E19" s="1558"/>
      <c r="F19" s="1558"/>
    </row>
    <row r="20" spans="1:6" ht="19.5" customHeight="1">
      <c r="A20" s="555"/>
      <c r="B20" s="1558"/>
      <c r="C20" s="1558"/>
      <c r="D20" s="1558"/>
      <c r="E20" s="1558"/>
      <c r="F20" s="1558"/>
    </row>
    <row r="21" spans="1:6" ht="18" customHeight="1">
      <c r="A21" s="554"/>
      <c r="B21" s="1559"/>
      <c r="C21" s="1559"/>
      <c r="D21" s="1559"/>
      <c r="E21" s="1559"/>
      <c r="F21" s="1559"/>
    </row>
  </sheetData>
  <sheetProtection algorithmName="SHA-512" hashValue="OTzOVDsSVvRzHkLLN/oajt1Bx5gMQ74ip4B2DsjDbKMARDe7urVL0G9nFbWUsCTFxD11LZoivuiTlK7dgeu9jg==" saltValue="DDEgBB705U3OMpG3Rd7wzg==" spinCount="100000" sheet="1"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17B59-1257-43CC-92D6-5430A70D9A45}">
  <sheetPr>
    <pageSetUpPr fitToPage="1"/>
  </sheetPr>
  <dimension ref="A1:AD23"/>
  <sheetViews>
    <sheetView showGridLines="0" view="pageBreakPreview" zoomScale="85" zoomScaleNormal="100" zoomScaleSheetLayoutView="85" workbookViewId="0">
      <selection activeCell="I4" sqref="I4:AB6"/>
    </sheetView>
  </sheetViews>
  <sheetFormatPr defaultColWidth="9" defaultRowHeight="18" customHeight="1"/>
  <cols>
    <col min="1" max="1" width="3" style="576" customWidth="1"/>
    <col min="2" max="28" width="3.125" style="576" customWidth="1"/>
    <col min="29" max="29" width="1.625" style="576" customWidth="1"/>
    <col min="30" max="30" width="3" style="576" hidden="1" customWidth="1"/>
    <col min="31" max="31" width="3" style="576" customWidth="1"/>
    <col min="32" max="16384" width="9" style="576"/>
  </cols>
  <sheetData>
    <row r="1" spans="1:28" ht="18" customHeight="1">
      <c r="A1" s="575" t="s">
        <v>752</v>
      </c>
    </row>
    <row r="2" spans="1:28" ht="18" customHeight="1">
      <c r="A2" s="1207" t="str">
        <f>様式1!$AQ$1&amp;様式1!$AQ$2&amp;"年度　賃金改善の誓約書"</f>
        <v>令和８年度　賃金改善の誓約書</v>
      </c>
      <c r="B2" s="1207"/>
      <c r="C2" s="1207"/>
      <c r="D2" s="1207"/>
      <c r="E2" s="1207"/>
      <c r="F2" s="1207"/>
      <c r="G2" s="1207"/>
      <c r="H2" s="1207"/>
      <c r="I2" s="1207"/>
      <c r="J2" s="1207"/>
      <c r="K2" s="1207"/>
      <c r="L2" s="1207"/>
      <c r="M2" s="1207"/>
      <c r="N2" s="1207"/>
      <c r="O2" s="1207"/>
      <c r="P2" s="1207"/>
      <c r="Q2" s="1207"/>
      <c r="R2" s="1207"/>
      <c r="S2" s="1207"/>
      <c r="T2" s="1207"/>
      <c r="U2" s="1207"/>
      <c r="V2" s="1207"/>
      <c r="W2" s="1207"/>
      <c r="X2" s="1207"/>
      <c r="Y2" s="1207"/>
      <c r="Z2" s="1207"/>
      <c r="AA2" s="1207"/>
      <c r="AB2" s="1207"/>
    </row>
    <row r="3" spans="1:28" ht="33" customHeight="1" thickBot="1">
      <c r="A3" s="719"/>
      <c r="B3" s="719"/>
      <c r="C3" s="719"/>
      <c r="D3" s="719"/>
      <c r="E3" s="719"/>
      <c r="F3" s="719"/>
      <c r="G3" s="719"/>
      <c r="H3" s="719"/>
      <c r="I3" s="719"/>
      <c r="J3" s="719"/>
      <c r="K3" s="719"/>
      <c r="L3" s="719"/>
      <c r="M3" s="719"/>
      <c r="N3" s="719"/>
      <c r="O3" s="719"/>
      <c r="P3" s="719"/>
      <c r="Q3" s="719"/>
      <c r="R3" s="719"/>
      <c r="S3" s="719"/>
      <c r="T3" s="719"/>
      <c r="U3" s="719"/>
      <c r="V3" s="719"/>
      <c r="W3" s="719"/>
      <c r="X3" s="719"/>
      <c r="Y3" s="719"/>
      <c r="Z3" s="580"/>
    </row>
    <row r="4" spans="1:28" ht="17.25" customHeight="1">
      <c r="B4" s="582"/>
      <c r="C4" s="582"/>
      <c r="D4" s="582"/>
      <c r="E4" s="582"/>
      <c r="H4" s="720"/>
      <c r="I4" s="1141" t="s">
        <v>508</v>
      </c>
      <c r="J4" s="1208"/>
      <c r="K4" s="1208"/>
      <c r="L4" s="1208"/>
      <c r="M4" s="1208"/>
      <c r="N4" s="1208"/>
      <c r="O4" s="1460" t="str">
        <f>様式3!U8</f>
        <v>横須賀市</v>
      </c>
      <c r="P4" s="1461"/>
      <c r="Q4" s="1461"/>
      <c r="R4" s="1461"/>
      <c r="S4" s="1461"/>
      <c r="T4" s="1461"/>
      <c r="U4" s="1461"/>
      <c r="V4" s="1461"/>
      <c r="W4" s="1461"/>
      <c r="X4" s="1461"/>
      <c r="Y4" s="1461"/>
      <c r="Z4" s="1461"/>
      <c r="AA4" s="1461"/>
      <c r="AB4" s="1462"/>
    </row>
    <row r="5" spans="1:28" ht="17.25" customHeight="1">
      <c r="B5" s="582"/>
      <c r="C5" s="582"/>
      <c r="I5" s="1146" t="s">
        <v>507</v>
      </c>
      <c r="J5" s="1211"/>
      <c r="K5" s="1211"/>
      <c r="L5" s="1211"/>
      <c r="M5" s="1211"/>
      <c r="N5" s="1211"/>
      <c r="O5" s="1463">
        <f>様式3!U9</f>
        <v>0</v>
      </c>
      <c r="P5" s="1464"/>
      <c r="Q5" s="1464"/>
      <c r="R5" s="1464"/>
      <c r="S5" s="1464"/>
      <c r="T5" s="1464"/>
      <c r="U5" s="1464"/>
      <c r="V5" s="1464"/>
      <c r="W5" s="1464"/>
      <c r="X5" s="1464"/>
      <c r="Y5" s="1464"/>
      <c r="Z5" s="1464"/>
      <c r="AA5" s="1464"/>
      <c r="AB5" s="1465"/>
    </row>
    <row r="6" spans="1:28" ht="17.25" customHeight="1" thickBot="1">
      <c r="B6" s="582"/>
      <c r="C6" s="582"/>
      <c r="I6" s="1149" t="s">
        <v>506</v>
      </c>
      <c r="J6" s="1214"/>
      <c r="K6" s="1214"/>
      <c r="L6" s="1214"/>
      <c r="M6" s="1214"/>
      <c r="N6" s="1214"/>
      <c r="O6" s="1457">
        <f>様式3!U10</f>
        <v>0</v>
      </c>
      <c r="P6" s="1458"/>
      <c r="Q6" s="1458"/>
      <c r="R6" s="1458"/>
      <c r="S6" s="1458"/>
      <c r="T6" s="1458"/>
      <c r="U6" s="1458"/>
      <c r="V6" s="1458"/>
      <c r="W6" s="1458"/>
      <c r="X6" s="1458"/>
      <c r="Y6" s="1458"/>
      <c r="Z6" s="1458"/>
      <c r="AA6" s="1458"/>
      <c r="AB6" s="1459"/>
    </row>
    <row r="7" spans="1:28" ht="18" customHeight="1">
      <c r="K7" s="584"/>
      <c r="L7" s="584"/>
      <c r="M7" s="584"/>
      <c r="N7" s="584"/>
      <c r="O7" s="584"/>
      <c r="P7" s="584"/>
      <c r="Q7" s="584"/>
      <c r="R7" s="584"/>
      <c r="S7" s="584"/>
    </row>
    <row r="8" spans="1:28" ht="30" customHeight="1">
      <c r="B8" s="576" t="s">
        <v>751</v>
      </c>
      <c r="K8" s="584"/>
      <c r="L8" s="584"/>
      <c r="M8" s="584"/>
      <c r="N8" s="584"/>
      <c r="O8" s="584"/>
      <c r="P8" s="584"/>
      <c r="Q8" s="584"/>
      <c r="R8" s="584"/>
      <c r="S8" s="584"/>
    </row>
    <row r="9" spans="1:28" s="721" customFormat="1" ht="35.25" customHeight="1">
      <c r="B9" s="1454"/>
      <c r="C9" s="1455"/>
      <c r="D9" s="1455"/>
      <c r="E9" s="1455"/>
      <c r="F9" s="1455"/>
      <c r="G9" s="1455"/>
      <c r="H9" s="1455"/>
      <c r="I9" s="1455"/>
      <c r="J9" s="1455"/>
      <c r="K9" s="1261" t="s">
        <v>612</v>
      </c>
      <c r="L9" s="1262"/>
      <c r="M9" s="1262"/>
      <c r="N9" s="1262"/>
      <c r="O9" s="1262"/>
      <c r="P9" s="1262"/>
      <c r="Q9" s="1262"/>
      <c r="R9" s="1262"/>
      <c r="S9" s="1263"/>
      <c r="T9" s="1454" t="s">
        <v>637</v>
      </c>
      <c r="U9" s="1455"/>
      <c r="V9" s="1455"/>
      <c r="W9" s="1455"/>
      <c r="X9" s="1455"/>
      <c r="Y9" s="1455"/>
      <c r="Z9" s="1455"/>
      <c r="AA9" s="1455"/>
      <c r="AB9" s="1456"/>
    </row>
    <row r="10" spans="1:28" s="721" customFormat="1" ht="27.75" customHeight="1">
      <c r="B10" s="1568" t="s">
        <v>635</v>
      </c>
      <c r="C10" s="1569"/>
      <c r="D10" s="1569"/>
      <c r="E10" s="1569"/>
      <c r="F10" s="1569"/>
      <c r="G10" s="1569"/>
      <c r="H10" s="1569"/>
      <c r="I10" s="1569"/>
      <c r="J10" s="1570"/>
      <c r="K10" s="1440" t="e">
        <f>【参考】計算結果!$D$14</f>
        <v>#N/A</v>
      </c>
      <c r="L10" s="1440"/>
      <c r="M10" s="1440"/>
      <c r="N10" s="1440"/>
      <c r="O10" s="1440"/>
      <c r="P10" s="1440"/>
      <c r="Q10" s="1440"/>
      <c r="R10" s="1440"/>
      <c r="S10" s="692" t="s">
        <v>609</v>
      </c>
      <c r="T10" s="1450">
        <f>【参考】計算結果!$D$20</f>
        <v>0</v>
      </c>
      <c r="U10" s="1450"/>
      <c r="V10" s="1450"/>
      <c r="W10" s="1450"/>
      <c r="X10" s="1450"/>
      <c r="Y10" s="1450"/>
      <c r="Z10" s="1450"/>
      <c r="AA10" s="1450"/>
      <c r="AB10" s="692" t="s">
        <v>609</v>
      </c>
    </row>
    <row r="11" spans="1:28" s="722" customFormat="1" ht="18" customHeight="1">
      <c r="B11" s="723"/>
      <c r="K11" s="724"/>
      <c r="L11" s="724"/>
      <c r="M11" s="724"/>
      <c r="N11" s="724"/>
      <c r="O11" s="724"/>
      <c r="P11" s="724"/>
      <c r="Q11" s="724"/>
      <c r="R11" s="724"/>
      <c r="S11" s="724"/>
    </row>
    <row r="12" spans="1:28" ht="24.75" customHeight="1">
      <c r="B12" s="1573" t="s">
        <v>750</v>
      </c>
      <c r="C12" s="1573"/>
      <c r="D12" s="1573"/>
      <c r="E12" s="1573"/>
      <c r="F12" s="1573"/>
      <c r="G12" s="1573"/>
      <c r="H12" s="1573"/>
      <c r="I12" s="1573"/>
      <c r="J12" s="1573"/>
      <c r="K12" s="1573"/>
      <c r="L12" s="1573"/>
      <c r="M12" s="1573"/>
      <c r="N12" s="1573"/>
      <c r="O12" s="1573"/>
      <c r="P12" s="1573"/>
      <c r="Q12" s="1573"/>
      <c r="R12" s="1573"/>
      <c r="S12" s="1573"/>
      <c r="T12" s="1573"/>
      <c r="U12" s="1573"/>
      <c r="V12" s="1573"/>
      <c r="W12" s="1573"/>
      <c r="X12" s="1573"/>
      <c r="Y12" s="1573"/>
      <c r="Z12" s="1573"/>
      <c r="AA12" s="1573"/>
      <c r="AB12" s="1573"/>
    </row>
    <row r="13" spans="1:28" s="586" customFormat="1" ht="30.75" customHeight="1">
      <c r="B13" s="1574" t="s">
        <v>749</v>
      </c>
      <c r="C13" s="1574"/>
      <c r="D13" s="1574"/>
      <c r="E13" s="1574"/>
      <c r="F13" s="1574"/>
      <c r="G13" s="1574"/>
      <c r="H13" s="1574"/>
      <c r="I13" s="1574"/>
      <c r="J13" s="1574"/>
      <c r="K13" s="1574"/>
      <c r="L13" s="1574"/>
      <c r="M13" s="1574"/>
      <c r="N13" s="1574"/>
      <c r="O13" s="1574"/>
      <c r="P13" s="1574"/>
      <c r="Q13" s="1574"/>
      <c r="R13" s="1574"/>
      <c r="S13" s="1574"/>
      <c r="T13" s="1574"/>
      <c r="U13" s="1574"/>
      <c r="V13" s="1574"/>
      <c r="W13" s="1574"/>
      <c r="X13" s="1574"/>
      <c r="Y13" s="1574"/>
      <c r="Z13" s="1574"/>
      <c r="AA13" s="1574"/>
      <c r="AB13" s="1574"/>
    </row>
    <row r="14" spans="1:28" ht="33" customHeight="1">
      <c r="B14" s="1575" t="s">
        <v>747</v>
      </c>
      <c r="C14" s="1575"/>
      <c r="D14" s="1576" t="s">
        <v>748</v>
      </c>
      <c r="E14" s="1576"/>
      <c r="F14" s="1576"/>
      <c r="G14" s="1576"/>
      <c r="H14" s="1576"/>
      <c r="I14" s="1576"/>
      <c r="J14" s="1576"/>
      <c r="K14" s="1576"/>
      <c r="L14" s="1576"/>
      <c r="M14" s="1576"/>
      <c r="N14" s="1576"/>
      <c r="O14" s="1576"/>
      <c r="P14" s="1576"/>
      <c r="Q14" s="1576"/>
      <c r="R14" s="1576"/>
      <c r="S14" s="1576"/>
      <c r="T14" s="1576"/>
      <c r="U14" s="1576"/>
      <c r="V14" s="1576"/>
      <c r="W14" s="1576"/>
      <c r="X14" s="1576"/>
      <c r="Y14" s="1576"/>
      <c r="Z14" s="1576"/>
      <c r="AA14" s="1576"/>
      <c r="AB14" s="1576"/>
    </row>
    <row r="15" spans="1:28" ht="33" customHeight="1">
      <c r="B15" s="1575" t="s">
        <v>747</v>
      </c>
      <c r="C15" s="1575"/>
      <c r="D15" s="1576" t="s">
        <v>746</v>
      </c>
      <c r="E15" s="1576"/>
      <c r="F15" s="1576"/>
      <c r="G15" s="1576"/>
      <c r="H15" s="1576"/>
      <c r="I15" s="1576"/>
      <c r="J15" s="1576"/>
      <c r="K15" s="1576"/>
      <c r="L15" s="1576"/>
      <c r="M15" s="1576"/>
      <c r="N15" s="1576"/>
      <c r="O15" s="1576"/>
      <c r="P15" s="1576"/>
      <c r="Q15" s="1576"/>
      <c r="R15" s="1576"/>
      <c r="S15" s="1576"/>
      <c r="T15" s="1576"/>
      <c r="U15" s="1576"/>
      <c r="V15" s="1576"/>
      <c r="W15" s="1576"/>
      <c r="X15" s="1576"/>
      <c r="Y15" s="1576"/>
      <c r="Z15" s="1576"/>
      <c r="AA15" s="1576"/>
      <c r="AB15" s="1576"/>
    </row>
    <row r="16" spans="1:28" s="722" customFormat="1" ht="13.5" customHeight="1">
      <c r="B16" s="723"/>
      <c r="K16" s="724"/>
      <c r="L16" s="724"/>
      <c r="M16" s="724"/>
      <c r="N16" s="724"/>
      <c r="O16" s="724"/>
      <c r="P16" s="724"/>
      <c r="Q16" s="724"/>
      <c r="R16" s="724"/>
      <c r="S16" s="724"/>
    </row>
    <row r="17" spans="1:28" ht="118.15" customHeight="1">
      <c r="A17" s="725"/>
      <c r="B17" s="1577" t="s">
        <v>745</v>
      </c>
      <c r="C17" s="1577"/>
      <c r="D17" s="1577"/>
      <c r="E17" s="1577"/>
      <c r="F17" s="1577"/>
      <c r="G17" s="1577"/>
      <c r="H17" s="1577"/>
      <c r="I17" s="1577"/>
      <c r="J17" s="1577"/>
      <c r="K17" s="1577"/>
      <c r="L17" s="1577"/>
      <c r="M17" s="1577"/>
      <c r="N17" s="1577"/>
      <c r="O17" s="1577"/>
      <c r="P17" s="1577"/>
      <c r="Q17" s="1577"/>
      <c r="R17" s="1577"/>
      <c r="S17" s="1577"/>
      <c r="T17" s="1577"/>
      <c r="U17" s="1577"/>
      <c r="V17" s="1577"/>
      <c r="W17" s="1577"/>
      <c r="X17" s="1577"/>
      <c r="Y17" s="1577"/>
      <c r="Z17" s="1577"/>
      <c r="AA17" s="1577"/>
      <c r="AB17" s="1577"/>
    </row>
    <row r="18" spans="1:28" ht="10.15" customHeight="1">
      <c r="A18" s="709"/>
      <c r="B18" s="726"/>
      <c r="C18" s="726"/>
      <c r="D18" s="726"/>
      <c r="E18" s="726"/>
      <c r="F18" s="726"/>
      <c r="G18" s="726"/>
      <c r="H18" s="726"/>
      <c r="I18" s="726"/>
      <c r="J18" s="726"/>
      <c r="K18" s="726"/>
      <c r="L18" s="726"/>
      <c r="M18" s="726"/>
      <c r="N18" s="726"/>
      <c r="O18" s="726"/>
      <c r="P18" s="726"/>
      <c r="Q18" s="726"/>
      <c r="R18" s="726"/>
      <c r="S18" s="726"/>
      <c r="T18" s="726"/>
      <c r="U18" s="726"/>
      <c r="V18" s="726"/>
      <c r="W18" s="726"/>
      <c r="X18" s="726"/>
      <c r="Y18" s="726"/>
      <c r="Z18" s="726"/>
      <c r="AA18" s="726"/>
      <c r="AB18" s="726"/>
    </row>
    <row r="19" spans="1:28" ht="36" customHeight="1">
      <c r="B19" s="1573" t="s">
        <v>744</v>
      </c>
      <c r="C19" s="1573"/>
      <c r="D19" s="1573"/>
      <c r="E19" s="1573"/>
      <c r="F19" s="1573"/>
      <c r="G19" s="1573"/>
      <c r="H19" s="1573"/>
      <c r="I19" s="1573"/>
      <c r="J19" s="1573"/>
      <c r="K19" s="1573"/>
      <c r="L19" s="1573"/>
      <c r="M19" s="1573"/>
      <c r="N19" s="1573"/>
      <c r="O19" s="1573"/>
      <c r="P19" s="1573"/>
      <c r="Q19" s="1573"/>
      <c r="R19" s="1573"/>
      <c r="S19" s="1573"/>
      <c r="T19" s="1573"/>
      <c r="U19" s="1573"/>
      <c r="V19" s="1573"/>
      <c r="W19" s="1573"/>
      <c r="X19" s="1573"/>
      <c r="Y19" s="1573"/>
      <c r="Z19" s="1573"/>
      <c r="AA19" s="1573"/>
      <c r="AB19" s="1573"/>
    </row>
    <row r="21" spans="1:28" ht="18" customHeight="1">
      <c r="J21" s="1572" t="s">
        <v>513</v>
      </c>
      <c r="K21" s="1572"/>
      <c r="L21" s="1572"/>
      <c r="M21" s="1572"/>
      <c r="N21" s="1572"/>
      <c r="O21" s="1572"/>
      <c r="P21" s="1572"/>
      <c r="R21" s="1435"/>
      <c r="S21" s="1435"/>
      <c r="T21" s="1435"/>
      <c r="U21" s="1435"/>
      <c r="V21" s="1435"/>
      <c r="W21" s="1435"/>
      <c r="X21" s="1435"/>
      <c r="Y21" s="1435"/>
      <c r="Z21" s="1435"/>
      <c r="AA21" s="1435"/>
      <c r="AB21" s="1435"/>
    </row>
    <row r="22" spans="1:28" ht="18" customHeight="1">
      <c r="L22" s="1578" t="s">
        <v>512</v>
      </c>
      <c r="M22" s="1578"/>
      <c r="N22" s="1578"/>
      <c r="O22" s="1578"/>
      <c r="P22" s="1578"/>
      <c r="Q22" s="1578"/>
      <c r="R22" s="1163"/>
      <c r="S22" s="1163"/>
      <c r="T22" s="1163"/>
      <c r="U22" s="1163"/>
      <c r="V22" s="1163"/>
      <c r="W22" s="1163"/>
      <c r="X22" s="1163"/>
      <c r="Y22" s="1163"/>
      <c r="Z22" s="1163"/>
      <c r="AA22" s="1163"/>
      <c r="AB22" s="1163"/>
    </row>
    <row r="23" spans="1:28" ht="18" customHeight="1">
      <c r="L23" s="1571" t="s">
        <v>511</v>
      </c>
      <c r="M23" s="1571"/>
      <c r="N23" s="1571"/>
      <c r="O23" s="1571"/>
      <c r="P23" s="1571"/>
      <c r="Q23" s="1571"/>
      <c r="R23" s="1154"/>
      <c r="S23" s="1154"/>
      <c r="T23" s="1154"/>
      <c r="U23" s="1154"/>
      <c r="V23" s="1154"/>
      <c r="W23" s="1154"/>
      <c r="X23" s="1154"/>
      <c r="Y23" s="1154"/>
      <c r="Z23" s="1154"/>
      <c r="AA23" s="1154"/>
      <c r="AB23" s="1154"/>
    </row>
  </sheetData>
  <sheetProtection algorithmName="SHA-512" hashValue="tvtcj3SzQSKZ0iaXXhIItXCvQmlQw20icLen5qCKbejTcPr7zMGbiOJJ0LcXUtoU1SA6UXG7Mwy4lTw/iSB1Sg==" saltValue="ck5GFjjI74XSwaHcd5RdyQ==" spinCount="100000" sheet="1" objects="1" scenarios="1"/>
  <mergeCells count="27">
    <mergeCell ref="L23:Q23"/>
    <mergeCell ref="R23:AB23"/>
    <mergeCell ref="J21:P21"/>
    <mergeCell ref="R21:AB21"/>
    <mergeCell ref="B12:AB12"/>
    <mergeCell ref="B13:AB13"/>
    <mergeCell ref="B19:AB19"/>
    <mergeCell ref="B14:C14"/>
    <mergeCell ref="D14:AB14"/>
    <mergeCell ref="B15:C15"/>
    <mergeCell ref="D15:AB15"/>
    <mergeCell ref="B17:AB17"/>
    <mergeCell ref="L22:Q22"/>
    <mergeCell ref="R22:AB22"/>
    <mergeCell ref="A2:AB2"/>
    <mergeCell ref="K9:S9"/>
    <mergeCell ref="T9:AB9"/>
    <mergeCell ref="B10:J10"/>
    <mergeCell ref="K10:R10"/>
    <mergeCell ref="T10:AA10"/>
    <mergeCell ref="I4:N4"/>
    <mergeCell ref="O4:AB4"/>
    <mergeCell ref="I5:N5"/>
    <mergeCell ref="O5:AB5"/>
    <mergeCell ref="I6:N6"/>
    <mergeCell ref="B9:J9"/>
    <mergeCell ref="O6:AB6"/>
  </mergeCells>
  <phoneticPr fontId="4"/>
  <dataValidations count="1">
    <dataValidation type="list" allowBlank="1" showInputMessage="1" showErrorMessage="1" sqref="B14:C15"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88" fitToHeight="0" orientation="portrait" r:id="rId1"/>
  <headerFooter alignWithMargins="0"/>
  <rowBreaks count="1" manualBreakCount="1">
    <brk id="24" max="27"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6CD8F-7436-4C9A-B026-5AE9F0D81486}">
  <sheetPr>
    <pageSetUpPr fitToPage="1"/>
  </sheetPr>
  <dimension ref="A1:AL38"/>
  <sheetViews>
    <sheetView showGridLines="0" view="pageBreakPreview" zoomScale="85" zoomScaleNormal="70" zoomScaleSheetLayoutView="85" workbookViewId="0">
      <selection activeCell="BE17" sqref="BE17"/>
    </sheetView>
  </sheetViews>
  <sheetFormatPr defaultColWidth="2.375" defaultRowHeight="13.5"/>
  <cols>
    <col min="1" max="1" width="2.375" style="727"/>
    <col min="2" max="37" width="2.375" style="737"/>
    <col min="38" max="16384" width="2.375" style="727"/>
  </cols>
  <sheetData>
    <row r="1" spans="1:38">
      <c r="B1" s="728" t="s">
        <v>763</v>
      </c>
      <c r="C1" s="729"/>
      <c r="D1" s="729"/>
      <c r="E1" s="729"/>
      <c r="F1" s="729"/>
      <c r="G1" s="729"/>
      <c r="H1" s="729"/>
      <c r="I1" s="729"/>
      <c r="J1" s="729"/>
      <c r="K1" s="729"/>
      <c r="L1" s="729"/>
      <c r="M1" s="729"/>
      <c r="N1" s="729"/>
      <c r="O1" s="729"/>
      <c r="P1" s="729"/>
      <c r="Q1" s="729"/>
      <c r="R1" s="729"/>
      <c r="S1" s="729"/>
      <c r="T1" s="729"/>
      <c r="U1" s="729"/>
      <c r="V1" s="729"/>
      <c r="W1" s="729"/>
      <c r="X1" s="729"/>
      <c r="Y1" s="729"/>
      <c r="Z1" s="730"/>
      <c r="AA1" s="730"/>
      <c r="AB1" s="730"/>
      <c r="AC1" s="730"/>
      <c r="AD1" s="730"/>
      <c r="AE1" s="730"/>
      <c r="AF1" s="730"/>
      <c r="AG1" s="730"/>
      <c r="AH1" s="730"/>
      <c r="AI1" s="730"/>
      <c r="AJ1" s="730"/>
      <c r="AK1" s="730"/>
    </row>
    <row r="2" spans="1:38">
      <c r="B2" s="729"/>
      <c r="C2" s="729"/>
      <c r="D2" s="729"/>
      <c r="E2" s="729"/>
      <c r="F2" s="729"/>
      <c r="G2" s="729"/>
      <c r="H2" s="729"/>
      <c r="I2" s="729"/>
      <c r="J2" s="729"/>
      <c r="K2" s="729"/>
      <c r="L2" s="729"/>
      <c r="M2" s="729"/>
      <c r="N2" s="729"/>
      <c r="O2" s="729"/>
      <c r="P2" s="729"/>
      <c r="Q2" s="729"/>
      <c r="R2" s="729"/>
      <c r="S2" s="729"/>
      <c r="T2" s="729"/>
      <c r="U2" s="729"/>
      <c r="V2" s="729"/>
      <c r="W2" s="729"/>
      <c r="X2" s="729"/>
      <c r="Y2" s="729"/>
      <c r="Z2" s="729"/>
      <c r="AA2" s="729"/>
      <c r="AB2" s="729"/>
      <c r="AC2" s="729"/>
      <c r="AD2" s="729"/>
      <c r="AE2" s="729"/>
      <c r="AF2" s="729"/>
      <c r="AG2" s="729"/>
      <c r="AH2" s="729"/>
      <c r="AI2" s="729"/>
      <c r="AJ2" s="729"/>
      <c r="AK2" s="729"/>
    </row>
    <row r="3" spans="1:38" ht="17.25">
      <c r="B3" s="1595" t="s">
        <v>762</v>
      </c>
      <c r="C3" s="1595"/>
      <c r="D3" s="1595"/>
      <c r="E3" s="1595"/>
      <c r="F3" s="1595"/>
      <c r="G3" s="1595"/>
      <c r="H3" s="1595"/>
      <c r="I3" s="1595"/>
      <c r="J3" s="1595"/>
      <c r="K3" s="1595"/>
      <c r="L3" s="1595"/>
      <c r="M3" s="1595"/>
      <c r="N3" s="1595"/>
      <c r="O3" s="1595"/>
      <c r="P3" s="1595"/>
      <c r="Q3" s="1595"/>
      <c r="R3" s="1595"/>
      <c r="S3" s="1595"/>
      <c r="T3" s="1595"/>
      <c r="U3" s="1595"/>
      <c r="V3" s="1595"/>
      <c r="W3" s="1595"/>
      <c r="X3" s="1596" t="str">
        <f>様式1!$AQ$2</f>
        <v>８</v>
      </c>
      <c r="Y3" s="1596"/>
      <c r="Z3" s="731" t="s">
        <v>761</v>
      </c>
      <c r="AA3" s="731"/>
      <c r="AB3" s="731"/>
      <c r="AC3" s="732"/>
      <c r="AD3" s="733"/>
      <c r="AE3" s="733"/>
      <c r="AF3" s="733"/>
      <c r="AG3" s="729"/>
      <c r="AH3" s="729"/>
      <c r="AI3" s="729"/>
      <c r="AJ3" s="729"/>
      <c r="AK3" s="729"/>
    </row>
    <row r="4" spans="1:38">
      <c r="B4" s="729"/>
      <c r="C4" s="729"/>
      <c r="D4" s="729"/>
      <c r="E4" s="729"/>
      <c r="F4" s="729"/>
      <c r="G4" s="729"/>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729"/>
      <c r="AH4" s="729"/>
      <c r="AI4" s="729"/>
      <c r="AJ4" s="729"/>
      <c r="AK4" s="729"/>
    </row>
    <row r="5" spans="1:38" s="576" customFormat="1" ht="17.25" customHeight="1">
      <c r="A5" s="722"/>
      <c r="B5" s="722"/>
      <c r="F5" s="582"/>
      <c r="G5" s="582"/>
      <c r="M5" s="609"/>
      <c r="N5" s="609"/>
      <c r="O5" s="609"/>
      <c r="P5" s="609"/>
      <c r="Q5" s="722"/>
      <c r="R5" s="722"/>
      <c r="S5" s="722"/>
      <c r="T5" s="722"/>
      <c r="U5" s="722"/>
      <c r="V5" s="722"/>
      <c r="W5" s="722"/>
      <c r="X5" s="722"/>
      <c r="Y5" s="722"/>
      <c r="Z5" s="722"/>
      <c r="AA5" s="722"/>
      <c r="AB5" s="722"/>
      <c r="AC5" s="722"/>
      <c r="AD5" s="722"/>
      <c r="AE5" s="722"/>
      <c r="AF5" s="722"/>
      <c r="AG5" s="722"/>
      <c r="AH5" s="722"/>
      <c r="AI5" s="722"/>
      <c r="AJ5" s="722"/>
      <c r="AK5" s="722"/>
      <c r="AL5" s="722"/>
    </row>
    <row r="6" spans="1:38" s="576" customFormat="1" ht="17.25" customHeight="1">
      <c r="A6" s="722"/>
      <c r="B6" s="722"/>
      <c r="F6" s="1140" t="str">
        <f>様式1!F5</f>
        <v>横須賀市長　殿</v>
      </c>
      <c r="G6" s="1140"/>
      <c r="H6" s="1140"/>
      <c r="I6" s="1140"/>
      <c r="J6" s="1140"/>
      <c r="K6" s="1140"/>
      <c r="L6" s="1140"/>
      <c r="M6" s="609"/>
      <c r="N6" s="609"/>
      <c r="O6" s="609"/>
      <c r="P6" s="722"/>
      <c r="Q6" s="722"/>
      <c r="R6" s="722"/>
      <c r="S6" s="722"/>
      <c r="T6" s="722"/>
      <c r="U6" s="722"/>
      <c r="V6" s="722"/>
      <c r="W6" s="722"/>
      <c r="X6" s="722"/>
      <c r="Y6" s="722"/>
      <c r="Z6" s="722"/>
      <c r="AA6" s="722"/>
      <c r="AB6" s="722"/>
      <c r="AC6" s="722"/>
      <c r="AD6" s="722"/>
      <c r="AE6" s="722"/>
      <c r="AF6" s="722"/>
      <c r="AG6" s="722"/>
      <c r="AH6" s="722"/>
      <c r="AI6" s="722"/>
      <c r="AJ6" s="722"/>
      <c r="AK6" s="722"/>
      <c r="AL6" s="722"/>
    </row>
    <row r="7" spans="1:38" s="576" customFormat="1" ht="17.25" customHeight="1" thickBot="1">
      <c r="A7" s="722"/>
      <c r="B7" s="722"/>
      <c r="C7" s="722"/>
      <c r="D7" s="722"/>
      <c r="E7" s="722"/>
      <c r="F7" s="609"/>
      <c r="G7" s="609"/>
      <c r="H7" s="609"/>
      <c r="I7" s="609"/>
      <c r="J7" s="609"/>
      <c r="K7" s="609"/>
      <c r="L7" s="609"/>
      <c r="M7" s="609"/>
      <c r="N7" s="609"/>
      <c r="O7" s="609"/>
      <c r="P7" s="609"/>
      <c r="Q7" s="609"/>
      <c r="R7" s="609"/>
      <c r="S7" s="609"/>
      <c r="T7" s="722"/>
      <c r="U7" s="722"/>
      <c r="V7" s="722"/>
      <c r="W7" s="722"/>
      <c r="X7" s="722"/>
      <c r="Z7" s="734"/>
      <c r="AL7" s="722"/>
    </row>
    <row r="8" spans="1:38" s="576" customFormat="1" ht="17.25" customHeight="1">
      <c r="A8" s="722"/>
      <c r="B8" s="722"/>
      <c r="C8" s="722"/>
      <c r="D8" s="722"/>
      <c r="E8" s="722"/>
      <c r="F8" s="609"/>
      <c r="G8" s="609"/>
      <c r="H8" s="722"/>
      <c r="I8" s="722"/>
      <c r="J8" s="722"/>
      <c r="K8" s="722"/>
      <c r="L8" s="722"/>
      <c r="M8" s="722"/>
      <c r="N8" s="722"/>
      <c r="O8" s="722"/>
      <c r="P8" s="722"/>
      <c r="Q8" s="1600" t="s">
        <v>508</v>
      </c>
      <c r="R8" s="1601"/>
      <c r="S8" s="1601"/>
      <c r="T8" s="1601"/>
      <c r="U8" s="1601"/>
      <c r="V8" s="1601"/>
      <c r="W8" s="1601"/>
      <c r="X8" s="1601"/>
      <c r="Y8" s="1460" t="str">
        <f>様式1!U7</f>
        <v>横須賀市</v>
      </c>
      <c r="Z8" s="1461"/>
      <c r="AA8" s="1461"/>
      <c r="AB8" s="1461"/>
      <c r="AC8" s="1461"/>
      <c r="AD8" s="1461"/>
      <c r="AE8" s="1461"/>
      <c r="AF8" s="1461"/>
      <c r="AG8" s="1461"/>
      <c r="AH8" s="1461"/>
      <c r="AI8" s="1461"/>
      <c r="AJ8" s="1461"/>
      <c r="AK8" s="1462"/>
      <c r="AL8" s="722"/>
    </row>
    <row r="9" spans="1:38" s="576" customFormat="1" ht="17.25" customHeight="1">
      <c r="A9" s="722"/>
      <c r="B9" s="722"/>
      <c r="C9" s="722"/>
      <c r="D9" s="722"/>
      <c r="E9" s="722"/>
      <c r="F9" s="609"/>
      <c r="G9" s="609"/>
      <c r="H9" s="722"/>
      <c r="I9" s="722"/>
      <c r="J9" s="722"/>
      <c r="K9" s="722"/>
      <c r="L9" s="722"/>
      <c r="M9" s="722"/>
      <c r="N9" s="722"/>
      <c r="O9" s="722"/>
      <c r="P9" s="722"/>
      <c r="Q9" s="1588" t="s">
        <v>507</v>
      </c>
      <c r="R9" s="1589"/>
      <c r="S9" s="1589"/>
      <c r="T9" s="1589"/>
      <c r="U9" s="1589"/>
      <c r="V9" s="1589"/>
      <c r="W9" s="1589"/>
      <c r="X9" s="1589"/>
      <c r="Y9" s="1463">
        <f>様式1!U8</f>
        <v>0</v>
      </c>
      <c r="Z9" s="1464"/>
      <c r="AA9" s="1464"/>
      <c r="AB9" s="1464"/>
      <c r="AC9" s="1464"/>
      <c r="AD9" s="1464"/>
      <c r="AE9" s="1464"/>
      <c r="AF9" s="1464"/>
      <c r="AG9" s="1464"/>
      <c r="AH9" s="1464"/>
      <c r="AI9" s="1464"/>
      <c r="AJ9" s="1464"/>
      <c r="AK9" s="1465"/>
      <c r="AL9" s="722"/>
    </row>
    <row r="10" spans="1:38" s="576" customFormat="1" ht="17.25" customHeight="1">
      <c r="A10" s="722"/>
      <c r="B10" s="722"/>
      <c r="C10" s="722"/>
      <c r="D10" s="722"/>
      <c r="E10" s="722"/>
      <c r="F10" s="609"/>
      <c r="G10" s="609"/>
      <c r="H10" s="722"/>
      <c r="I10" s="722"/>
      <c r="J10" s="722"/>
      <c r="K10" s="722"/>
      <c r="L10" s="722"/>
      <c r="M10" s="722"/>
      <c r="N10" s="722"/>
      <c r="O10" s="722"/>
      <c r="P10" s="722"/>
      <c r="Q10" s="1588" t="s">
        <v>506</v>
      </c>
      <c r="R10" s="1589"/>
      <c r="S10" s="1589"/>
      <c r="T10" s="1589"/>
      <c r="U10" s="1589"/>
      <c r="V10" s="1589"/>
      <c r="W10" s="1589"/>
      <c r="X10" s="1589"/>
      <c r="Y10" s="1463">
        <f>様式1!U9</f>
        <v>0</v>
      </c>
      <c r="Z10" s="1464"/>
      <c r="AA10" s="1464"/>
      <c r="AB10" s="1464"/>
      <c r="AC10" s="1464"/>
      <c r="AD10" s="1464"/>
      <c r="AE10" s="1464"/>
      <c r="AF10" s="1464"/>
      <c r="AG10" s="1464"/>
      <c r="AH10" s="1464"/>
      <c r="AI10" s="1464"/>
      <c r="AJ10" s="1464"/>
      <c r="AK10" s="1465"/>
      <c r="AL10" s="722"/>
    </row>
    <row r="11" spans="1:38" s="576" customFormat="1" ht="17.25" customHeight="1">
      <c r="A11" s="722"/>
      <c r="B11" s="722"/>
      <c r="C11" s="722"/>
      <c r="D11" s="722"/>
      <c r="E11" s="722"/>
      <c r="F11" s="609"/>
      <c r="G11" s="609"/>
      <c r="H11" s="722"/>
      <c r="I11" s="722"/>
      <c r="J11" s="722"/>
      <c r="K11" s="722"/>
      <c r="L11" s="722"/>
      <c r="M11" s="722"/>
      <c r="N11" s="722"/>
      <c r="O11" s="722"/>
      <c r="P11" s="722"/>
      <c r="Q11" s="1588" t="s">
        <v>760</v>
      </c>
      <c r="R11" s="1589"/>
      <c r="S11" s="1589"/>
      <c r="T11" s="1589"/>
      <c r="U11" s="1589"/>
      <c r="V11" s="1589"/>
      <c r="W11" s="1589"/>
      <c r="X11" s="1589"/>
      <c r="Y11" s="1590"/>
      <c r="Z11" s="1591"/>
      <c r="AA11" s="1591"/>
      <c r="AB11" s="1591"/>
      <c r="AC11" s="1591"/>
      <c r="AD11" s="1591"/>
      <c r="AE11" s="1591"/>
      <c r="AF11" s="1591"/>
      <c r="AG11" s="1591"/>
      <c r="AH11" s="1591"/>
      <c r="AI11" s="1591"/>
      <c r="AJ11" s="1591"/>
      <c r="AK11" s="1592"/>
      <c r="AL11" s="722"/>
    </row>
    <row r="12" spans="1:38" s="576" customFormat="1" ht="17.25" customHeight="1" thickBot="1">
      <c r="A12" s="722"/>
      <c r="B12" s="722"/>
      <c r="C12" s="722"/>
      <c r="D12" s="722"/>
      <c r="E12" s="722"/>
      <c r="F12" s="609"/>
      <c r="G12" s="609"/>
      <c r="H12" s="722"/>
      <c r="I12" s="722"/>
      <c r="J12" s="722"/>
      <c r="K12" s="722"/>
      <c r="L12" s="722"/>
      <c r="M12" s="722"/>
      <c r="N12" s="722"/>
      <c r="O12" s="722"/>
      <c r="P12" s="722"/>
      <c r="Q12" s="1593" t="s">
        <v>511</v>
      </c>
      <c r="R12" s="1594"/>
      <c r="S12" s="1594"/>
      <c r="T12" s="1594"/>
      <c r="U12" s="1594"/>
      <c r="V12" s="1594"/>
      <c r="W12" s="1594"/>
      <c r="X12" s="1594"/>
      <c r="Y12" s="1602"/>
      <c r="Z12" s="1603"/>
      <c r="AA12" s="1603"/>
      <c r="AB12" s="1603"/>
      <c r="AC12" s="1603"/>
      <c r="AD12" s="1603"/>
      <c r="AE12" s="1603"/>
      <c r="AF12" s="1603"/>
      <c r="AG12" s="1603"/>
      <c r="AH12" s="1603"/>
      <c r="AI12" s="1603"/>
      <c r="AJ12" s="1603"/>
      <c r="AK12" s="1604"/>
      <c r="AL12" s="722"/>
    </row>
    <row r="13" spans="1:38">
      <c r="B13" s="729"/>
      <c r="C13" s="729"/>
      <c r="D13" s="729"/>
      <c r="E13" s="729"/>
      <c r="F13" s="729"/>
      <c r="G13" s="729"/>
      <c r="H13" s="729"/>
      <c r="I13" s="729"/>
      <c r="J13" s="729"/>
      <c r="K13" s="729"/>
      <c r="L13" s="729"/>
      <c r="M13" s="729"/>
      <c r="N13" s="729"/>
      <c r="O13" s="729"/>
      <c r="P13" s="729"/>
      <c r="Q13" s="729"/>
      <c r="R13" s="729"/>
      <c r="S13" s="729"/>
      <c r="T13" s="729"/>
      <c r="U13" s="729"/>
      <c r="V13" s="729"/>
      <c r="W13" s="729"/>
      <c r="X13" s="729"/>
      <c r="Y13" s="729"/>
      <c r="Z13" s="729"/>
      <c r="AA13" s="729"/>
      <c r="AB13" s="729"/>
      <c r="AC13" s="729"/>
      <c r="AD13" s="729"/>
      <c r="AE13" s="729"/>
      <c r="AF13" s="729"/>
      <c r="AG13" s="729"/>
      <c r="AH13" s="729"/>
      <c r="AI13" s="729"/>
      <c r="AJ13" s="729"/>
      <c r="AK13" s="729"/>
    </row>
    <row r="14" spans="1:38" ht="22.5" customHeight="1">
      <c r="B14" s="735" t="s">
        <v>759</v>
      </c>
      <c r="C14" s="735"/>
      <c r="D14" s="735"/>
      <c r="E14" s="735"/>
      <c r="F14" s="735"/>
      <c r="G14" s="735"/>
      <c r="H14" s="735"/>
      <c r="I14" s="735"/>
      <c r="J14" s="735"/>
      <c r="K14" s="735"/>
      <c r="L14" s="735"/>
      <c r="M14" s="735"/>
      <c r="N14" s="735"/>
      <c r="O14" s="735"/>
      <c r="P14" s="735"/>
      <c r="Q14" s="735"/>
      <c r="R14" s="735"/>
      <c r="S14" s="735"/>
      <c r="T14" s="735"/>
      <c r="U14" s="735"/>
      <c r="V14" s="735"/>
      <c r="W14" s="735"/>
      <c r="X14" s="735"/>
      <c r="Y14" s="735"/>
      <c r="Z14" s="735"/>
      <c r="AA14" s="735"/>
      <c r="AB14" s="735"/>
      <c r="AC14" s="735"/>
      <c r="AD14" s="735"/>
      <c r="AE14" s="735"/>
      <c r="AF14" s="735"/>
      <c r="AG14" s="735"/>
      <c r="AH14" s="735"/>
      <c r="AI14" s="735"/>
      <c r="AJ14" s="735"/>
      <c r="AK14" s="735"/>
      <c r="AL14" s="736"/>
    </row>
    <row r="15" spans="1:38" ht="46.5" customHeight="1">
      <c r="B15" s="1597" t="s">
        <v>758</v>
      </c>
      <c r="C15" s="1598"/>
      <c r="D15" s="1598"/>
      <c r="E15" s="1598"/>
      <c r="F15" s="1598"/>
      <c r="G15" s="1598"/>
      <c r="H15" s="1598"/>
      <c r="I15" s="1598"/>
      <c r="J15" s="1598"/>
      <c r="K15" s="1598"/>
      <c r="L15" s="1598"/>
      <c r="M15" s="1598"/>
      <c r="N15" s="1598"/>
      <c r="O15" s="1598"/>
      <c r="P15" s="1598"/>
      <c r="Q15" s="1598"/>
      <c r="R15" s="1598"/>
      <c r="S15" s="1598"/>
      <c r="T15" s="1598"/>
      <c r="U15" s="1598"/>
      <c r="V15" s="1598"/>
      <c r="W15" s="1598"/>
      <c r="X15" s="1598"/>
      <c r="Y15" s="1598"/>
      <c r="Z15" s="1598"/>
      <c r="AA15" s="1598"/>
      <c r="AB15" s="1598"/>
      <c r="AC15" s="1598"/>
      <c r="AD15" s="1598"/>
      <c r="AE15" s="1598"/>
      <c r="AF15" s="1598"/>
      <c r="AG15" s="1598"/>
      <c r="AH15" s="1598"/>
      <c r="AI15" s="1598"/>
      <c r="AJ15" s="1598"/>
      <c r="AK15" s="1599"/>
      <c r="AL15" s="736"/>
    </row>
    <row r="16" spans="1:38" ht="86.25" customHeight="1">
      <c r="B16" s="1579"/>
      <c r="C16" s="1580"/>
      <c r="D16" s="1580"/>
      <c r="E16" s="1580"/>
      <c r="F16" s="1580"/>
      <c r="G16" s="1580"/>
      <c r="H16" s="1580"/>
      <c r="I16" s="1580"/>
      <c r="J16" s="1580"/>
      <c r="K16" s="1580"/>
      <c r="L16" s="1580"/>
      <c r="M16" s="1580"/>
      <c r="N16" s="1580"/>
      <c r="O16" s="1580"/>
      <c r="P16" s="1580"/>
      <c r="Q16" s="1580"/>
      <c r="R16" s="1580"/>
      <c r="S16" s="1580"/>
      <c r="T16" s="1580"/>
      <c r="U16" s="1580"/>
      <c r="V16" s="1580"/>
      <c r="W16" s="1580"/>
      <c r="X16" s="1580"/>
      <c r="Y16" s="1580"/>
      <c r="Z16" s="1580"/>
      <c r="AA16" s="1580"/>
      <c r="AB16" s="1580"/>
      <c r="AC16" s="1580"/>
      <c r="AD16" s="1580"/>
      <c r="AE16" s="1580"/>
      <c r="AF16" s="1580"/>
      <c r="AG16" s="1580"/>
      <c r="AH16" s="1580"/>
      <c r="AI16" s="1580"/>
      <c r="AJ16" s="1580"/>
      <c r="AK16" s="1581"/>
      <c r="AL16" s="736"/>
    </row>
    <row r="17" spans="2:38">
      <c r="B17" s="735"/>
      <c r="C17" s="735"/>
      <c r="D17" s="735"/>
      <c r="E17" s="735"/>
      <c r="F17" s="735"/>
      <c r="G17" s="735"/>
      <c r="H17" s="735"/>
      <c r="I17" s="735"/>
      <c r="J17" s="735"/>
      <c r="K17" s="735"/>
      <c r="L17" s="735"/>
      <c r="M17" s="735"/>
      <c r="N17" s="735"/>
      <c r="O17" s="735"/>
      <c r="P17" s="735"/>
      <c r="Q17" s="735"/>
      <c r="R17" s="735"/>
      <c r="S17" s="735"/>
      <c r="T17" s="735"/>
      <c r="U17" s="735"/>
      <c r="V17" s="735"/>
      <c r="W17" s="735"/>
      <c r="X17" s="735"/>
      <c r="Y17" s="735"/>
      <c r="Z17" s="735"/>
      <c r="AA17" s="735"/>
      <c r="AB17" s="735"/>
      <c r="AC17" s="735"/>
      <c r="AD17" s="735"/>
      <c r="AE17" s="735"/>
      <c r="AF17" s="735"/>
      <c r="AG17" s="735"/>
      <c r="AH17" s="735"/>
      <c r="AI17" s="735"/>
      <c r="AJ17" s="735"/>
      <c r="AK17" s="735"/>
      <c r="AL17" s="736"/>
    </row>
    <row r="18" spans="2:38" ht="22.5" customHeight="1">
      <c r="B18" s="735" t="s">
        <v>757</v>
      </c>
      <c r="C18" s="735"/>
      <c r="D18" s="735"/>
      <c r="E18" s="735"/>
      <c r="F18" s="735"/>
      <c r="G18" s="735"/>
      <c r="H18" s="735"/>
      <c r="I18" s="735"/>
      <c r="J18" s="735"/>
      <c r="K18" s="735"/>
      <c r="L18" s="735"/>
      <c r="M18" s="735"/>
      <c r="N18" s="735"/>
      <c r="O18" s="735"/>
      <c r="P18" s="735"/>
      <c r="Q18" s="735"/>
      <c r="R18" s="735"/>
      <c r="S18" s="735"/>
      <c r="T18" s="735"/>
      <c r="U18" s="735"/>
      <c r="V18" s="735"/>
      <c r="W18" s="735"/>
      <c r="X18" s="735"/>
      <c r="Y18" s="735"/>
      <c r="Z18" s="735"/>
      <c r="AA18" s="735"/>
      <c r="AB18" s="735"/>
      <c r="AC18" s="735"/>
      <c r="AD18" s="735"/>
      <c r="AE18" s="735"/>
      <c r="AF18" s="735"/>
      <c r="AG18" s="735"/>
      <c r="AH18" s="735"/>
      <c r="AI18" s="735"/>
      <c r="AJ18" s="735"/>
      <c r="AK18" s="735"/>
      <c r="AL18" s="736"/>
    </row>
    <row r="19" spans="2:38" ht="86.25" customHeight="1">
      <c r="B19" s="1582"/>
      <c r="C19" s="1583"/>
      <c r="D19" s="1583"/>
      <c r="E19" s="1583"/>
      <c r="F19" s="1583"/>
      <c r="G19" s="1583"/>
      <c r="H19" s="1583"/>
      <c r="I19" s="1583"/>
      <c r="J19" s="1583"/>
      <c r="K19" s="1583"/>
      <c r="L19" s="1583"/>
      <c r="M19" s="1583"/>
      <c r="N19" s="1583"/>
      <c r="O19" s="1583"/>
      <c r="P19" s="1583"/>
      <c r="Q19" s="1583"/>
      <c r="R19" s="1583"/>
      <c r="S19" s="1583"/>
      <c r="T19" s="1583"/>
      <c r="U19" s="1583"/>
      <c r="V19" s="1583"/>
      <c r="W19" s="1583"/>
      <c r="X19" s="1583"/>
      <c r="Y19" s="1583"/>
      <c r="Z19" s="1583"/>
      <c r="AA19" s="1583"/>
      <c r="AB19" s="1583"/>
      <c r="AC19" s="1583"/>
      <c r="AD19" s="1583"/>
      <c r="AE19" s="1583"/>
      <c r="AF19" s="1583"/>
      <c r="AG19" s="1583"/>
      <c r="AH19" s="1583"/>
      <c r="AI19" s="1583"/>
      <c r="AJ19" s="1583"/>
      <c r="AK19" s="1584"/>
      <c r="AL19" s="736"/>
    </row>
    <row r="20" spans="2:38">
      <c r="B20" s="735"/>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35"/>
      <c r="AA20" s="735"/>
      <c r="AB20" s="735"/>
      <c r="AC20" s="735"/>
      <c r="AD20" s="735"/>
      <c r="AE20" s="735"/>
      <c r="AF20" s="735"/>
      <c r="AG20" s="735"/>
      <c r="AH20" s="735"/>
      <c r="AI20" s="735"/>
      <c r="AJ20" s="735"/>
      <c r="AK20" s="735"/>
      <c r="AL20" s="736"/>
    </row>
    <row r="21" spans="2:38" ht="22.5" customHeight="1">
      <c r="B21" s="735" t="s">
        <v>756</v>
      </c>
      <c r="C21" s="735"/>
      <c r="D21" s="735"/>
      <c r="E21" s="735"/>
      <c r="F21" s="735"/>
      <c r="G21" s="735"/>
      <c r="H21" s="735"/>
      <c r="I21" s="735"/>
      <c r="J21" s="735"/>
      <c r="K21" s="735"/>
      <c r="L21" s="735"/>
      <c r="M21" s="735"/>
      <c r="N21" s="735"/>
      <c r="O21" s="735"/>
      <c r="P21" s="735"/>
      <c r="Q21" s="735"/>
      <c r="R21" s="735"/>
      <c r="S21" s="735"/>
      <c r="T21" s="735"/>
      <c r="U21" s="735"/>
      <c r="V21" s="735"/>
      <c r="W21" s="735"/>
      <c r="X21" s="735"/>
      <c r="Y21" s="735"/>
      <c r="Z21" s="735"/>
      <c r="AA21" s="735"/>
      <c r="AB21" s="735"/>
      <c r="AC21" s="735"/>
      <c r="AD21" s="735"/>
      <c r="AE21" s="735"/>
      <c r="AF21" s="735"/>
      <c r="AG21" s="735"/>
      <c r="AH21" s="735"/>
      <c r="AI21" s="735"/>
      <c r="AJ21" s="735"/>
      <c r="AK21" s="735"/>
      <c r="AL21" s="736"/>
    </row>
    <row r="22" spans="2:38" ht="86.25" customHeight="1">
      <c r="B22" s="1582"/>
      <c r="C22" s="1583"/>
      <c r="D22" s="1583"/>
      <c r="E22" s="1583"/>
      <c r="F22" s="1583"/>
      <c r="G22" s="1583"/>
      <c r="H22" s="1583"/>
      <c r="I22" s="1583"/>
      <c r="J22" s="1583"/>
      <c r="K22" s="1583"/>
      <c r="L22" s="1583"/>
      <c r="M22" s="1583"/>
      <c r="N22" s="1583"/>
      <c r="O22" s="1583"/>
      <c r="P22" s="1583"/>
      <c r="Q22" s="1583"/>
      <c r="R22" s="1583"/>
      <c r="S22" s="1583"/>
      <c r="T22" s="1583"/>
      <c r="U22" s="1583"/>
      <c r="V22" s="1583"/>
      <c r="W22" s="1583"/>
      <c r="X22" s="1583"/>
      <c r="Y22" s="1583"/>
      <c r="Z22" s="1583"/>
      <c r="AA22" s="1583"/>
      <c r="AB22" s="1583"/>
      <c r="AC22" s="1583"/>
      <c r="AD22" s="1583"/>
      <c r="AE22" s="1583"/>
      <c r="AF22" s="1583"/>
      <c r="AG22" s="1583"/>
      <c r="AH22" s="1583"/>
      <c r="AI22" s="1583"/>
      <c r="AJ22" s="1583"/>
      <c r="AK22" s="1584"/>
      <c r="AL22" s="736"/>
    </row>
    <row r="23" spans="2:38">
      <c r="B23" s="735" t="s">
        <v>497</v>
      </c>
      <c r="C23" s="735" t="s">
        <v>755</v>
      </c>
      <c r="D23" s="735"/>
      <c r="E23" s="735"/>
      <c r="F23" s="735"/>
      <c r="G23" s="735"/>
      <c r="H23" s="735"/>
      <c r="I23" s="735"/>
      <c r="J23" s="735"/>
      <c r="K23" s="735"/>
      <c r="L23" s="735"/>
      <c r="M23" s="735"/>
      <c r="N23" s="735"/>
      <c r="O23" s="735"/>
      <c r="P23" s="735"/>
      <c r="Q23" s="735"/>
      <c r="R23" s="735"/>
      <c r="S23" s="735"/>
      <c r="T23" s="735"/>
      <c r="U23" s="735"/>
      <c r="V23" s="735"/>
      <c r="W23" s="735"/>
      <c r="X23" s="735"/>
      <c r="Y23" s="735"/>
      <c r="Z23" s="735"/>
      <c r="AA23" s="735"/>
      <c r="AB23" s="735"/>
      <c r="AC23" s="735"/>
      <c r="AD23" s="735"/>
      <c r="AE23" s="735"/>
      <c r="AF23" s="735"/>
      <c r="AG23" s="735"/>
      <c r="AH23" s="735"/>
      <c r="AI23" s="735"/>
      <c r="AJ23" s="735"/>
      <c r="AK23" s="735"/>
      <c r="AL23" s="736"/>
    </row>
    <row r="24" spans="2:38">
      <c r="B24" s="735"/>
      <c r="C24" s="735"/>
      <c r="D24" s="735"/>
      <c r="E24" s="735"/>
      <c r="F24" s="735"/>
      <c r="G24" s="735"/>
      <c r="H24" s="735"/>
      <c r="I24" s="735"/>
      <c r="J24" s="735"/>
      <c r="K24" s="735"/>
      <c r="L24" s="735"/>
      <c r="M24" s="735"/>
      <c r="N24" s="735"/>
      <c r="O24" s="735"/>
      <c r="P24" s="735"/>
      <c r="Q24" s="735"/>
      <c r="R24" s="735"/>
      <c r="S24" s="735"/>
      <c r="T24" s="735"/>
      <c r="U24" s="735"/>
      <c r="V24" s="735"/>
      <c r="W24" s="735"/>
      <c r="X24" s="735"/>
      <c r="Y24" s="735"/>
      <c r="Z24" s="735"/>
      <c r="AA24" s="735"/>
      <c r="AB24" s="735"/>
      <c r="AC24" s="735"/>
      <c r="AD24" s="735"/>
      <c r="AE24" s="735"/>
      <c r="AF24" s="735"/>
      <c r="AG24" s="735"/>
      <c r="AH24" s="735"/>
      <c r="AI24" s="735"/>
      <c r="AJ24" s="735"/>
      <c r="AK24" s="735"/>
      <c r="AL24" s="736"/>
    </row>
    <row r="25" spans="2:38" ht="22.5" customHeight="1">
      <c r="B25" s="735" t="s">
        <v>754</v>
      </c>
      <c r="C25" s="735"/>
      <c r="D25" s="735"/>
      <c r="E25" s="735"/>
      <c r="F25" s="735"/>
      <c r="G25" s="735"/>
      <c r="H25" s="735"/>
      <c r="I25" s="735"/>
      <c r="J25" s="735"/>
      <c r="K25" s="735"/>
      <c r="L25" s="735"/>
      <c r="M25" s="735"/>
      <c r="N25" s="735"/>
      <c r="O25" s="735"/>
      <c r="P25" s="735"/>
      <c r="Q25" s="735"/>
      <c r="R25" s="735"/>
      <c r="S25" s="735"/>
      <c r="T25" s="735"/>
      <c r="U25" s="735"/>
      <c r="V25" s="735"/>
      <c r="W25" s="735"/>
      <c r="X25" s="735"/>
      <c r="Y25" s="735"/>
      <c r="Z25" s="735"/>
      <c r="AA25" s="735"/>
      <c r="AB25" s="735"/>
      <c r="AC25" s="735"/>
      <c r="AD25" s="735"/>
      <c r="AE25" s="735"/>
      <c r="AF25" s="735"/>
      <c r="AG25" s="735"/>
      <c r="AH25" s="735"/>
      <c r="AI25" s="735"/>
      <c r="AJ25" s="735"/>
      <c r="AK25" s="735"/>
      <c r="AL25" s="736"/>
    </row>
    <row r="26" spans="2:38">
      <c r="B26" s="1585" t="s">
        <v>753</v>
      </c>
      <c r="C26" s="1586"/>
      <c r="D26" s="1586"/>
      <c r="E26" s="1586"/>
      <c r="F26" s="1586"/>
      <c r="G26" s="1586"/>
      <c r="H26" s="1586"/>
      <c r="I26" s="1586"/>
      <c r="J26" s="1586"/>
      <c r="K26" s="1586"/>
      <c r="L26" s="1586"/>
      <c r="M26" s="1586"/>
      <c r="N26" s="1586"/>
      <c r="O26" s="1586"/>
      <c r="P26" s="1586"/>
      <c r="Q26" s="1586"/>
      <c r="R26" s="1586"/>
      <c r="S26" s="1586"/>
      <c r="T26" s="1586"/>
      <c r="U26" s="1586"/>
      <c r="V26" s="1586"/>
      <c r="W26" s="1586"/>
      <c r="X26" s="1586"/>
      <c r="Y26" s="1586"/>
      <c r="Z26" s="1586"/>
      <c r="AA26" s="1586"/>
      <c r="AB26" s="1586"/>
      <c r="AC26" s="1586"/>
      <c r="AD26" s="1586"/>
      <c r="AE26" s="1586"/>
      <c r="AF26" s="1586"/>
      <c r="AG26" s="1586"/>
      <c r="AH26" s="1586"/>
      <c r="AI26" s="1586"/>
      <c r="AJ26" s="1586"/>
      <c r="AK26" s="1587"/>
      <c r="AL26" s="736"/>
    </row>
    <row r="27" spans="2:38" ht="86.25" customHeight="1">
      <c r="B27" s="1579"/>
      <c r="C27" s="1580"/>
      <c r="D27" s="1580"/>
      <c r="E27" s="1580"/>
      <c r="F27" s="1580"/>
      <c r="G27" s="1580"/>
      <c r="H27" s="1580"/>
      <c r="I27" s="1580"/>
      <c r="J27" s="1580"/>
      <c r="K27" s="1580"/>
      <c r="L27" s="1580"/>
      <c r="M27" s="1580"/>
      <c r="N27" s="1580"/>
      <c r="O27" s="1580"/>
      <c r="P27" s="1580"/>
      <c r="Q27" s="1580"/>
      <c r="R27" s="1580"/>
      <c r="S27" s="1580"/>
      <c r="T27" s="1580"/>
      <c r="U27" s="1580"/>
      <c r="V27" s="1580"/>
      <c r="W27" s="1580"/>
      <c r="X27" s="1580"/>
      <c r="Y27" s="1580"/>
      <c r="Z27" s="1580"/>
      <c r="AA27" s="1580"/>
      <c r="AB27" s="1580"/>
      <c r="AC27" s="1580"/>
      <c r="AD27" s="1580"/>
      <c r="AE27" s="1580"/>
      <c r="AF27" s="1580"/>
      <c r="AG27" s="1580"/>
      <c r="AH27" s="1580"/>
      <c r="AI27" s="1580"/>
      <c r="AJ27" s="1580"/>
      <c r="AK27" s="1581"/>
      <c r="AL27" s="736"/>
    </row>
    <row r="28" spans="2:38" ht="21" customHeight="1">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6"/>
    </row>
    <row r="29" spans="2:38" ht="6" customHeight="1">
      <c r="B29" s="735"/>
      <c r="C29" s="735"/>
      <c r="D29" s="735"/>
      <c r="E29" s="735"/>
      <c r="F29" s="735"/>
      <c r="G29" s="735"/>
      <c r="H29" s="735"/>
      <c r="I29" s="735"/>
      <c r="J29" s="735"/>
      <c r="K29" s="735"/>
      <c r="L29" s="735"/>
      <c r="M29" s="735"/>
      <c r="N29" s="735"/>
      <c r="O29" s="735"/>
      <c r="P29" s="735"/>
      <c r="Q29" s="735"/>
      <c r="R29" s="735"/>
      <c r="S29" s="735"/>
      <c r="T29" s="735"/>
      <c r="U29" s="735"/>
      <c r="V29" s="735"/>
      <c r="W29" s="735"/>
      <c r="X29" s="735"/>
      <c r="Y29" s="735"/>
      <c r="Z29" s="735"/>
      <c r="AA29" s="735"/>
      <c r="AB29" s="735"/>
      <c r="AC29" s="735"/>
      <c r="AD29" s="735"/>
      <c r="AE29" s="735"/>
      <c r="AF29" s="735"/>
      <c r="AG29" s="735"/>
      <c r="AH29" s="735"/>
      <c r="AI29" s="735"/>
      <c r="AJ29" s="735"/>
      <c r="AK29" s="735"/>
      <c r="AL29" s="736"/>
    </row>
    <row r="36" ht="3.6" customHeight="1"/>
    <row r="37" hidden="1"/>
    <row r="38" hidden="1"/>
  </sheetData>
  <sheetProtection algorithmName="SHA-512" hashValue="yQgqzKMC3oB6SH4uk68ovp2/gVwWyM3xA5VZ6P3jqBvRivHGgY4MVu8WK6UYFiJXa2Gk6zj5T8A/ClRqSjJeSw==" saltValue="+OuPVSzvsN5fWP1K2vhBIw==" spinCount="100000" sheet="1" objects="1" scenarios="1"/>
  <mergeCells count="19">
    <mergeCell ref="B3:W3"/>
    <mergeCell ref="X3:Y3"/>
    <mergeCell ref="B15:AK15"/>
    <mergeCell ref="B16:AK16"/>
    <mergeCell ref="Y8:AK8"/>
    <mergeCell ref="Y9:AK9"/>
    <mergeCell ref="Y10:AK10"/>
    <mergeCell ref="Q8:X8"/>
    <mergeCell ref="Q9:X9"/>
    <mergeCell ref="Q10:X10"/>
    <mergeCell ref="Y12:AK12"/>
    <mergeCell ref="F6:L6"/>
    <mergeCell ref="B27:AK27"/>
    <mergeCell ref="B19:AK19"/>
    <mergeCell ref="B22:AK22"/>
    <mergeCell ref="B26:AK26"/>
    <mergeCell ref="Q11:X11"/>
    <mergeCell ref="Y11:AK11"/>
    <mergeCell ref="Q12:X12"/>
  </mergeCells>
  <phoneticPr fontId="4"/>
  <pageMargins left="0.7" right="0.7" top="0.75" bottom="0.75" header="0.3" footer="0.3"/>
  <pageSetup paperSize="9" scale="8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CF01E-21F2-489E-ACC2-B9A8159B7A96}">
  <sheetPr>
    <tabColor theme="2" tint="-9.9978637043366805E-2"/>
    <pageSetUpPr fitToPage="1"/>
  </sheetPr>
  <dimension ref="A1:G42"/>
  <sheetViews>
    <sheetView showGridLines="0" view="pageBreakPreview" zoomScale="96" zoomScaleNormal="70" zoomScaleSheetLayoutView="96" workbookViewId="0">
      <selection activeCell="D4" sqref="D4"/>
    </sheetView>
  </sheetViews>
  <sheetFormatPr defaultRowHeight="18.75"/>
  <cols>
    <col min="1" max="1" width="4.625" customWidth="1"/>
    <col min="2" max="2" width="35.375" customWidth="1"/>
    <col min="3" max="3" width="5.625" bestFit="1" customWidth="1"/>
    <col min="4" max="7" width="13.25" customWidth="1"/>
  </cols>
  <sheetData>
    <row r="1" spans="1:7">
      <c r="D1" s="121" t="s">
        <v>311</v>
      </c>
      <c r="E1" s="121" t="s">
        <v>311</v>
      </c>
      <c r="F1" s="121" t="s">
        <v>312</v>
      </c>
      <c r="G1" s="121" t="s">
        <v>312</v>
      </c>
    </row>
    <row r="2" spans="1:7">
      <c r="D2" s="67"/>
      <c r="E2" s="67"/>
      <c r="F2" s="67"/>
      <c r="G2" s="67"/>
    </row>
    <row r="3" spans="1:7">
      <c r="A3" t="s">
        <v>114</v>
      </c>
      <c r="C3" s="65" t="s">
        <v>159</v>
      </c>
      <c r="D3" s="85" t="s">
        <v>304</v>
      </c>
      <c r="E3" s="85">
        <v>3</v>
      </c>
      <c r="F3" s="85">
        <v>4</v>
      </c>
      <c r="G3" s="85">
        <v>5</v>
      </c>
    </row>
    <row r="4" spans="1:7">
      <c r="A4" s="68"/>
      <c r="B4" s="92" t="s">
        <v>143</v>
      </c>
      <c r="C4" s="87"/>
      <c r="D4" s="103">
        <f>'2_区分12加算額計算表'!$D$14</f>
        <v>0</v>
      </c>
      <c r="E4" s="103">
        <f>'2_区分12加算額計算表'!$D$15</f>
        <v>0</v>
      </c>
      <c r="F4" s="105">
        <f>'2_区分12加算額計算表'!$D$16</f>
        <v>0</v>
      </c>
      <c r="G4" s="105">
        <f>'2_区分12加算額計算表'!$D$17</f>
        <v>0</v>
      </c>
    </row>
    <row r="5" spans="1:7">
      <c r="A5" s="118" t="e">
        <f>'2_区分12加算額計算表'!$J$6</f>
        <v>#N/A</v>
      </c>
      <c r="B5" s="93" t="s">
        <v>313</v>
      </c>
      <c r="C5" s="88"/>
      <c r="D5" s="106" t="e">
        <f>VLOOKUP($A5&amp;D$1,単価1号[],認こ1号単価!$G$1,FALSE)*加算率a</f>
        <v>#N/A</v>
      </c>
      <c r="E5" s="106" t="e">
        <f>VLOOKUP($A5&amp;E$1,単価1号[],認こ1号単価!$G$1,FALSE)*加算率a</f>
        <v>#N/A</v>
      </c>
      <c r="F5" s="106" t="e">
        <f>VLOOKUP($A5&amp;F$1,単価1号[],認こ1号単価!$G$1,FALSE)*加算率a</f>
        <v>#N/A</v>
      </c>
      <c r="G5" s="106" t="e">
        <f>VLOOKUP($A5&amp;G$1,単価1号[],認こ1号単価!$G$1,FALSE)*加算率a</f>
        <v>#N/A</v>
      </c>
    </row>
    <row r="6" spans="1:7">
      <c r="A6" s="118" t="e">
        <f t="shared" ref="A6:A11" si="0">A5</f>
        <v>#N/A</v>
      </c>
      <c r="B6" s="94" t="s">
        <v>314</v>
      </c>
      <c r="C6" s="89">
        <f>IF('2_区分12加算額計算表'!$F$32&lt;&gt;"",1,0)</f>
        <v>0</v>
      </c>
      <c r="D6" s="106" t="e">
        <f>IF(VLOOKUP($A6&amp;D$1,単価1号[],認こ1号単価!$I$1,FALSE)*加算率a&gt;=10,
ROUNDDOWN(VLOOKUP($A6&amp;D$1,単価1号[],認こ1号単価!$I$1,FALSE)*加算率a,-1),
ROUNDDOWN(VLOOKUP($A6&amp;D$1,単価1号[],認こ1号単価!$I$1,FALSE)*加算率a,0))*$C6</f>
        <v>#N/A</v>
      </c>
      <c r="E6" s="106" t="e">
        <f>IF(VLOOKUP($A6&amp;E$1,単価1号[],認こ1号単価!$I$1,FALSE)*加算率a&gt;=10,
ROUNDDOWN(VLOOKUP($A6&amp;E$1,単価1号[],認こ1号単価!$I$1,FALSE)*加算率a,-1),
ROUNDDOWN(VLOOKUP($A6&amp;E$1,単価1号[],認こ1号単価!$I$1,FALSE)*加算率a,0))*$C6</f>
        <v>#N/A</v>
      </c>
      <c r="F6" s="106" t="e">
        <f>IF(VLOOKUP($A6&amp;F$1,単価1号[],認こ1号単価!$I$1,FALSE)*加算率a&gt;=10,
ROUNDDOWN(VLOOKUP($A6&amp;F$1,単価1号[],認こ1号単価!$I$1,FALSE)*加算率a,-1),
ROUNDDOWN(VLOOKUP($A6&amp;F$1,単価1号[],認こ1号単価!$I$1,FALSE)*加算率a,0))*$C6</f>
        <v>#N/A</v>
      </c>
      <c r="G6" s="106" t="e">
        <f>IF(VLOOKUP($A6&amp;G$1,単価1号[],認こ1号単価!$I$1,FALSE)*加算率a&gt;=10,
ROUNDDOWN(VLOOKUP($A6&amp;G$1,単価1号[],認こ1号単価!$I$1,FALSE)*加算率a,-1),
ROUNDDOWN(VLOOKUP($A6&amp;G$1,単価1号[],認こ1号単価!$I$1,FALSE)*加算率a,0))*$C6</f>
        <v>#N/A</v>
      </c>
    </row>
    <row r="7" spans="1:7">
      <c r="A7" s="118" t="e">
        <f t="shared" si="0"/>
        <v>#N/A</v>
      </c>
      <c r="B7" s="94" t="s">
        <v>315</v>
      </c>
      <c r="C7" s="89">
        <f>IF('2_区分12加算額計算表'!$F$33&lt;&gt;"",1,0)</f>
        <v>0</v>
      </c>
      <c r="D7" s="106" t="e">
        <f>VLOOKUP($A7&amp;D$1,単価1号[],認こ1号単価!$J$1,FALSE)*加算率a*$C7</f>
        <v>#N/A</v>
      </c>
      <c r="E7" s="106" t="e">
        <f>VLOOKUP($A7&amp;E$1,単価1号[],認こ1号単価!$J$1,FALSE)*加算率a*$C7</f>
        <v>#N/A</v>
      </c>
      <c r="F7" s="106" t="e">
        <f>VLOOKUP($A7&amp;F$1,単価1号[],認こ1号単価!$J$1,FALSE)*加算率a*$C7</f>
        <v>#N/A</v>
      </c>
      <c r="G7" s="106" t="e">
        <f>VLOOKUP($A7&amp;G$1,単価1号[],認こ1号単価!$J$1,FALSE)*加算率a*$C7</f>
        <v>#N/A</v>
      </c>
    </row>
    <row r="8" spans="1:7">
      <c r="A8" s="118" t="e">
        <f t="shared" si="0"/>
        <v>#N/A</v>
      </c>
      <c r="B8" s="94" t="s">
        <v>316</v>
      </c>
      <c r="C8" s="89">
        <f>IF('2_区分12加算額計算表'!$F$34&lt;&gt;"",1,0)</f>
        <v>0</v>
      </c>
      <c r="D8" s="109" t="e">
        <f>VLOOKUP($A8&amp;D$1,単価1号[],認こ1号単価!$L$1,FALSE)*加算率a*$C8</f>
        <v>#N/A</v>
      </c>
      <c r="E8" s="109" t="e">
        <f>VLOOKUP($A8&amp;E$1,単価1号[],認こ1号単価!$L$1,FALSE)*加算率a*$C8</f>
        <v>#N/A</v>
      </c>
      <c r="F8" s="110"/>
      <c r="G8" s="110"/>
    </row>
    <row r="9" spans="1:7">
      <c r="A9" s="118" t="e">
        <f t="shared" si="0"/>
        <v>#N/A</v>
      </c>
      <c r="B9" s="94" t="s">
        <v>317</v>
      </c>
      <c r="C9" s="89">
        <f>IF('2_区分12加算額計算表'!$F$35&lt;&gt;"",1,0)</f>
        <v>0</v>
      </c>
      <c r="D9" s="107"/>
      <c r="E9" s="107"/>
      <c r="F9" s="109" t="e">
        <f>VLOOKUP($A9&amp;F$1,単価1号[],認こ1号単価!$N$1,FALSE)*加算率a*$C9</f>
        <v>#N/A</v>
      </c>
      <c r="G9" s="109" t="e">
        <f>VLOOKUP($A9&amp;G$1,単価1号[],認こ1号単価!$N$1,FALSE)*加算率a*$C9</f>
        <v>#N/A</v>
      </c>
    </row>
    <row r="10" spans="1:7">
      <c r="A10" s="118" t="e">
        <f t="shared" si="0"/>
        <v>#N/A</v>
      </c>
      <c r="B10" s="94" t="s">
        <v>319</v>
      </c>
      <c r="C10" s="89">
        <f>IF('2_区分12加算額計算表'!$F$37&lt;&gt;"",1,0)</f>
        <v>0</v>
      </c>
      <c r="D10" s="109" t="e">
        <f>IF(C8=0,VLOOKUP($A10&amp;D$1,単価1号[],認こ1号単価!$P$1,FALSE),VLOOKUP($A10&amp;D$1,単価1号[],認こ1号単価!$R$1,FALSE))*加算率a*$C10</f>
        <v>#N/A</v>
      </c>
      <c r="E10" s="107"/>
      <c r="F10" s="110"/>
      <c r="G10" s="110"/>
    </row>
    <row r="11" spans="1:7">
      <c r="A11" s="118" t="e">
        <f t="shared" si="0"/>
        <v>#N/A</v>
      </c>
      <c r="B11" s="94" t="s">
        <v>318</v>
      </c>
      <c r="C11" s="89">
        <f>IF('2_区分12加算額計算表'!$F$38&lt;&gt;"",1,0)</f>
        <v>0</v>
      </c>
      <c r="D11" s="109" t="e">
        <f>IF(VLOOKUP($A11&amp;D$1,単価1号[],認こ1号単価!$T$1,FALSE)*加算率a&gt;=10,
ROUNDDOWN(VLOOKUP($A11&amp;D$1,単価1号[],認こ1号単価!$T$1,FALSE)*加算率a,-1),
ROUNDDOWN(VLOOKUP($A11&amp;D$1,単価1号[],認こ1号単価!$T$1,FALSE)*加算率a,0))*$C11</f>
        <v>#N/A</v>
      </c>
      <c r="E11" s="109" t="e">
        <f>IF(VLOOKUP($A11&amp;E$1,単価1号[],認こ1号単価!$T$1,FALSE)*加算率a&gt;=10,
ROUNDDOWN(VLOOKUP($A11&amp;E$1,単価1号[],認こ1号単価!$T$1,FALSE)*加算率a,-1),
ROUNDDOWN(VLOOKUP($A11&amp;E$1,単価1号[],認こ1号単価!$T$1,FALSE)*加算率a,0))*$C11</f>
        <v>#N/A</v>
      </c>
      <c r="F11" s="109" t="e">
        <f>IF(VLOOKUP($A11&amp;F$1,単価1号[],認こ1号単価!$T$1,FALSE)*加算率a&gt;=10,
ROUNDDOWN(VLOOKUP($A11&amp;F$1,単価1号[],認こ1号単価!$T$1,FALSE)*加算率a,-1),
ROUNDDOWN(VLOOKUP($A11&amp;F$1,単価1号[],認こ1号単価!$T$1,FALSE)*加算率a,0))*$C11</f>
        <v>#N/A</v>
      </c>
      <c r="G11" s="109" t="e">
        <f>IF(VLOOKUP($A11&amp;G$1,単価1号[],認こ1号単価!$T$1,FALSE)*加算率a&gt;=10,
ROUNDDOWN(VLOOKUP($A11&amp;G$1,単価1号[],認こ1号単価!$T$1,FALSE)*加算率a,-1),
ROUNDDOWN(VLOOKUP($A11&amp;G$1,単価1号[],認こ1号単価!$T$1,FALSE)*加算率a,0))*$C11</f>
        <v>#N/A</v>
      </c>
    </row>
    <row r="12" spans="1:7">
      <c r="A12" s="118" t="e">
        <f>'2_区分12加算額計算表'!$J$11</f>
        <v>#N/A</v>
      </c>
      <c r="B12" s="94" t="s">
        <v>309</v>
      </c>
      <c r="C12" s="89">
        <f>IF('2_区分12加算額計算表'!$F$41&lt;&gt;"",'2_区分12加算額計算表'!$I$41,0)</f>
        <v>0</v>
      </c>
      <c r="D12" s="109" t="e">
        <f>VLOOKUP($A12&amp;D$1,単価1号[],認こ1号単価!$AE$1,FALSE)*加算率a*$C12</f>
        <v>#N/A</v>
      </c>
      <c r="E12" s="109" t="e">
        <f>VLOOKUP($A12&amp;E$1,単価1号[],認こ1号単価!$AE$1,FALSE)*加算率a*$C12</f>
        <v>#N/A</v>
      </c>
      <c r="F12" s="109" t="e">
        <f>VLOOKUP($A12&amp;F$1,単価1号[],認こ1号単価!$AE$1,FALSE)*加算率a*$C12</f>
        <v>#N/A</v>
      </c>
      <c r="G12" s="109" t="e">
        <f>VLOOKUP($A12&amp;G$1,単価1号[],認こ1号単価!$AE$1,FALSE)*加算率a*$C12</f>
        <v>#N/A</v>
      </c>
    </row>
    <row r="13" spans="1:7">
      <c r="A13" s="118" t="e">
        <f>A11</f>
        <v>#N/A</v>
      </c>
      <c r="B13" s="94" t="s">
        <v>320</v>
      </c>
      <c r="C13" s="89">
        <f>IF('2_区分12加算額計算表'!$F$42&lt;&gt;"",1,0)</f>
        <v>0</v>
      </c>
      <c r="D13" s="109" t="e">
        <f>IF(VLOOKUP($A13&amp;D$1,単価1号[],認こ1号単価!$V$1,FALSE)*加算率a&gt;=10,
ROUNDDOWN(VLOOKUP($A13&amp;D$1,単価1号[],認こ1号単価!$V$1,FALSE)*加算率a,-1),
ROUNDDOWN(VLOOKUP($A13&amp;D$1,単価1号[],認こ1号単価!$V$1,FALSE)*加算率a,0))*$C13</f>
        <v>#N/A</v>
      </c>
      <c r="E13" s="109" t="e">
        <f>IF(VLOOKUP($A13&amp;E$1,単価1号[],認こ1号単価!$V$1,FALSE)*加算率a&gt;=10,
ROUNDDOWN(VLOOKUP($A13&amp;E$1,単価1号[],認こ1号単価!$V$1,FALSE)*加算率a,-1),
ROUNDDOWN(VLOOKUP($A13&amp;E$1,単価1号[],認こ1号単価!$V$1,FALSE)*加算率a,0))*$C13</f>
        <v>#N/A</v>
      </c>
      <c r="F13" s="109" t="e">
        <f>IF(VLOOKUP($A13&amp;F$1,単価1号[],認こ1号単価!$V$1,FALSE)*加算率a&gt;=10,
ROUNDDOWN(VLOOKUP($A13&amp;F$1,単価1号[],認こ1号単価!$V$1,FALSE)*加算率a,-1),
ROUNDDOWN(VLOOKUP($A13&amp;F$1,単価1号[],認こ1号単価!$V$1,FALSE)*加算率a,0))*$C13</f>
        <v>#N/A</v>
      </c>
      <c r="G13" s="109" t="e">
        <f>IF(VLOOKUP($A13&amp;G$1,単価1号[],認こ1号単価!$V$1,FALSE)*加算率a&gt;=10,
ROUNDDOWN(VLOOKUP($A13&amp;G$1,単価1号[],認こ1号単価!$V$1,FALSE)*加算率a,-1),
ROUNDDOWN(VLOOKUP($A13&amp;G$1,単価1号[],認こ1号単価!$V$1,FALSE)*加算率a,0))*$C13</f>
        <v>#N/A</v>
      </c>
    </row>
    <row r="14" spans="1:7">
      <c r="A14" s="118" t="e">
        <f>A13</f>
        <v>#N/A</v>
      </c>
      <c r="B14" s="94" t="s">
        <v>322</v>
      </c>
      <c r="C14" s="89">
        <f>IF('2_区分12加算額計算表'!$F$43=【リスト】!$M$2,'2_区分12加算額計算表'!$I$43,0)</f>
        <v>0</v>
      </c>
      <c r="D14" s="109" t="e">
        <f>IF(VLOOKUP($A14&amp;D$1,単価1号[],認こ1号単価!$X$1,FALSE)*$C14*加算率a&gt;=10,
ROUNDDOWN(VLOOKUP($A14&amp;D$1,単価1号[],認こ1号単価!$X$1,FALSE)*$C14*加算率a,-1),
ROUNDDOWN(VLOOKUP($A14&amp;D$1,単価1号[],認こ1号単価!$X$1,FALSE)*$C14*加算率a,0))</f>
        <v>#N/A</v>
      </c>
      <c r="E14" s="109" t="e">
        <f>IF(VLOOKUP($A14&amp;E$1,単価1号[],認こ1号単価!$X$1,FALSE)*$C14*加算率a&gt;=10,
ROUNDDOWN(VLOOKUP($A14&amp;E$1,単価1号[],認こ1号単価!$X$1,FALSE)*$C14*加算率a,-1),
ROUNDDOWN(VLOOKUP($A14&amp;E$1,単価1号[],認こ1号単価!$X$1,FALSE)*$C14*加算率a,0))</f>
        <v>#N/A</v>
      </c>
      <c r="F14" s="109" t="e">
        <f>IF(VLOOKUP($A14&amp;F$1,単価1号[],認こ1号単価!$X$1,FALSE)*$C14*加算率a&gt;=10,
ROUNDDOWN(VLOOKUP($A14&amp;F$1,単価1号[],認こ1号単価!$X$1,FALSE)*$C14*加算率a,-1),
ROUNDDOWN(VLOOKUP($A14&amp;F$1,単価1号[],認こ1号単価!$X$1,FALSE)*$C14*加算率a,0))</f>
        <v>#N/A</v>
      </c>
      <c r="G14" s="109" t="e">
        <f>IF(VLOOKUP($A14&amp;G$1,単価1号[],認こ1号単価!$X$1,FALSE)*$C14*加算率a&gt;=10,
ROUNDDOWN(VLOOKUP($A14&amp;G$1,単価1号[],認こ1号単価!$X$1,FALSE)*$C14*加算率a,-1),
ROUNDDOWN(VLOOKUP($A14&amp;G$1,単価1号[],認こ1号単価!$X$1,FALSE)*$C14*加算率a,0))</f>
        <v>#N/A</v>
      </c>
    </row>
    <row r="15" spans="1:7">
      <c r="A15" s="118" t="e">
        <f>A14</f>
        <v>#N/A</v>
      </c>
      <c r="B15" s="94" t="s">
        <v>323</v>
      </c>
      <c r="C15" s="89">
        <f>IF('2_区分12加算額計算表'!$F$43=【リスト】!$M$3,'2_区分12加算額計算表'!$I$43,0)</f>
        <v>0</v>
      </c>
      <c r="D15" s="109" t="e">
        <f>IF(VLOOKUP($A15&amp;D$1,単価1号[],認こ1号単価!$Z$1,FALSE)*$C15*加算率a&gt;=10,
ROUNDDOWN(VLOOKUP($A15&amp;D$1,単価1号[],認こ1号単価!$Z$1,FALSE)*$C15*加算率a,-1),
ROUNDDOWN(VLOOKUP($A15&amp;D$1,単価1号[],認こ1号単価!$Z$1,FALSE)*$C15*加算率a,0))</f>
        <v>#N/A</v>
      </c>
      <c r="E15" s="109" t="e">
        <f>IF(VLOOKUP($A15&amp;E$1,単価1号[],認こ1号単価!$Z$1,FALSE)*$C15*加算率a&gt;=10,
ROUNDDOWN(VLOOKUP($A15&amp;E$1,単価1号[],認こ1号単価!$Z$1,FALSE)*$C15*加算率a,-1),
ROUNDDOWN(VLOOKUP($A15&amp;E$1,単価1号[],認こ1号単価!$Z$1,FALSE)*$C15*加算率a,0))</f>
        <v>#N/A</v>
      </c>
      <c r="F15" s="109" t="e">
        <f>IF(VLOOKUP($A15&amp;F$1,単価1号[],認こ1号単価!$Z$1,FALSE)*$C15*加算率a&gt;=10,
ROUNDDOWN(VLOOKUP($A15&amp;F$1,単価1号[],認こ1号単価!$Z$1,FALSE)*$C15*加算率a,-1),
ROUNDDOWN(VLOOKUP($A15&amp;F$1,単価1号[],認こ1号単価!$Z$1,FALSE)*$C15*加算率a,0))</f>
        <v>#N/A</v>
      </c>
      <c r="G15" s="109" t="e">
        <f>IF(VLOOKUP($A15&amp;G$1,単価1号[],認こ1号単価!$Z$1,FALSE)*$C15*加算率a&gt;=10,
ROUNDDOWN(VLOOKUP($A15&amp;G$1,単価1号[],認こ1号単価!$Z$1,FALSE)*$C15*加算率a,-1),
ROUNDDOWN(VLOOKUP($A15&amp;G$1,単価1号[],認こ1号単価!$Z$1,FALSE)*$C15*加算率a,0))</f>
        <v>#N/A</v>
      </c>
    </row>
    <row r="16" spans="1:7">
      <c r="A16" s="118" t="e">
        <f>A15</f>
        <v>#N/A</v>
      </c>
      <c r="B16" s="94" t="s">
        <v>310</v>
      </c>
      <c r="C16" s="89">
        <f>IF('2_区分12加算額計算表'!$F$44&lt;&gt;"",1,0)</f>
        <v>0</v>
      </c>
      <c r="D16" s="109" t="e">
        <f>IF(VLOOKUP($A16&amp;D$1,単価1号[],認こ1号単価!$AB$1,FALSE)*加算率a&gt;=10,
ROUNDDOWN(VLOOKUP($A16&amp;D$1,単価1号[],認こ1号単価!$AB$1,FALSE)*加算率a,-1),
ROUNDDOWN(VLOOKUP($A16&amp;D$1,単価1号[],認こ1号単価!$AB$1,FALSE)*加算率a,0))*-1*$C16</f>
        <v>#N/A</v>
      </c>
      <c r="E16" s="109" t="e">
        <f>IF(VLOOKUP($A16&amp;E$1,単価1号[],認こ1号単価!$AB$1,FALSE)*加算率a&gt;=10,
ROUNDDOWN(VLOOKUP($A16&amp;E$1,単価1号[],認こ1号単価!$AB$1,FALSE)*加算率a,-1),
ROUNDDOWN(VLOOKUP($A16&amp;E$1,単価1号[],認こ1号単価!$AB$1,FALSE)*加算率a,0))*-1*$C16</f>
        <v>#N/A</v>
      </c>
      <c r="F16" s="109" t="e">
        <f>IF(VLOOKUP($A16&amp;F$1,単価1号[],認こ1号単価!$AB$1,FALSE)*加算率a&gt;=10,
ROUNDDOWN(VLOOKUP($A16&amp;F$1,単価1号[],認こ1号単価!$AB$1,FALSE)*加算率a,-1),
ROUNDDOWN(VLOOKUP($A16&amp;F$1,単価1号[],認こ1号単価!$AB$1,FALSE)*加算率a,0))*-1*$C16</f>
        <v>#N/A</v>
      </c>
      <c r="G16" s="109" t="e">
        <f>IF(VLOOKUP($A16&amp;G$1,単価1号[],認こ1号単価!$AB$1,FALSE)*加算率a&gt;=10,
ROUNDDOWN(VLOOKUP($A16&amp;G$1,単価1号[],認こ1号単価!$AB$1,FALSE)*加算率a,-1),
ROUNDDOWN(VLOOKUP($A16&amp;G$1,単価1号[],認こ1号単価!$AB$1,FALSE)*加算率a,0))*-1*$C16</f>
        <v>#N/A</v>
      </c>
    </row>
    <row r="17" spans="1:7">
      <c r="A17" s="118">
        <f>IF('2_区分12加算額計算表'!$F$45=【リスト】!$D$2,2,IF('2_区分12加算額計算表'!$F$45=【リスト】!$D$3,3,1))</f>
        <v>1</v>
      </c>
      <c r="B17" s="94" t="s">
        <v>141</v>
      </c>
      <c r="C17" s="89">
        <f>IF('2_区分12加算額計算表'!$F$45&lt;&gt;"",1,0)</f>
        <v>0</v>
      </c>
      <c r="D17" s="109" t="e">
        <f>IF(VLOOKUP($A17,療育支援1号[],認こ1号単価!$AJ$1,FALSE)*加算率a/'2_区分12加算額計算表'!$D$18&gt;=10,
ROUNDDOWN(VLOOKUP($A17,療育支援1号[],認こ1号単価!$AJ$1,FALSE)*加算率a/'2_区分12加算額計算表'!$D$18,-1),
ROUNDDOWN(VLOOKUP($A17,療育支援1号[],認こ1号単価!$AJ$1,FALSE)*加算率a/'2_区分12加算額計算表'!$D$18,0))*$C17</f>
        <v>#N/A</v>
      </c>
      <c r="E17" s="109" t="e">
        <f>IF(VLOOKUP($A17,療育支援1号[],認こ1号単価!$AJ$1,FALSE)*加算率a/'2_区分12加算額計算表'!$D$18&gt;=10,
ROUNDDOWN(VLOOKUP($A17,療育支援1号[],認こ1号単価!$AJ$1,FALSE)*加算率a/'2_区分12加算額計算表'!$D$18,-1),
ROUNDDOWN(VLOOKUP($A17,療育支援1号[],認こ1号単価!$AJ$1,FALSE)*加算率a/'2_区分12加算額計算表'!$D$18,0))*$C17</f>
        <v>#N/A</v>
      </c>
      <c r="F17" s="109" t="e">
        <f>IF(VLOOKUP($A17,療育支援1号[],認こ1号単価!$AJ$1,FALSE)*加算率a/'2_区分12加算額計算表'!$D$18&gt;=10,
ROUNDDOWN(VLOOKUP($A17,療育支援1号[],認こ1号単価!$AJ$1,FALSE)*加算率a/'2_区分12加算額計算表'!$D$18,-1),
ROUNDDOWN(VLOOKUP($A17,療育支援1号[],認こ1号単価!$AJ$1,FALSE)*加算率a/'2_区分12加算額計算表'!$D$18,0))*$C17</f>
        <v>#N/A</v>
      </c>
      <c r="G17" s="109" t="e">
        <f>IF(VLOOKUP($A17,療育支援1号[],認こ1号単価!$AJ$1,FALSE)*加算率a/'2_区分12加算額計算表'!$D$18&gt;=10,
ROUNDDOWN(VLOOKUP($A17,療育支援1号[],認こ1号単価!$AJ$1,FALSE)*加算率a/'2_区分12加算額計算表'!$D$18,-1),
ROUNDDOWN(VLOOKUP($A17,療育支援1号[],認こ1号単価!$AJ$1,FALSE)*加算率a/'2_区分12加算額計算表'!$D$18,0))*$C17</f>
        <v>#N/A</v>
      </c>
    </row>
    <row r="18" spans="1:7">
      <c r="A18" s="118"/>
      <c r="B18" s="95" t="s">
        <v>324</v>
      </c>
      <c r="C18" s="89">
        <f>IF('2_区分12加算額計算表'!$F$46&lt;&gt;"",1,0)</f>
        <v>0</v>
      </c>
      <c r="D18" s="109" t="e">
        <f>IF(認こ1号単価!$AJ$15*加算率a/'2_区分12加算額計算表'!$D$18&gt;=10,
ROUNDDOWN(認こ1号単価!$AJ$15*加算率a/'2_区分12加算額計算表'!$D$18,-1),
ROUNDDOWN(認こ1号単価!$AJ$15*加算率a/'2_区分12加算額計算表'!$D$18,0))*$C18</f>
        <v>#N/A</v>
      </c>
      <c r="E18" s="109" t="e">
        <f>IF(認こ1号単価!$AJ$15*加算率a/'2_区分12加算額計算表'!$D$18&gt;=10,
ROUNDDOWN(認こ1号単価!$AJ$15*加算率a/'2_区分12加算額計算表'!$D$18,-1),
ROUNDDOWN(認こ1号単価!$AJ$15*加算率a/'2_区分12加算額計算表'!$D$18,0))*$C18</f>
        <v>#N/A</v>
      </c>
      <c r="F18" s="109" t="e">
        <f>IF(認こ1号単価!$AJ$15*加算率a/'2_区分12加算額計算表'!$D$18&gt;=10,
ROUNDDOWN(認こ1号単価!$AJ$15*加算率a/'2_区分12加算額計算表'!$D$18,-1),
ROUNDDOWN(認こ1号単価!$AJ$15*加算率a/'2_区分12加算額計算表'!$D$18,0))*$C18</f>
        <v>#N/A</v>
      </c>
      <c r="G18" s="109" t="e">
        <f>IF(認こ1号単価!$AJ$15*加算率a/'2_区分12加算額計算表'!$D$18&gt;=10,
ROUNDDOWN(認こ1号単価!$AJ$15*加算率a/'2_区分12加算額計算表'!$D$18,-1),
ROUNDDOWN(認こ1号単価!$AJ$15*加算率a/'2_区分12加算額計算表'!$D$18,0))*$C18</f>
        <v>#N/A</v>
      </c>
    </row>
    <row r="19" spans="1:7">
      <c r="A19" s="118"/>
      <c r="B19" s="95" t="s">
        <v>325</v>
      </c>
      <c r="C19" s="89">
        <f>IF('2_区分12加算額計算表'!$F$47&lt;&gt;"",1,0)</f>
        <v>0</v>
      </c>
      <c r="D19" s="109" t="e">
        <f>IF(認こ1号単価!$AJ$16*加算率a/'2_区分12加算額計算表'!$D$18&gt;=10,
ROUNDDOWN(認こ1号単価!$AJ$16*加算率a/'2_区分12加算額計算表'!$D$18,-1),
ROUNDDOWN(認こ1号単価!$AJ$16*加算率a/'2_区分12加算額計算表'!$D$18,0))*$C19</f>
        <v>#N/A</v>
      </c>
      <c r="E19" s="109" t="e">
        <f>IF(認こ1号単価!$AJ$16*加算率a/'2_区分12加算額計算表'!$D$18&gt;=10,
ROUNDDOWN(認こ1号単価!$AJ$16*加算率a/'2_区分12加算額計算表'!$D$18,-1),
ROUNDDOWN(認こ1号単価!$AJ$16*加算率a/'2_区分12加算額計算表'!$D$18,0))*$C19</f>
        <v>#N/A</v>
      </c>
      <c r="F19" s="109" t="e">
        <f>IF(認こ1号単価!$AJ$16*加算率a/'2_区分12加算額計算表'!$D$18&gt;=10,
ROUNDDOWN(認こ1号単価!$AJ$16*加算率a/'2_区分12加算額計算表'!$D$18,-1),
ROUNDDOWN(認こ1号単価!$AJ$16*加算率a/'2_区分12加算額計算表'!$D$18,0))*$C19</f>
        <v>#N/A</v>
      </c>
      <c r="G19" s="109" t="e">
        <f>IF(認こ1号単価!$AJ$16*加算率a/'2_区分12加算額計算表'!$D$18&gt;=10,
ROUNDDOWN(認こ1号単価!$AJ$16*加算率a/'2_区分12加算額計算表'!$D$18,-1),
ROUNDDOWN(認こ1号単価!$AJ$16*加算率a/'2_区分12加算額計算表'!$D$18,0))*$C19</f>
        <v>#N/A</v>
      </c>
    </row>
    <row r="20" spans="1:7">
      <c r="A20" s="118"/>
      <c r="B20" s="94" t="s">
        <v>326</v>
      </c>
      <c r="C20" s="89">
        <f>IF('2_区分12加算額計算表'!$F$48&lt;&gt;"",1,0)</f>
        <v>0</v>
      </c>
      <c r="D20" s="109" t="e">
        <f>IF(認こ1号単価!$AJ$17*加算率a/'2_区分12加算額計算表'!$D$18&gt;=10,
ROUNDDOWN(認こ1号単価!$AJ$17*加算率a/'2_区分12加算額計算表'!$D$18,-1),
ROUNDDOWN(認こ1号単価!$AJ$17*加算率a/'2_区分12加算額計算表'!$D$18,0))*$C20</f>
        <v>#N/A</v>
      </c>
      <c r="E20" s="109" t="e">
        <f>IF(認こ1号単価!$AJ$17*加算率a/'2_区分12加算額計算表'!$D$18&gt;=10,
ROUNDDOWN(認こ1号単価!$AJ$17*加算率a/'2_区分12加算額計算表'!$D$18,-1),
ROUNDDOWN(認こ1号単価!$AJ$17*加算率a/'2_区分12加算額計算表'!$D$18,0))*$C20</f>
        <v>#N/A</v>
      </c>
      <c r="F20" s="109" t="e">
        <f>IF(認こ1号単価!$AJ$17*加算率a/'2_区分12加算額計算表'!$D$18&gt;=10,
ROUNDDOWN(認こ1号単価!$AJ$17*加算率a/'2_区分12加算額計算表'!$D$18,-1),
ROUNDDOWN(認こ1号単価!$AJ$17*加算率a/'2_区分12加算額計算表'!$D$18,0))*$C20</f>
        <v>#N/A</v>
      </c>
      <c r="G20" s="109" t="e">
        <f>IF(認こ1号単価!$AJ$17*加算率a/'2_区分12加算額計算表'!$D$18&gt;=10,
ROUNDDOWN(認こ1号単価!$AJ$17*加算率a/'2_区分12加算額計算表'!$D$18,-1),
ROUNDDOWN(認こ1号単価!$AJ$17*加算率a/'2_区分12加算額計算表'!$D$18,0))*$C20</f>
        <v>#N/A</v>
      </c>
    </row>
    <row r="21" spans="1:7">
      <c r="A21" s="119"/>
      <c r="B21" s="92" t="s">
        <v>144</v>
      </c>
      <c r="C21" s="87"/>
      <c r="D21" s="122" t="e">
        <f>SUM(D5:D20)</f>
        <v>#N/A</v>
      </c>
      <c r="E21" s="122" t="e">
        <f>SUM(E5:E20)</f>
        <v>#N/A</v>
      </c>
      <c r="F21" s="122" t="e">
        <f>SUM(F5:F20)</f>
        <v>#N/A</v>
      </c>
      <c r="G21" s="122" t="e">
        <f>SUM(G5:G20)</f>
        <v>#N/A</v>
      </c>
    </row>
    <row r="22" spans="1:7">
      <c r="B22" s="96" t="s">
        <v>145</v>
      </c>
      <c r="C22" s="91"/>
      <c r="D22" s="122" t="e">
        <f>D$4*D21</f>
        <v>#N/A</v>
      </c>
      <c r="E22" s="122" t="e">
        <f>E$4*E21</f>
        <v>#N/A</v>
      </c>
      <c r="F22" s="123" t="e">
        <f>F$4*F21</f>
        <v>#N/A</v>
      </c>
      <c r="G22" s="123" t="e">
        <f>G$4*G21</f>
        <v>#N/A</v>
      </c>
    </row>
    <row r="23" spans="1:7">
      <c r="A23" s="119"/>
    </row>
    <row r="24" spans="1:7">
      <c r="A24" s="119" t="s">
        <v>146</v>
      </c>
      <c r="D24" s="167"/>
    </row>
    <row r="25" spans="1:7">
      <c r="A25" s="118" t="e">
        <f t="shared" ref="A25:C40" si="1">A5</f>
        <v>#N/A</v>
      </c>
      <c r="B25" s="97" t="str">
        <f t="shared" si="1"/>
        <v>処遇改善等加算単価</v>
      </c>
      <c r="C25" s="100">
        <f t="shared" si="1"/>
        <v>0</v>
      </c>
      <c r="D25" s="106" t="e">
        <f>ROUNDDOWN(VLOOKUP($A25&amp;D$1,単価1号[],認こ1号単価!$G$1,FALSE)*(加算率b+VLOOKUP($A25&amp;D$1,単価1号[],認こ1号単価!$H$1,FALSE)),-1)</f>
        <v>#N/A</v>
      </c>
      <c r="E25" s="114" t="e">
        <f>ROUNDDOWN(VLOOKUP($A25&amp;E$1,単価1号[],認こ1号単価!$G$1,FALSE)*(加算率b+VLOOKUP($A25&amp;E$1,単価1号[],認こ1号単価!$H$1,FALSE)),-1)</f>
        <v>#N/A</v>
      </c>
      <c r="F25" s="116" t="e">
        <f>ROUNDDOWN(VLOOKUP($A25&amp;F$1,単価1号[],認こ1号単価!$G$1,FALSE)*(加算率b+VLOOKUP($A25&amp;F$1,単価1号[],認こ1号単価!$H$1,FALSE)),-1)</f>
        <v>#N/A</v>
      </c>
      <c r="G25" s="116" t="e">
        <f>ROUNDDOWN(VLOOKUP($A25&amp;G$1,単価1号[],認こ1号単価!$G$1,FALSE)*(加算率b+VLOOKUP($A25&amp;G$1,単価1号[],認こ1号単価!$H$1,FALSE)),-1)</f>
        <v>#N/A</v>
      </c>
    </row>
    <row r="26" spans="1:7">
      <c r="A26" s="118" t="e">
        <f t="shared" si="1"/>
        <v>#N/A</v>
      </c>
      <c r="B26" s="98" t="str">
        <f t="shared" si="1"/>
        <v>副園長・教頭配置加算単価</v>
      </c>
      <c r="C26" s="101">
        <f t="shared" si="1"/>
        <v>0</v>
      </c>
      <c r="D26" s="106" t="e">
        <f>IF(VLOOKUP($A26&amp;D$1,単価1号[],認こ1号単価!$I$1,FALSE)*加算率b&gt;=10,
ROUNDDOWN(VLOOKUP($A26&amp;D$1,単価1号[],認こ1号単価!$I$1,FALSE)*加算率b,-1),
ROUNDDOWN(VLOOKUP($A26&amp;D$1,単価1号[],認こ1号単価!$I$1,FALSE)*加算率b,0))*$C26</f>
        <v>#N/A</v>
      </c>
      <c r="E26" s="106" t="e">
        <f>IF(VLOOKUP($A26&amp;E$1,単価1号[],認こ1号単価!$I$1,FALSE)*加算率b&gt;=10,
ROUNDDOWN(VLOOKUP($A26&amp;E$1,単価1号[],認こ1号単価!$I$1,FALSE)*加算率b,-1),
ROUNDDOWN(VLOOKUP($A26&amp;E$1,単価1号[],認こ1号単価!$I$1,FALSE)*加算率b,0))*$C26</f>
        <v>#N/A</v>
      </c>
      <c r="F26" s="106" t="e">
        <f>IF(VLOOKUP($A26&amp;F$1,単価1号[],認こ1号単価!$I$1,FALSE)*加算率b&gt;=10,
ROUNDDOWN(VLOOKUP($A26&amp;F$1,単価1号[],認こ1号単価!$I$1,FALSE)*加算率b,-1),
ROUNDDOWN(VLOOKUP($A26&amp;F$1,単価1号[],認こ1号単価!$I$1,FALSE)*加算率b,0))*$C26</f>
        <v>#N/A</v>
      </c>
      <c r="G26" s="106" t="e">
        <f>IF(VLOOKUP($A26&amp;G$1,単価1号[],認こ1号単価!$I$1,FALSE)*加算率b&gt;=10,
ROUNDDOWN(VLOOKUP($A26&amp;G$1,単価1号[],認こ1号単価!$I$1,FALSE)*加算率b,-1),
ROUNDDOWN(VLOOKUP($A26&amp;G$1,単価1号[],認こ1号単価!$I$1,FALSE)*加算率b,0))*$C26</f>
        <v>#N/A</v>
      </c>
    </row>
    <row r="27" spans="1:7">
      <c r="A27" s="118" t="e">
        <f t="shared" si="1"/>
        <v>#N/A</v>
      </c>
      <c r="B27" s="98" t="str">
        <f t="shared" si="1"/>
        <v>学級編成調整加配加算単価</v>
      </c>
      <c r="C27" s="101">
        <f t="shared" si="1"/>
        <v>0</v>
      </c>
      <c r="D27" s="106" t="e">
        <f>ROUNDDOWN(VLOOKUP($A27&amp;D$1,単価1号[],認こ1号単価!$J$1,FALSE)*(加算率b+VLOOKUP($A27&amp;D$1,単価1号[],認こ1号単価!$K$1,FALSE)),-1)*$C27</f>
        <v>#N/A</v>
      </c>
      <c r="E27" s="106" t="e">
        <f>ROUNDDOWN(VLOOKUP($A27&amp;E$1,単価1号[],認こ1号単価!$J$1,FALSE)*(加算率b+VLOOKUP($A27&amp;E$1,単価1号[],認こ1号単価!$K$1,FALSE)),-1)*$C27</f>
        <v>#N/A</v>
      </c>
      <c r="F27" s="106" t="e">
        <f>ROUNDDOWN(VLOOKUP($A27&amp;F$1,単価1号[],認こ1号単価!$J$1,FALSE)*(加算率b+VLOOKUP($A27&amp;F$1,単価1号[],認こ1号単価!$K$1,FALSE)),-1)*$C27</f>
        <v>#N/A</v>
      </c>
      <c r="G27" s="106" t="e">
        <f>ROUNDDOWN(VLOOKUP($A27&amp;G$1,単価1号[],認こ1号単価!$J$1,FALSE)*(加算率b+VLOOKUP($A27&amp;G$1,単価1号[],認こ1号単価!$K$1,FALSE)),-1)*$C27</f>
        <v>#N/A</v>
      </c>
    </row>
    <row r="28" spans="1:7">
      <c r="A28" s="118" t="e">
        <f t="shared" si="1"/>
        <v>#N/A</v>
      </c>
      <c r="B28" s="98" t="str">
        <f t="shared" si="1"/>
        <v>3歳児配置改善加算単価</v>
      </c>
      <c r="C28" s="101">
        <f t="shared" si="1"/>
        <v>0</v>
      </c>
      <c r="D28" s="109" t="e">
        <f>ROUNDDOWN(VLOOKUP($A28&amp;D$1,単価1号[],認こ1号単価!$L$1,FALSE)*(加算率b+VLOOKUP($A28&amp;D$1,単価1号[],認こ1号単価!$M$1,FALSE)),-1)*$C28</f>
        <v>#N/A</v>
      </c>
      <c r="E28" s="109" t="e">
        <f>ROUNDDOWN(VLOOKUP($A28&amp;E$1,単価1号[],認こ1号単価!$L$1,FALSE)*(加算率b+VLOOKUP($A28&amp;E$1,単価1号[],認こ1号単価!$M$1,FALSE)),-1)*$C28</f>
        <v>#N/A</v>
      </c>
      <c r="F28" s="110"/>
      <c r="G28" s="110"/>
    </row>
    <row r="29" spans="1:7">
      <c r="A29" s="118" t="e">
        <f t="shared" si="1"/>
        <v>#N/A</v>
      </c>
      <c r="B29" s="98" t="str">
        <f t="shared" si="1"/>
        <v>4歳以上児配置改善加算単価</v>
      </c>
      <c r="C29" s="101">
        <f t="shared" si="1"/>
        <v>0</v>
      </c>
      <c r="D29" s="107"/>
      <c r="E29" s="107"/>
      <c r="F29" s="109" t="e">
        <f>ROUNDDOWN(VLOOKUP($A29&amp;F$1,単価1号[],認こ1号単価!$N$1,FALSE)*(加算率b+VLOOKUP($A29&amp;F$1,単価1号[],認こ1号単価!$O$1,FALSE)),-1)*$C29</f>
        <v>#N/A</v>
      </c>
      <c r="G29" s="109" t="e">
        <f>ROUNDDOWN(VLOOKUP($A29&amp;G$1,単価1号[],認こ1号単価!$N$1,FALSE)*(加算率b+VLOOKUP($A29&amp;G$1,単価1号[],認こ1号単価!$O$1,FALSE)),-1)*$C29</f>
        <v>#N/A</v>
      </c>
    </row>
    <row r="30" spans="1:7">
      <c r="A30" s="118" t="e">
        <f t="shared" si="1"/>
        <v>#N/A</v>
      </c>
      <c r="B30" s="98" t="str">
        <f t="shared" si="1"/>
        <v>満３歳児対応加配加算単価</v>
      </c>
      <c r="C30" s="101">
        <f t="shared" si="1"/>
        <v>0</v>
      </c>
      <c r="D30" s="109" t="e">
        <f>ROUNDDOWN(IF(C28=0,VLOOKUP($A30&amp;D$1,単価1号[],認こ1号単価!$P$1,FALSE),VLOOKUP($A30&amp;D$1,単価1号[],認こ1号単価!$R$1,FALSE))*(加算率b+IF(C28=0,VLOOKUP($A30&amp;D$1,単価1号[],認こ1号単価!$Q$1,FALSE),VLOOKUP($A30&amp;D$1,単価1号[],認こ1号単価!$S$1,FALSE))),-1)*$C30</f>
        <v>#N/A</v>
      </c>
      <c r="E30" s="107"/>
      <c r="F30" s="110"/>
      <c r="G30" s="110"/>
    </row>
    <row r="31" spans="1:7">
      <c r="A31" s="118" t="e">
        <f t="shared" si="1"/>
        <v>#N/A</v>
      </c>
      <c r="B31" s="98" t="str">
        <f t="shared" si="1"/>
        <v>講師配置加算単価</v>
      </c>
      <c r="C31" s="101">
        <f t="shared" si="1"/>
        <v>0</v>
      </c>
      <c r="D31" s="109" t="e">
        <f>IF(VLOOKUP($A31&amp;D$1,単価1号[],認こ1号単価!$T$1,FALSE)*(加算率b+VLOOKUP($A31&amp;D$1,単価1号[],認こ1号単価!$U$1,FALSE))&gt;=10,
ROUNDDOWN(VLOOKUP($A31&amp;D$1,単価1号[],認こ1号単価!$T$1,FALSE)*(加算率b+VLOOKUP($A31&amp;D$1,単価1号[],認こ1号単価!$U$1,FALSE)),-1),
ROUNDDOWN(VLOOKUP($A31&amp;D$1,単価1号[],認こ1号単価!$T$1,FALSE)*(加算率b+VLOOKUP($A31&amp;D$1,単価1号[],認こ1号単価!$U$1,FALSE)),0))*$C31</f>
        <v>#N/A</v>
      </c>
      <c r="E31" s="109" t="e">
        <f>IF(VLOOKUP($A31&amp;E$1,単価1号[],認こ1号単価!$T$1,FALSE)*(加算率b+VLOOKUP($A31&amp;E$1,単価1号[],認こ1号単価!$U$1,FALSE))&gt;=10,
ROUNDDOWN(VLOOKUP($A31&amp;E$1,単価1号[],認こ1号単価!$T$1,FALSE)*(加算率b+VLOOKUP($A31&amp;E$1,単価1号[],認こ1号単価!$U$1,FALSE)),-1),
ROUNDDOWN(VLOOKUP($A31&amp;E$1,単価1号[],認こ1号単価!$T$1,FALSE)*(加算率b+VLOOKUP($A31&amp;E$1,単価1号[],認こ1号単価!$U$1,FALSE)),0))*$C31</f>
        <v>#N/A</v>
      </c>
      <c r="F31" s="109" t="e">
        <f>IF(VLOOKUP($A31&amp;F$1,単価1号[],認こ1号単価!$T$1,FALSE)*(加算率b+VLOOKUP($A31&amp;F$1,単価1号[],認こ1号単価!$U$1,FALSE))&gt;=10,
ROUNDDOWN(VLOOKUP($A31&amp;F$1,単価1号[],認こ1号単価!$T$1,FALSE)*(加算率b+VLOOKUP($A31&amp;F$1,単価1号[],認こ1号単価!$U$1,FALSE)),-1),
ROUNDDOWN(VLOOKUP($A31&amp;F$1,単価1号[],認こ1号単価!$T$1,FALSE)*(加算率b+VLOOKUP($A31&amp;F$1,単価1号[],認こ1号単価!$U$1,FALSE)),0))*$C31</f>
        <v>#N/A</v>
      </c>
      <c r="G31" s="109" t="e">
        <f>IF(VLOOKUP($A31&amp;G$1,単価1号[],認こ1号単価!$T$1,FALSE)*(加算率b+VLOOKUP($A31&amp;G$1,単価1号[],認こ1号単価!$U$1,FALSE))&gt;=10,
ROUNDDOWN(VLOOKUP($A31&amp;G$1,単価1号[],認こ1号単価!$T$1,FALSE)*(加算率b+VLOOKUP($A31&amp;G$1,単価1号[],認こ1号単価!$U$1,FALSE)),-1),
ROUNDDOWN(VLOOKUP($A31&amp;G$1,単価1号[],認こ1号単価!$T$1,FALSE)*(加算率b+VLOOKUP($A31&amp;G$1,単価1号[],認こ1号単価!$U$1,FALSE)),0))*$C31</f>
        <v>#N/A</v>
      </c>
    </row>
    <row r="32" spans="1:7">
      <c r="A32" s="118" t="e">
        <f t="shared" si="1"/>
        <v>#N/A</v>
      </c>
      <c r="B32" s="98" t="str">
        <f t="shared" si="1"/>
        <v>チーム保育加配加算単価</v>
      </c>
      <c r="C32" s="101">
        <f t="shared" si="1"/>
        <v>0</v>
      </c>
      <c r="D32" s="109" t="e">
        <f>ROUNDDOWN(VLOOKUP($A32&amp;D$1,単価1号[],認こ1号単価!$AE$1,FALSE)*(加算率b+VLOOKUP($A32&amp;D$1,単価1号[],認こ1号単価!$AF$1,FALSE)),-1)*$C32</f>
        <v>#N/A</v>
      </c>
      <c r="E32" s="109" t="e">
        <f>ROUNDDOWN(VLOOKUP($A32&amp;E$1,単価1号[],認こ1号単価!$AE$1,FALSE)*(加算率b+VLOOKUP($A32&amp;E$1,単価1号[],認こ1号単価!$AF$1,FALSE)),-1)*$C32</f>
        <v>#N/A</v>
      </c>
      <c r="F32" s="109" t="e">
        <f>ROUNDDOWN(VLOOKUP($A32&amp;F$1,単価1号[],認こ1号単価!$AE$1,FALSE)*(加算率b+VLOOKUP($A32&amp;F$1,単価1号[],認こ1号単価!$AF$1,FALSE)),-1)*$C32</f>
        <v>#N/A</v>
      </c>
      <c r="G32" s="109" t="e">
        <f>ROUNDDOWN(VLOOKUP($A32&amp;G$1,単価1号[],認こ1号単価!$AE$1,FALSE)*(加算率b+VLOOKUP($A32&amp;G$1,単価1号[],認こ1号単価!$AF$1,FALSE)),-1)*$C32</f>
        <v>#N/A</v>
      </c>
    </row>
    <row r="33" spans="1:7">
      <c r="A33" s="118" t="e">
        <f t="shared" si="1"/>
        <v>#N/A</v>
      </c>
      <c r="B33" s="98" t="str">
        <f t="shared" si="1"/>
        <v>通園送迎費加算単価</v>
      </c>
      <c r="C33" s="101">
        <f t="shared" si="1"/>
        <v>0</v>
      </c>
      <c r="D33" s="109" t="e">
        <f>IF(VLOOKUP($A33&amp;D$1,単価1号[],認こ1号単価!$V$1,FALSE)*(加算率b+VLOOKUP($A33&amp;D$1,単価1号[],認こ1号単価!$W$1,FALSE))&gt;=10,
ROUNDDOWN(VLOOKUP($A33&amp;D$1,単価1号[],認こ1号単価!$V$1,FALSE)*(加算率b+VLOOKUP($A33&amp;D$1,単価1号[],認こ1号単価!$W$1,FALSE)),-1),
ROUNDDOWN(VLOOKUP($A33&amp;D$1,単価1号[],認こ1号単価!$V$1,FALSE)*(加算率b+VLOOKUP($A33&amp;D$1,単価1号[],認こ1号単価!$W$1,FALSE)),0))*$C33</f>
        <v>#N/A</v>
      </c>
      <c r="E33" s="109" t="e">
        <f>IF(VLOOKUP($A33&amp;E$1,単価1号[],認こ1号単価!$V$1,FALSE)*(加算率b+VLOOKUP($A33&amp;E$1,単価1号[],認こ1号単価!$W$1,FALSE))&gt;=10,
ROUNDDOWN(VLOOKUP($A33&amp;E$1,単価1号[],認こ1号単価!$V$1,FALSE)*(加算率b+VLOOKUP($A33&amp;E$1,単価1号[],認こ1号単価!$W$1,FALSE)),-1),
ROUNDDOWN(VLOOKUP($A33&amp;E$1,単価1号[],認こ1号単価!$V$1,FALSE)*(加算率b+VLOOKUP($A33&amp;E$1,単価1号[],認こ1号単価!$W$1,FALSE)),0))*$C33</f>
        <v>#N/A</v>
      </c>
      <c r="F33" s="109" t="e">
        <f>IF(VLOOKUP($A33&amp;F$1,単価1号[],認こ1号単価!$V$1,FALSE)*(加算率b+VLOOKUP($A33&amp;F$1,単価1号[],認こ1号単価!$W$1,FALSE))&gt;=10,
ROUNDDOWN(VLOOKUP($A33&amp;F$1,単価1号[],認こ1号単価!$V$1,FALSE)*(加算率b+VLOOKUP($A33&amp;F$1,単価1号[],認こ1号単価!$W$1,FALSE)),-1),
ROUNDDOWN(VLOOKUP($A33&amp;F$1,単価1号[],認こ1号単価!$V$1,FALSE)*(加算率b+VLOOKUP($A33&amp;F$1,単価1号[],認こ1号単価!$W$1,FALSE)),0))*$C33</f>
        <v>#N/A</v>
      </c>
      <c r="G33" s="109" t="e">
        <f>IF(VLOOKUP($A33&amp;G$1,単価1号[],認こ1号単価!$V$1,FALSE)*(加算率b+VLOOKUP($A33&amp;G$1,単価1号[],認こ1号単価!$W$1,FALSE))&gt;=10,
ROUNDDOWN(VLOOKUP($A33&amp;G$1,単価1号[],認こ1号単価!$V$1,FALSE)*(加算率b+VLOOKUP($A33&amp;G$1,単価1号[],認こ1号単価!$W$1,FALSE)),-1),
ROUNDDOWN(VLOOKUP($A33&amp;G$1,単価1号[],認こ1号単価!$V$1,FALSE)*(加算率b+VLOOKUP($A33&amp;G$1,単価1号[],認こ1号単価!$W$1,FALSE)),0))*$C33</f>
        <v>#N/A</v>
      </c>
    </row>
    <row r="34" spans="1:7">
      <c r="A34" s="118" t="e">
        <f t="shared" si="1"/>
        <v>#N/A</v>
      </c>
      <c r="B34" s="98" t="str">
        <f t="shared" si="1"/>
        <v>給食実施加算単価（自園調理）</v>
      </c>
      <c r="C34" s="101">
        <f t="shared" si="1"/>
        <v>0</v>
      </c>
      <c r="D34" s="109" t="e">
        <f>IF(VLOOKUP($A34&amp;D$1,単価1号[],認こ1号単価!$X$1,FALSE)*$C34*加算率b+VLOOKUP($A34&amp;D$1,単価1号[],認こ1号単価!$X$1,FALSE)*VLOOKUP($A34&amp;D$1,単価1号[],認こ1号単価!$Y$1,FALSE)&gt;=10,
ROUNDDOWN(VLOOKUP($A34&amp;D$1,単価1号[],認こ1号単価!$X$1,FALSE)*$C34*加算率b+VLOOKUP($A34&amp;D$1,単価1号[],認こ1号単価!$X$1,FALSE)*VLOOKUP($A34&amp;D$1,単価1号[],認こ1号単価!$Y$1,FALSE),-1),
ROUNDDOWN(VLOOKUP($A34&amp;D$1,単価1号[],認こ1号単価!$X$1,FALSE)*$C34*加算率b+VLOOKUP($A34&amp;D$1,単価1号[],認こ1号単価!$X$1,FALSE)*VLOOKUP($A34&amp;D$1,単価1号[],認こ1号単価!$Y$1,FALSE),0))*IF($C34=0,0,1)</f>
        <v>#N/A</v>
      </c>
      <c r="E34" s="109" t="e">
        <f>IF(VLOOKUP($A34&amp;E$1,単価1号[],認こ1号単価!$X$1,FALSE)*$C34*加算率b+VLOOKUP($A34&amp;E$1,単価1号[],認こ1号単価!$X$1,FALSE)*VLOOKUP($A34&amp;E$1,単価1号[],認こ1号単価!$Y$1,FALSE)&gt;=10,
ROUNDDOWN(VLOOKUP($A34&amp;E$1,単価1号[],認こ1号単価!$X$1,FALSE)*$C34*加算率b+VLOOKUP($A34&amp;E$1,単価1号[],認こ1号単価!$X$1,FALSE)*VLOOKUP($A34&amp;E$1,単価1号[],認こ1号単価!$Y$1,FALSE),-1),
ROUNDDOWN(VLOOKUP($A34&amp;E$1,単価1号[],認こ1号単価!$X$1,FALSE)*$C34*加算率b+VLOOKUP($A34&amp;E$1,単価1号[],認こ1号単価!$X$1,FALSE)*VLOOKUP($A34&amp;E$1,単価1号[],認こ1号単価!$Y$1,FALSE),0))*IF($C34=0,0,1)</f>
        <v>#N/A</v>
      </c>
      <c r="F34" s="109" t="e">
        <f>IF(VLOOKUP($A34&amp;F$1,単価1号[],認こ1号単価!$X$1,FALSE)*$C34*加算率b+VLOOKUP($A34&amp;F$1,単価1号[],認こ1号単価!$X$1,FALSE)*VLOOKUP($A34&amp;F$1,単価1号[],認こ1号単価!$Y$1,FALSE)&gt;=10,
ROUNDDOWN(VLOOKUP($A34&amp;F$1,単価1号[],認こ1号単価!$X$1,FALSE)*$C34*加算率b+VLOOKUP($A34&amp;F$1,単価1号[],認こ1号単価!$X$1,FALSE)*VLOOKUP($A34&amp;F$1,単価1号[],認こ1号単価!$Y$1,FALSE),-1),
ROUNDDOWN(VLOOKUP($A34&amp;F$1,単価1号[],認こ1号単価!$X$1,FALSE)*$C34*加算率b+VLOOKUP($A34&amp;F$1,単価1号[],認こ1号単価!$X$1,FALSE)*VLOOKUP($A34&amp;F$1,単価1号[],認こ1号単価!$Y$1,FALSE),0))*IF($C34=0,0,1)</f>
        <v>#N/A</v>
      </c>
      <c r="G34" s="109" t="e">
        <f>IF(VLOOKUP($A34&amp;G$1,単価1号[],認こ1号単価!$X$1,FALSE)*$C34*加算率b+VLOOKUP($A34&amp;G$1,単価1号[],認こ1号単価!$X$1,FALSE)*VLOOKUP($A34&amp;G$1,単価1号[],認こ1号単価!$Y$1,FALSE)&gt;=10,
ROUNDDOWN(VLOOKUP($A34&amp;G$1,単価1号[],認こ1号単価!$X$1,FALSE)*$C34*加算率b+VLOOKUP($A34&amp;G$1,単価1号[],認こ1号単価!$X$1,FALSE)*VLOOKUP($A34&amp;G$1,単価1号[],認こ1号単価!$Y$1,FALSE),-1),
ROUNDDOWN(VLOOKUP($A34&amp;G$1,単価1号[],認こ1号単価!$X$1,FALSE)*$C34*加算率b+VLOOKUP($A34&amp;G$1,単価1号[],認こ1号単価!$X$1,FALSE)*VLOOKUP($A34&amp;G$1,単価1号[],認こ1号単価!$Y$1,FALSE),0))*IF($C34=0,0,1)</f>
        <v>#N/A</v>
      </c>
    </row>
    <row r="35" spans="1:7">
      <c r="A35" s="118" t="e">
        <f t="shared" si="1"/>
        <v>#N/A</v>
      </c>
      <c r="B35" s="98" t="str">
        <f t="shared" si="1"/>
        <v>給食実施加算単価（外部搬入）</v>
      </c>
      <c r="C35" s="101">
        <f t="shared" si="1"/>
        <v>0</v>
      </c>
      <c r="D35" s="109" t="e">
        <f>IF(VLOOKUP($A35&amp;D$1,単価1号[],認こ1号単価!$Z$1,FALSE)*$C35*加算率b+VLOOKUP($A35&amp;D$1,単価1号[],認こ1号単価!$Z$1,FALSE)*VLOOKUP($A35&amp;D$1,単価1号[],認こ1号単価!$AA$1,FALSE)&gt;=10,
ROUNDDOWN(VLOOKUP($A35&amp;D$1,単価1号[],認こ1号単価!$Z$1,FALSE)*$C35*加算率b+VLOOKUP($A35&amp;D$1,単価1号[],認こ1号単価!$Z$1,FALSE)*VLOOKUP($A35&amp;D$1,単価1号[],認こ1号単価!$AA$1,FALSE),-1),
ROUNDDOWN(VLOOKUP($A35&amp;D$1,単価1号[],認こ1号単価!$Z$1,FALSE)*$C35*加算率b+VLOOKUP($A35&amp;D$1,単価1号[],認こ1号単価!$Z$1,FALSE)*VLOOKUP($A35&amp;D$1,単価1号[],認こ1号単価!$AA$1,FALSE),0))*IF($C35=0,0,1)</f>
        <v>#N/A</v>
      </c>
      <c r="E35" s="109" t="e">
        <f>IF(VLOOKUP($A35&amp;E$1,単価1号[],認こ1号単価!$Z$1,FALSE)*$C35*加算率b+VLOOKUP($A35&amp;E$1,単価1号[],認こ1号単価!$Z$1,FALSE)*VLOOKUP($A35&amp;E$1,単価1号[],認こ1号単価!$AA$1,FALSE)&gt;=10,
ROUNDDOWN(VLOOKUP($A35&amp;E$1,単価1号[],認こ1号単価!$Z$1,FALSE)*$C35*加算率b+VLOOKUP($A35&amp;E$1,単価1号[],認こ1号単価!$Z$1,FALSE)*VLOOKUP($A35&amp;E$1,単価1号[],認こ1号単価!$AA$1,FALSE),-1),
ROUNDDOWN(VLOOKUP($A35&amp;E$1,単価1号[],認こ1号単価!$Z$1,FALSE)*$C35*加算率b+VLOOKUP($A35&amp;E$1,単価1号[],認こ1号単価!$Z$1,FALSE)*VLOOKUP($A35&amp;E$1,単価1号[],認こ1号単価!$AA$1,FALSE),0))*IF($C35=0,0,1)</f>
        <v>#N/A</v>
      </c>
      <c r="F35" s="109" t="e">
        <f>IF(VLOOKUP($A35&amp;F$1,単価1号[],認こ1号単価!$Z$1,FALSE)*$C35*加算率b+VLOOKUP($A35&amp;F$1,単価1号[],認こ1号単価!$Z$1,FALSE)*VLOOKUP($A35&amp;F$1,単価1号[],認こ1号単価!$AA$1,FALSE)&gt;=10,
ROUNDDOWN(VLOOKUP($A35&amp;F$1,単価1号[],認こ1号単価!$Z$1,FALSE)*$C35*加算率b+VLOOKUP($A35&amp;F$1,単価1号[],認こ1号単価!$Z$1,FALSE)*VLOOKUP($A35&amp;F$1,単価1号[],認こ1号単価!$AA$1,FALSE),-1),
ROUNDDOWN(VLOOKUP($A35&amp;F$1,単価1号[],認こ1号単価!$Z$1,FALSE)*$C35*加算率b+VLOOKUP($A35&amp;F$1,単価1号[],認こ1号単価!$Z$1,FALSE)*VLOOKUP($A35&amp;F$1,単価1号[],認こ1号単価!$AA$1,FALSE),0))*IF($C35=0,0,1)</f>
        <v>#N/A</v>
      </c>
      <c r="G35" s="109" t="e">
        <f>IF(VLOOKUP($A35&amp;G$1,単価1号[],認こ1号単価!$Z$1,FALSE)*$C35*加算率b+VLOOKUP($A35&amp;G$1,単価1号[],認こ1号単価!$Z$1,FALSE)*VLOOKUP($A35&amp;G$1,単価1号[],認こ1号単価!$AA$1,FALSE)&gt;=10,
ROUNDDOWN(VLOOKUP($A35&amp;G$1,単価1号[],認こ1号単価!$Z$1,FALSE)*$C35*加算率b+VLOOKUP($A35&amp;G$1,単価1号[],認こ1号単価!$Z$1,FALSE)*VLOOKUP($A35&amp;G$1,単価1号[],認こ1号単価!$AA$1,FALSE),-1),
ROUNDDOWN(VLOOKUP($A35&amp;G$1,単価1号[],認こ1号単価!$Z$1,FALSE)*$C35*加算率b+VLOOKUP($A35&amp;G$1,単価1号[],認こ1号単価!$Z$1,FALSE)*VLOOKUP($A35&amp;G$1,単価1号[],認こ1号単価!$AA$1,FALSE),0))*IF($C35=0,0,1)</f>
        <v>#N/A</v>
      </c>
    </row>
    <row r="36" spans="1:7">
      <c r="A36" s="118" t="e">
        <f t="shared" si="1"/>
        <v>#N/A</v>
      </c>
      <c r="B36" s="98" t="str">
        <f t="shared" si="1"/>
        <v>主幹教諭等専任化なしの調整</v>
      </c>
      <c r="C36" s="101">
        <f t="shared" si="1"/>
        <v>0</v>
      </c>
      <c r="D36" s="109" t="e">
        <f>IF(VLOOKUP($A36&amp;D$1,単価1号[],認こ1号単価!$AB$1,FALSE)*(加算率b+VLOOKUP($A36&amp;D$1,単価1号[],認こ1号単価!$AC$1,FALSE))&gt;=10,
ROUNDDOWN(VLOOKUP($A36&amp;D$1,単価1号[],認こ1号単価!$AB$1,FALSE)*(加算率b+VLOOKUP($A36&amp;D$1,単価1号[],認こ1号単価!$AC$1,FALSE)),-1),
ROUNDDOWN(VLOOKUP($A36&amp;D$1,単価1号[],認こ1号単価!$AB$1,FALSE)*(加算率b+VLOOKUP($A36&amp;D$1,単価1号[],認こ1号単価!$AC$1,FALSE)),0))*-1*$C36</f>
        <v>#N/A</v>
      </c>
      <c r="E36" s="109" t="e">
        <f>IF(VLOOKUP($A36&amp;E$1,単価1号[],認こ1号単価!$AB$1,FALSE)*(加算率b+VLOOKUP($A36&amp;E$1,単価1号[],認こ1号単価!$AC$1,FALSE))&gt;=10,
ROUNDDOWN(VLOOKUP($A36&amp;E$1,単価1号[],認こ1号単価!$AB$1,FALSE)*(加算率b+VLOOKUP($A36&amp;E$1,単価1号[],認こ1号単価!$AC$1,FALSE)),-1),
ROUNDDOWN(VLOOKUP($A36&amp;E$1,単価1号[],認こ1号単価!$AB$1,FALSE)*(加算率b+VLOOKUP($A36&amp;E$1,単価1号[],認こ1号単価!$AC$1,FALSE)),0))*-1*$C36</f>
        <v>#N/A</v>
      </c>
      <c r="F36" s="109" t="e">
        <f>IF(VLOOKUP($A36&amp;F$1,単価1号[],認こ1号単価!$AB$1,FALSE)*(加算率b+VLOOKUP($A36&amp;F$1,単価1号[],認こ1号単価!$AC$1,FALSE))&gt;=10,
ROUNDDOWN(VLOOKUP($A36&amp;F$1,単価1号[],認こ1号単価!$AB$1,FALSE)*(加算率b+VLOOKUP($A36&amp;F$1,単価1号[],認こ1号単価!$AC$1,FALSE)),-1),
ROUNDDOWN(VLOOKUP($A36&amp;F$1,単価1号[],認こ1号単価!$AB$1,FALSE)*(加算率b+VLOOKUP($A36&amp;F$1,単価1号[],認こ1号単価!$AC$1,FALSE)),0))*-1*$C36</f>
        <v>#N/A</v>
      </c>
      <c r="G36" s="109" t="e">
        <f>IF(VLOOKUP($A36&amp;G$1,単価1号[],認こ1号単価!$AB$1,FALSE)*(加算率b+VLOOKUP($A36&amp;G$1,単価1号[],認こ1号単価!$AC$1,FALSE))&gt;=10,
ROUNDDOWN(VLOOKUP($A36&amp;G$1,単価1号[],認こ1号単価!$AB$1,FALSE)*(加算率b+VLOOKUP($A36&amp;G$1,単価1号[],認こ1号単価!$AC$1,FALSE)),-1),
ROUNDDOWN(VLOOKUP($A36&amp;G$1,単価1号[],認こ1号単価!$AB$1,FALSE)*(加算率b+VLOOKUP($A36&amp;G$1,単価1号[],認こ1号単価!$AC$1,FALSE)),0))*-1*$C36</f>
        <v>#N/A</v>
      </c>
    </row>
    <row r="37" spans="1:7">
      <c r="A37" s="118">
        <f t="shared" si="1"/>
        <v>1</v>
      </c>
      <c r="B37" s="98" t="str">
        <f t="shared" si="1"/>
        <v>療育支援加算単価</v>
      </c>
      <c r="C37" s="101">
        <f t="shared" si="1"/>
        <v>0</v>
      </c>
      <c r="D37" s="109" t="e">
        <f>IF(VLOOKUP($A37,療育支援1号[],認こ1号単価!$AJ$1,FALSE)*(加算率b+VLOOKUP($A37,療育支援1号[],認こ1号単価!$AK$1,FALSE))/'2_区分12加算額計算表'!$D$18&gt;=10,
ROUNDDOWN(VLOOKUP($A37,療育支援1号[],認こ1号単価!$AJ$1,FALSE)*(加算率b+VLOOKUP($A37,療育支援1号[],認こ1号単価!$AK$1,FALSE))/'2_区分12加算額計算表'!$D$18,-1),
ROUNDDOWN(VLOOKUP($A37,療育支援1号[],認こ1号単価!$AJ$1,FALSE)*(加算率b+VLOOKUP($A37,療育支援1号[],認こ1号単価!$AK$1,FALSE))/'2_区分12加算額計算表'!$D$18,0))*$C37</f>
        <v>#N/A</v>
      </c>
      <c r="E37" s="109" t="e">
        <f>IF(VLOOKUP($A37,療育支援1号[],認こ1号単価!$AJ$1,FALSE)*(加算率b+VLOOKUP($A37,療育支援1号[],認こ1号単価!$AK$1,FALSE))/'2_区分12加算額計算表'!$D$18&gt;=10,
ROUNDDOWN(VLOOKUP($A37,療育支援1号[],認こ1号単価!$AJ$1,FALSE)*(加算率b+VLOOKUP($A37,療育支援1号[],認こ1号単価!$AK$1,FALSE))/'2_区分12加算額計算表'!$D$18,-1),
ROUNDDOWN(VLOOKUP($A37,療育支援1号[],認こ1号単価!$AJ$1,FALSE)*(加算率b+VLOOKUP($A37,療育支援1号[],認こ1号単価!$AK$1,FALSE))/'2_区分12加算額計算表'!$D$18,0))*$C37</f>
        <v>#N/A</v>
      </c>
      <c r="F37" s="109" t="e">
        <f>IF(VLOOKUP($A37,療育支援1号[],認こ1号単価!$AJ$1,FALSE)*(加算率b+VLOOKUP($A37,療育支援1号[],認こ1号単価!$AK$1,FALSE))/'2_区分12加算額計算表'!$D$18&gt;=10,
ROUNDDOWN(VLOOKUP($A37,療育支援1号[],認こ1号単価!$AJ$1,FALSE)*(加算率b+VLOOKUP($A37,療育支援1号[],認こ1号単価!$AK$1,FALSE))/'2_区分12加算額計算表'!$D$18,-1),
ROUNDDOWN(VLOOKUP($A37,療育支援1号[],認こ1号単価!$AJ$1,FALSE)*(加算率b+VLOOKUP($A37,療育支援1号[],認こ1号単価!$AK$1,FALSE))/'2_区分12加算額計算表'!$D$18,0))*$C37</f>
        <v>#N/A</v>
      </c>
      <c r="G37" s="109" t="e">
        <f>IF(VLOOKUP($A37,療育支援1号[],認こ1号単価!$AJ$1,FALSE)*(加算率b+VLOOKUP($A37,療育支援1号[],認こ1号単価!$AK$1,FALSE))/'2_区分12加算額計算表'!$D$18&gt;=10,
ROUNDDOWN(VLOOKUP($A37,療育支援1号[],認こ1号単価!$AJ$1,FALSE)*(加算率b+VLOOKUP($A37,療育支援1号[],認こ1号単価!$AK$1,FALSE))/'2_区分12加算額計算表'!$D$18,-1),
ROUNDDOWN(VLOOKUP($A37,療育支援1号[],認こ1号単価!$AJ$1,FALSE)*(加算率b+VLOOKUP($A37,療育支援1号[],認こ1号単価!$AK$1,FALSE))/'2_区分12加算額計算表'!$D$18,0))*$C37</f>
        <v>#N/A</v>
      </c>
    </row>
    <row r="38" spans="1:7">
      <c r="A38" s="118">
        <f t="shared" si="1"/>
        <v>0</v>
      </c>
      <c r="B38" s="99" t="str">
        <f t="shared" si="1"/>
        <v>事務職員配置加算単価</v>
      </c>
      <c r="C38" s="102">
        <f t="shared" si="1"/>
        <v>0</v>
      </c>
      <c r="D38" s="109" t="e">
        <f>IF(認こ1号単価!$AJ$15*(加算率b+認こ1号単価!$AK$15)/'2_区分12加算額計算表'!$D$18&gt;=10,
ROUNDDOWN(認こ1号単価!$AJ$15*(加算率b+認こ1号単価!$AK$15)/'2_区分12加算額計算表'!$D$18,-1),
ROUNDDOWN(認こ1号単価!$AJ$15*(加算率b+認こ1号単価!$AK$15)/'2_区分12加算額計算表'!$D$18,0))*$C38</f>
        <v>#N/A</v>
      </c>
      <c r="E38" s="109" t="e">
        <f>IF(認こ1号単価!$AJ$15*(加算率b+認こ1号単価!$AK$15)/'2_区分12加算額計算表'!$D$18&gt;=10,
ROUNDDOWN(認こ1号単価!$AJ$15*(加算率b+認こ1号単価!$AK$15)/'2_区分12加算額計算表'!$D$18,-1),
ROUNDDOWN(認こ1号単価!$AJ$15*(加算率b+認こ1号単価!$AK$15)/'2_区分12加算額計算表'!$D$18,0))*$C38</f>
        <v>#N/A</v>
      </c>
      <c r="F38" s="109" t="e">
        <f>IF(認こ1号単価!$AJ$15*(加算率b+認こ1号単価!$AK$15)/'2_区分12加算額計算表'!$D$18&gt;=10,
ROUNDDOWN(認こ1号単価!$AJ$15*(加算率b+認こ1号単価!$AK$15)/'2_区分12加算額計算表'!$D$18,-1),
ROUNDDOWN(認こ1号単価!$AJ$15*(加算率b+認こ1号単価!$AK$15)/'2_区分12加算額計算表'!$D$18,0))*$C38</f>
        <v>#N/A</v>
      </c>
      <c r="G38" s="109" t="e">
        <f>IF(認こ1号単価!$AJ$15*(加算率b+認こ1号単価!$AK$15)/'2_区分12加算額計算表'!$D$18&gt;=10,
ROUNDDOWN(認こ1号単価!$AJ$15*(加算率b+認こ1号単価!$AK$15)/'2_区分12加算額計算表'!$D$18,-1),
ROUNDDOWN(認こ1号単価!$AJ$15*(加算率b+認こ1号単価!$AK$15)/'2_区分12加算額計算表'!$D$18,0))*$C38</f>
        <v>#N/A</v>
      </c>
    </row>
    <row r="39" spans="1:7">
      <c r="A39" s="118">
        <f t="shared" si="1"/>
        <v>0</v>
      </c>
      <c r="B39" s="99" t="str">
        <f t="shared" si="1"/>
        <v>指導充実加配加算単価</v>
      </c>
      <c r="C39" s="102">
        <f t="shared" si="1"/>
        <v>0</v>
      </c>
      <c r="D39" s="109" t="e">
        <f>IF(認こ1号単価!$AJ$16*(加算率b+認こ1号単価!$AK$16)/'2_区分12加算額計算表'!$D$18&gt;=10,
ROUNDDOWN(認こ1号単価!$AJ$16*(加算率b+認こ1号単価!$AK$16)/'2_区分12加算額計算表'!$D$18,-1),
ROUNDDOWN(認こ1号単価!$AJ$16*(加算率b+認こ1号単価!$AK$16)/'2_区分12加算額計算表'!$D$18,0))*$C39</f>
        <v>#N/A</v>
      </c>
      <c r="E39" s="109" t="e">
        <f>IF(認こ1号単価!$AJ$16*(加算率b+認こ1号単価!$AK$16)/'2_区分12加算額計算表'!$D$18&gt;=10,
ROUNDDOWN(認こ1号単価!$AJ$16*(加算率b+認こ1号単価!$AK$16)/'2_区分12加算額計算表'!$D$18,-1),
ROUNDDOWN(認こ1号単価!$AJ$16*(加算率b+認こ1号単価!$AK$16)/'2_区分12加算額計算表'!$D$18,0))*$C39</f>
        <v>#N/A</v>
      </c>
      <c r="F39" s="109" t="e">
        <f>IF(認こ1号単価!$AJ$16*(加算率b+認こ1号単価!$AK$16)/'2_区分12加算額計算表'!$D$18&gt;=10,
ROUNDDOWN(認こ1号単価!$AJ$16*(加算率b+認こ1号単価!$AK$16)/'2_区分12加算額計算表'!$D$18,-1),
ROUNDDOWN(認こ1号単価!$AJ$16*(加算率b+認こ1号単価!$AK$16)/'2_区分12加算額計算表'!$D$18,0))*$C39</f>
        <v>#N/A</v>
      </c>
      <c r="G39" s="109" t="e">
        <f>IF(認こ1号単価!$AJ$16*(加算率b+認こ1号単価!$AK$16)/'2_区分12加算額計算表'!$D$18&gt;=10,
ROUNDDOWN(認こ1号単価!$AJ$16*(加算率b+認こ1号単価!$AK$16)/'2_区分12加算額計算表'!$D$18,-1),
ROUNDDOWN(認こ1号単価!$AJ$16*(加算率b+認こ1号単価!$AK$16)/'2_区分12加算額計算表'!$D$18,0))*$C39</f>
        <v>#N/A</v>
      </c>
    </row>
    <row r="40" spans="1:7">
      <c r="A40" s="118">
        <f t="shared" si="1"/>
        <v>0</v>
      </c>
      <c r="B40" s="94" t="str">
        <f t="shared" si="1"/>
        <v>事務負担対応加配加算単価</v>
      </c>
      <c r="C40" s="89">
        <f t="shared" si="1"/>
        <v>0</v>
      </c>
      <c r="D40" s="109" t="e">
        <f>IF(認こ1号単価!$AJ$17*(加算率b+認こ1号単価!$AK$17)/'2_区分12加算額計算表'!$D$18&gt;=10,
ROUNDDOWN(認こ1号単価!$AJ$17*(加算率b+認こ1号単価!$AK$17)/'2_区分12加算額計算表'!$D$18,-1),
ROUNDDOWN(認こ1号単価!$AJ$17*(加算率b+認こ1号単価!$AK$17)/'2_区分12加算額計算表'!$D$18,0))*$C40</f>
        <v>#N/A</v>
      </c>
      <c r="E40" s="109" t="e">
        <f>IF(認こ1号単価!$AJ$17*(加算率b+認こ1号単価!$AK$17)/'2_区分12加算額計算表'!$D$18&gt;=10,
ROUNDDOWN(認こ1号単価!$AJ$17*(加算率b+認こ1号単価!$AK$17)/'2_区分12加算額計算表'!$D$18,-1),
ROUNDDOWN(認こ1号単価!$AJ$17*(加算率b+認こ1号単価!$AK$17)/'2_区分12加算額計算表'!$D$18,0))*$C40</f>
        <v>#N/A</v>
      </c>
      <c r="F40" s="109" t="e">
        <f>IF(認こ1号単価!$AJ$17*(加算率b+認こ1号単価!$AK$17)/'2_区分12加算額計算表'!$D$18&gt;=10,
ROUNDDOWN(認こ1号単価!$AJ$17*(加算率b+認こ1号単価!$AK$17)/'2_区分12加算額計算表'!$D$18,-1),
ROUNDDOWN(認こ1号単価!$AJ$17*(加算率b+認こ1号単価!$AK$17)/'2_区分12加算額計算表'!$D$18,0))*$C40</f>
        <v>#N/A</v>
      </c>
      <c r="G40" s="109" t="e">
        <f>IF(認こ1号単価!$AJ$17*(加算率b+認こ1号単価!$AK$17)/'2_区分12加算額計算表'!$D$18&gt;=10,
ROUNDDOWN(認こ1号単価!$AJ$17*(加算率b+認こ1号単価!$AK$17)/'2_区分12加算額計算表'!$D$18,-1),
ROUNDDOWN(認こ1号単価!$AJ$17*(加算率b+認こ1号単価!$AK$17)/'2_区分12加算額計算表'!$D$18,0))*$C40</f>
        <v>#N/A</v>
      </c>
    </row>
    <row r="41" spans="1:7">
      <c r="B41" s="72" t="str">
        <f>B21</f>
        <v>単価計（②）</v>
      </c>
      <c r="C41" s="74"/>
      <c r="D41" s="122" t="e">
        <f>SUM(D25:D40)</f>
        <v>#N/A</v>
      </c>
      <c r="E41" s="122" t="e">
        <f>SUM(E25:E40)</f>
        <v>#N/A</v>
      </c>
      <c r="F41" s="122" t="e">
        <f>SUM(F25:F40)</f>
        <v>#N/A</v>
      </c>
      <c r="G41" s="122" t="e">
        <f>SUM(G25:G40)</f>
        <v>#N/A</v>
      </c>
    </row>
    <row r="42" spans="1:7">
      <c r="B42" s="72" t="str">
        <f>B22</f>
        <v>月額（①×②）</v>
      </c>
      <c r="C42" s="74"/>
      <c r="D42" s="122" t="e">
        <f>D$4*D41</f>
        <v>#N/A</v>
      </c>
      <c r="E42" s="122" t="e">
        <f>E$4*E41</f>
        <v>#N/A</v>
      </c>
      <c r="F42" s="123" t="e">
        <f>F$4*F41</f>
        <v>#N/A</v>
      </c>
      <c r="G42" s="123" t="e">
        <f>G$4*G41</f>
        <v>#N/A</v>
      </c>
    </row>
  </sheetData>
  <sheetProtection algorithmName="SHA-512" hashValue="ioaApTAviDlttH/ODVkKkYhB03FJVwX4k+NEWQa1wWebVJX5H4qAfcunSqmPrlAHfuXf0BuFOnlz0TN5NZLxNw==" saltValue="I6gk/L1brjkqUK0QEh7xjQ==" spinCount="100000" sheet="1" objects="1" scenarios="1"/>
  <phoneticPr fontId="4"/>
  <pageMargins left="0.7" right="0.7" top="0.75" bottom="0.75" header="0.3" footer="0.3"/>
  <pageSetup paperSize="9" scale="8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AA42"/>
  <sheetViews>
    <sheetView showGridLines="0" view="pageBreakPreview" zoomScale="70" zoomScaleNormal="70" zoomScaleSheetLayoutView="70" workbookViewId="0">
      <selection activeCell="F7" sqref="F7"/>
    </sheetView>
  </sheetViews>
  <sheetFormatPr defaultRowHeight="18.75"/>
  <cols>
    <col min="1" max="1" width="4.625" customWidth="1"/>
    <col min="2" max="2" width="35.375" customWidth="1"/>
    <col min="3" max="3" width="5.625" bestFit="1" customWidth="1"/>
    <col min="4" max="27" width="7.125" customWidth="1"/>
  </cols>
  <sheetData>
    <row r="1" spans="1:27">
      <c r="D1" s="121" t="s">
        <v>108</v>
      </c>
      <c r="E1" s="121" t="str">
        <f>D1</f>
        <v>D</v>
      </c>
      <c r="F1" s="121" t="str">
        <f>E1</f>
        <v>D</v>
      </c>
      <c r="G1" s="121" t="str">
        <f>F1</f>
        <v>D</v>
      </c>
      <c r="H1" s="121" t="s">
        <v>109</v>
      </c>
      <c r="I1" s="121" t="str">
        <f>H1</f>
        <v>C</v>
      </c>
      <c r="J1" s="121" t="str">
        <f>I1</f>
        <v>C</v>
      </c>
      <c r="K1" s="121" t="str">
        <f>J1</f>
        <v>C</v>
      </c>
      <c r="L1" s="121" t="s">
        <v>109</v>
      </c>
      <c r="M1" s="121" t="str">
        <f>L1</f>
        <v>C</v>
      </c>
      <c r="N1" s="121" t="str">
        <f>M1</f>
        <v>C</v>
      </c>
      <c r="O1" s="121" t="str">
        <f>N1</f>
        <v>C</v>
      </c>
      <c r="P1" s="121" t="s">
        <v>34</v>
      </c>
      <c r="Q1" s="121" t="str">
        <f>P1</f>
        <v>B</v>
      </c>
      <c r="R1" s="121" t="str">
        <f>Q1</f>
        <v>B</v>
      </c>
      <c r="S1" s="121" t="str">
        <f>R1</f>
        <v>B</v>
      </c>
      <c r="T1" s="121" t="s">
        <v>110</v>
      </c>
      <c r="U1" s="121" t="str">
        <f>T1</f>
        <v>A</v>
      </c>
      <c r="V1" s="121" t="str">
        <f>U1</f>
        <v>A</v>
      </c>
      <c r="W1" s="121" t="str">
        <f>V1</f>
        <v>A</v>
      </c>
      <c r="X1" s="121" t="s">
        <v>110</v>
      </c>
      <c r="Y1" s="121" t="str">
        <f>X1</f>
        <v>A</v>
      </c>
      <c r="Z1" s="121" t="str">
        <f>Y1</f>
        <v>A</v>
      </c>
      <c r="AA1" s="121" t="str">
        <f>Z1</f>
        <v>A</v>
      </c>
    </row>
    <row r="2" spans="1:27">
      <c r="D2" s="67"/>
      <c r="E2" s="67"/>
      <c r="F2" s="67"/>
      <c r="G2" s="67"/>
      <c r="H2" s="67"/>
      <c r="I2" s="67"/>
      <c r="J2" s="67"/>
      <c r="K2" s="67"/>
      <c r="L2" s="67"/>
      <c r="M2" s="67"/>
      <c r="N2" s="67"/>
      <c r="O2" s="67"/>
      <c r="P2" s="67"/>
      <c r="Q2" s="67"/>
      <c r="R2" s="67"/>
      <c r="S2" s="67"/>
      <c r="T2" s="67"/>
      <c r="U2" s="67"/>
      <c r="V2" s="67"/>
      <c r="W2" s="67"/>
      <c r="X2" s="67"/>
      <c r="Y2" s="67"/>
      <c r="Z2" s="67"/>
      <c r="AA2" s="67"/>
    </row>
    <row r="3" spans="1:27">
      <c r="A3" t="s">
        <v>114</v>
      </c>
      <c r="D3" s="85">
        <v>0</v>
      </c>
      <c r="E3" s="85"/>
      <c r="F3" s="85"/>
      <c r="G3" s="85"/>
      <c r="H3" s="85">
        <v>1</v>
      </c>
      <c r="I3" s="85"/>
      <c r="J3" s="85"/>
      <c r="K3" s="85"/>
      <c r="L3" s="85">
        <v>2</v>
      </c>
      <c r="M3" s="85"/>
      <c r="N3" s="85"/>
      <c r="O3" s="85"/>
      <c r="P3" s="85">
        <v>3</v>
      </c>
      <c r="Q3" s="85"/>
      <c r="R3" s="85"/>
      <c r="S3" s="85"/>
      <c r="T3" s="85">
        <v>4</v>
      </c>
      <c r="U3" s="85"/>
      <c r="V3" s="85"/>
      <c r="W3" s="85"/>
      <c r="X3" s="85">
        <v>5</v>
      </c>
      <c r="Y3" s="85"/>
      <c r="Z3" s="85"/>
      <c r="AA3" s="85"/>
    </row>
    <row r="4" spans="1:27">
      <c r="D4" s="85" t="s">
        <v>86</v>
      </c>
      <c r="E4" s="85"/>
      <c r="F4" s="85" t="s">
        <v>87</v>
      </c>
      <c r="G4" s="85"/>
      <c r="H4" s="85" t="s">
        <v>86</v>
      </c>
      <c r="I4" s="85"/>
      <c r="J4" s="85" t="s">
        <v>87</v>
      </c>
      <c r="K4" s="85"/>
      <c r="L4" s="85" t="s">
        <v>86</v>
      </c>
      <c r="M4" s="85"/>
      <c r="N4" s="85" t="s">
        <v>87</v>
      </c>
      <c r="O4" s="85"/>
      <c r="P4" s="85" t="s">
        <v>86</v>
      </c>
      <c r="Q4" s="85"/>
      <c r="R4" s="85" t="s">
        <v>87</v>
      </c>
      <c r="S4" s="85"/>
      <c r="T4" s="85" t="s">
        <v>86</v>
      </c>
      <c r="U4" s="85"/>
      <c r="V4" s="85" t="s">
        <v>87</v>
      </c>
      <c r="W4" s="85"/>
      <c r="X4" s="85" t="s">
        <v>86</v>
      </c>
      <c r="Y4" s="85"/>
      <c r="Z4" s="85" t="s">
        <v>87</v>
      </c>
      <c r="AA4" s="85"/>
    </row>
    <row r="5" spans="1:27">
      <c r="C5" s="65" t="s">
        <v>159</v>
      </c>
      <c r="D5" s="86" t="s">
        <v>113</v>
      </c>
      <c r="E5" s="104" t="s">
        <v>83</v>
      </c>
      <c r="F5" s="104" t="s">
        <v>113</v>
      </c>
      <c r="G5" s="104" t="s">
        <v>83</v>
      </c>
      <c r="H5" s="86" t="s">
        <v>113</v>
      </c>
      <c r="I5" s="104" t="s">
        <v>83</v>
      </c>
      <c r="J5" s="104" t="s">
        <v>113</v>
      </c>
      <c r="K5" s="104" t="s">
        <v>83</v>
      </c>
      <c r="L5" s="104" t="s">
        <v>113</v>
      </c>
      <c r="M5" s="104" t="s">
        <v>83</v>
      </c>
      <c r="N5" s="104" t="s">
        <v>113</v>
      </c>
      <c r="O5" s="104" t="s">
        <v>83</v>
      </c>
      <c r="P5" s="104" t="s">
        <v>113</v>
      </c>
      <c r="Q5" s="104" t="s">
        <v>83</v>
      </c>
      <c r="R5" s="104" t="s">
        <v>113</v>
      </c>
      <c r="S5" s="104" t="s">
        <v>83</v>
      </c>
      <c r="T5" s="104" t="s">
        <v>113</v>
      </c>
      <c r="U5" s="104" t="s">
        <v>83</v>
      </c>
      <c r="V5" s="86" t="s">
        <v>113</v>
      </c>
      <c r="W5" s="104" t="s">
        <v>83</v>
      </c>
      <c r="X5" s="104" t="s">
        <v>113</v>
      </c>
      <c r="Y5" s="104" t="s">
        <v>83</v>
      </c>
      <c r="Z5" s="104" t="s">
        <v>113</v>
      </c>
      <c r="AA5" s="104" t="s">
        <v>83</v>
      </c>
    </row>
    <row r="6" spans="1:27">
      <c r="A6" s="68"/>
      <c r="B6" s="92" t="s">
        <v>143</v>
      </c>
      <c r="C6" s="87"/>
      <c r="D6" s="103">
        <f>'2_区分12加算額計算表'!$D$22</f>
        <v>0</v>
      </c>
      <c r="E6" s="105">
        <f>'2_区分12加算額計算表'!$E$22</f>
        <v>0</v>
      </c>
      <c r="F6" s="105">
        <f>IF('2_区分12加算額計算表'!$D$5=【リスト】!$B$3,SUM('2_区分12加算額計算表'!$H$22+'2_区分12加算額計算表'!$L$22),0)</f>
        <v>0</v>
      </c>
      <c r="G6" s="105">
        <f>IF('2_区分12加算額計算表'!$D$5=【リスト】!$B$3,SUM('2_区分12加算額計算表'!$I$22+'2_区分12加算額計算表'!$M$22),0)</f>
        <v>0</v>
      </c>
      <c r="H6" s="103">
        <f>'2_区分12加算額計算表'!$D$23</f>
        <v>0</v>
      </c>
      <c r="I6" s="105">
        <f>'2_区分12加算額計算表'!$E$23</f>
        <v>0</v>
      </c>
      <c r="J6" s="105">
        <f>IF('2_区分12加算額計算表'!$D$5=【リスト】!$B$3,SUM('2_区分12加算額計算表'!$H$23+'2_区分12加算額計算表'!$L$23),0)</f>
        <v>0</v>
      </c>
      <c r="K6" s="105">
        <f>IF('2_区分12加算額計算表'!$D$5=【リスト】!$B$3,SUM('2_区分12加算額計算表'!$I$23+'2_区分12加算額計算表'!$M$23),0)</f>
        <v>0</v>
      </c>
      <c r="L6" s="105">
        <f>'2_区分12加算額計算表'!$D$24</f>
        <v>0</v>
      </c>
      <c r="M6" s="105">
        <f>'2_区分12加算額計算表'!$E$24</f>
        <v>0</v>
      </c>
      <c r="N6" s="105">
        <f>IF('2_区分12加算額計算表'!$D$5=【リスト】!$B$3,SUM('2_区分12加算額計算表'!$H$24+'2_区分12加算額計算表'!$L$24),0)</f>
        <v>0</v>
      </c>
      <c r="O6" s="105">
        <f>IF('2_区分12加算額計算表'!$D$5=【リスト】!$B$3,SUM('2_区分12加算額計算表'!$I$24+'2_区分12加算額計算表'!$M$24),0)</f>
        <v>0</v>
      </c>
      <c r="P6" s="105">
        <f>'2_区分12加算額計算表'!$D$25</f>
        <v>0</v>
      </c>
      <c r="Q6" s="105">
        <f>'2_区分12加算額計算表'!$E$25</f>
        <v>0</v>
      </c>
      <c r="R6" s="105">
        <f>IF('2_区分12加算額計算表'!$D$5=【リスト】!$B$3,SUM('2_区分12加算額計算表'!$H$25+'2_区分12加算額計算表'!$L$25),0)</f>
        <v>0</v>
      </c>
      <c r="S6" s="105">
        <f>IF('2_区分12加算額計算表'!$D$5=【リスト】!$B$3,SUM('2_区分12加算額計算表'!$I$25+'2_区分12加算額計算表'!$M$25),0)</f>
        <v>0</v>
      </c>
      <c r="T6" s="105">
        <f>'2_区分12加算額計算表'!$D$26</f>
        <v>0</v>
      </c>
      <c r="U6" s="105">
        <f>'2_区分12加算額計算表'!$E$26</f>
        <v>0</v>
      </c>
      <c r="V6" s="103">
        <f>IF('2_区分12加算額計算表'!$D$5=【リスト】!$B$3,SUM('2_区分12加算額計算表'!$H$26+'2_区分12加算額計算表'!$L$26),0)</f>
        <v>0</v>
      </c>
      <c r="W6" s="105">
        <f>IF('2_区分12加算額計算表'!$D$5=【リスト】!$B$3,SUM('2_区分12加算額計算表'!$I$26+'2_区分12加算額計算表'!$M$26),0)</f>
        <v>0</v>
      </c>
      <c r="X6" s="105">
        <f>'2_区分12加算額計算表'!$D$27</f>
        <v>0</v>
      </c>
      <c r="Y6" s="105">
        <f>'2_区分12加算額計算表'!$E$27</f>
        <v>0</v>
      </c>
      <c r="Z6" s="105">
        <f>IF('2_区分12加算額計算表'!$D$5=【リスト】!$B$3,SUM('2_区分12加算額計算表'!$H$27+'2_区分12加算額計算表'!$L$27),0)</f>
        <v>0</v>
      </c>
      <c r="AA6" s="105" t="b">
        <f>IF('2_区分12加算額計算表'!$D$5=【リスト】!$B$3,SUM('2_区分12加算額計算表'!$I$27+'2_区分12加算額計算表'!$M$27,0))</f>
        <v>0</v>
      </c>
    </row>
    <row r="7" spans="1:27">
      <c r="A7" s="118" t="e">
        <f>'2_区分12加算額計算表'!$J$8</f>
        <v>#N/A</v>
      </c>
      <c r="B7" s="93" t="s">
        <v>115</v>
      </c>
      <c r="C7" s="88"/>
      <c r="D7" s="106" t="e">
        <f>VLOOKUP($A7&amp;D$1,単価23号[],認こ23号単価!$G$1,FALSE)*加算率a</f>
        <v>#N/A</v>
      </c>
      <c r="E7" s="108"/>
      <c r="F7" s="108"/>
      <c r="G7" s="108"/>
      <c r="H7" s="106" t="e">
        <f>VLOOKUP($A7&amp;H$1,単価23号[],認こ23号単価!$G$1,FALSE)*加算率a</f>
        <v>#N/A</v>
      </c>
      <c r="I7" s="108"/>
      <c r="J7" s="108"/>
      <c r="K7" s="108"/>
      <c r="L7" s="106" t="e">
        <f>VLOOKUP($A7&amp;L$1,単価23号[],認こ23号単価!$G$1,FALSE)*加算率a</f>
        <v>#N/A</v>
      </c>
      <c r="M7" s="108"/>
      <c r="N7" s="108"/>
      <c r="O7" s="108"/>
      <c r="P7" s="106" t="e">
        <f>VLOOKUP($A7&amp;P$1,単価23号[],認こ23号単価!$G$1,FALSE)*加算率a</f>
        <v>#N/A</v>
      </c>
      <c r="Q7" s="108"/>
      <c r="R7" s="108"/>
      <c r="S7" s="108"/>
      <c r="T7" s="106" t="e">
        <f>VLOOKUP($A7&amp;T$1,単価23号[],認こ23号単価!$G$1,FALSE)*加算率a</f>
        <v>#N/A</v>
      </c>
      <c r="U7" s="108"/>
      <c r="V7" s="112"/>
      <c r="W7" s="108"/>
      <c r="X7" s="106" t="e">
        <f>VLOOKUP($A7&amp;X$1,単価23号[],認こ23号単価!$G$1,FALSE)*加算率a</f>
        <v>#N/A</v>
      </c>
      <c r="Y7" s="108"/>
      <c r="Z7" s="108"/>
      <c r="AA7" s="108"/>
    </row>
    <row r="8" spans="1:27">
      <c r="A8" s="118" t="e">
        <f>A7</f>
        <v>#N/A</v>
      </c>
      <c r="B8" s="94" t="s">
        <v>116</v>
      </c>
      <c r="C8" s="89"/>
      <c r="D8" s="107"/>
      <c r="E8" s="106" t="e">
        <f>VLOOKUP($A8&amp;E$1,単価23号[],認こ23号単価!$I$1,FALSE)*加算率a</f>
        <v>#N/A</v>
      </c>
      <c r="F8" s="110"/>
      <c r="G8" s="110"/>
      <c r="H8" s="107"/>
      <c r="I8" s="106" t="e">
        <f>VLOOKUP($A8&amp;I$1,単価23号[],認こ23号単価!$I$1,FALSE)*加算率a</f>
        <v>#N/A</v>
      </c>
      <c r="J8" s="110"/>
      <c r="K8" s="110"/>
      <c r="L8" s="110"/>
      <c r="M8" s="106" t="e">
        <f>VLOOKUP($A8&amp;M$1,単価23号[],認こ23号単価!$I$1,FALSE)*加算率a</f>
        <v>#N/A</v>
      </c>
      <c r="N8" s="110"/>
      <c r="O8" s="110"/>
      <c r="P8" s="110"/>
      <c r="Q8" s="106" t="e">
        <f>VLOOKUP($A8&amp;Q$1,単価23号[],認こ23号単価!$I$1,FALSE)*加算率a</f>
        <v>#N/A</v>
      </c>
      <c r="R8" s="110"/>
      <c r="S8" s="110"/>
      <c r="T8" s="110"/>
      <c r="U8" s="106" t="e">
        <f>VLOOKUP($A8&amp;U$1,単価23号[],認こ23号単価!$I$1,FALSE)*加算率a</f>
        <v>#N/A</v>
      </c>
      <c r="V8" s="107"/>
      <c r="W8" s="110"/>
      <c r="X8" s="110"/>
      <c r="Y8" s="106" t="e">
        <f>VLOOKUP($A8&amp;Y$1,単価23号[],認こ23号単価!$I$1,FALSE)*加算率a</f>
        <v>#N/A</v>
      </c>
      <c r="Z8" s="110"/>
      <c r="AA8" s="110"/>
    </row>
    <row r="9" spans="1:27">
      <c r="A9" s="118" t="e">
        <f>'2_区分12加算額計算表'!$J$10</f>
        <v>#N/A</v>
      </c>
      <c r="B9" s="94" t="s">
        <v>117</v>
      </c>
      <c r="C9" s="89"/>
      <c r="D9" s="107"/>
      <c r="E9" s="110"/>
      <c r="F9" s="106">
        <f>IFERROR(VLOOKUP($A9&amp;F$1,単価23号[],認こ23号単価!$G$1,FALSE)*加算率a,0)</f>
        <v>0</v>
      </c>
      <c r="G9" s="110"/>
      <c r="H9" s="107"/>
      <c r="I9" s="110"/>
      <c r="J9" s="106">
        <f>IFERROR(VLOOKUP($A9&amp;J$1,単価23号[],認こ23号単価!$G$1,FALSE)*加算率a,0)</f>
        <v>0</v>
      </c>
      <c r="K9" s="110"/>
      <c r="L9" s="110"/>
      <c r="M9" s="110"/>
      <c r="N9" s="106">
        <f>IFERROR(VLOOKUP($A9&amp;N$1,単価23号[],認こ23号単価!$G$1,FALSE)*加算率a,0)</f>
        <v>0</v>
      </c>
      <c r="O9" s="110"/>
      <c r="P9" s="110"/>
      <c r="Q9" s="110"/>
      <c r="R9" s="106">
        <f>IFERROR(VLOOKUP($A9&amp;R$1,単価23号[],認こ23号単価!$G$1,FALSE)*加算率a,0)</f>
        <v>0</v>
      </c>
      <c r="S9" s="110"/>
      <c r="T9" s="110"/>
      <c r="U9" s="110"/>
      <c r="V9" s="106">
        <f>IFERROR(VLOOKUP($A9&amp;V$1,単価23号[],認こ23号単価!$G$1,FALSE)*加算率a,0)</f>
        <v>0</v>
      </c>
      <c r="W9" s="110"/>
      <c r="X9" s="110"/>
      <c r="Y9" s="110"/>
      <c r="Z9" s="106">
        <f>IFERROR(VLOOKUP($A9&amp;Z$1,単価23号[],認こ23号単価!$G$1,FALSE)*加算率a,0)</f>
        <v>0</v>
      </c>
      <c r="AA9" s="110"/>
    </row>
    <row r="10" spans="1:27">
      <c r="A10" s="118" t="e">
        <f>A9</f>
        <v>#N/A</v>
      </c>
      <c r="B10" s="94" t="s">
        <v>118</v>
      </c>
      <c r="C10" s="89"/>
      <c r="D10" s="107"/>
      <c r="E10" s="110"/>
      <c r="F10" s="110"/>
      <c r="G10" s="106">
        <f>IFERROR(VLOOKUP($A10&amp;G$1,単価23号[],認こ23号単価!$I$1,FALSE)*加算率a,0)</f>
        <v>0</v>
      </c>
      <c r="H10" s="107"/>
      <c r="I10" s="110"/>
      <c r="J10" s="110"/>
      <c r="K10" s="106">
        <f>IFERROR(VLOOKUP($A10&amp;K$1,単価23号[],認こ23号単価!$I$1,FALSE)*加算率a,0)</f>
        <v>0</v>
      </c>
      <c r="L10" s="110"/>
      <c r="M10" s="110"/>
      <c r="N10" s="110"/>
      <c r="O10" s="106">
        <f>IFERROR(VLOOKUP($A10&amp;O$1,単価23号[],認こ23号単価!$I$1,FALSE)*加算率a,0)</f>
        <v>0</v>
      </c>
      <c r="P10" s="110"/>
      <c r="Q10" s="110"/>
      <c r="R10" s="110"/>
      <c r="S10" s="106">
        <f>IFERROR(VLOOKUP($A10&amp;S$1,単価23号[],認こ23号単価!$I$1,FALSE)*加算率a,0)</f>
        <v>0</v>
      </c>
      <c r="T10" s="110"/>
      <c r="U10" s="110"/>
      <c r="V10" s="107"/>
      <c r="W10" s="106">
        <f>IFERROR(VLOOKUP($A10&amp;W$1,単価23号[],認こ23号単価!$I$1,FALSE)*加算率a,0)</f>
        <v>0</v>
      </c>
      <c r="X10" s="110"/>
      <c r="Y10" s="110"/>
      <c r="Z10" s="110"/>
      <c r="AA10" s="106">
        <f>IFERROR(VLOOKUP($A10&amp;AA$1,単価23号[],認こ23号単価!$I$1,FALSE)*加算率a,0)</f>
        <v>0</v>
      </c>
    </row>
    <row r="11" spans="1:27">
      <c r="A11" s="118" t="e">
        <f>'2_区分12加算額計算表'!$J$7</f>
        <v>#N/A</v>
      </c>
      <c r="B11" s="94" t="s">
        <v>119</v>
      </c>
      <c r="C11" s="89">
        <f>IF('2_区分12加算額計算表'!$F$34&lt;&gt;"",1,0)</f>
        <v>0</v>
      </c>
      <c r="D11" s="107"/>
      <c r="E11" s="110"/>
      <c r="F11" s="110"/>
      <c r="G11" s="110"/>
      <c r="H11" s="107"/>
      <c r="I11" s="110"/>
      <c r="J11" s="110"/>
      <c r="K11" s="110"/>
      <c r="L11" s="110"/>
      <c r="M11" s="110"/>
      <c r="N11" s="110"/>
      <c r="O11" s="110"/>
      <c r="P11" s="109" t="e">
        <f>VLOOKUP($A11&amp;P$1,単価23号[],認こ23号単価!$K$1,FALSE)*加算率a*$C11</f>
        <v>#N/A</v>
      </c>
      <c r="Q11" s="109" t="e">
        <f>VLOOKUP($A11&amp;Q$1,単価23号[],認こ23号単価!$K$1,FALSE)*加算率a*$C11</f>
        <v>#N/A</v>
      </c>
      <c r="R11" s="109" t="e">
        <f>VLOOKUP($A11&amp;R$1,単価23号[],認こ23号単価!$K$1,FALSE)*加算率a*$C11</f>
        <v>#N/A</v>
      </c>
      <c r="S11" s="109" t="e">
        <f>VLOOKUP($A11&amp;S$1,単価23号[],認こ23号単価!$K$1,FALSE)*加算率a*$C11</f>
        <v>#N/A</v>
      </c>
      <c r="T11" s="110"/>
      <c r="U11" s="110"/>
      <c r="V11" s="107"/>
      <c r="W11" s="110"/>
      <c r="X11" s="110"/>
      <c r="Y11" s="110"/>
      <c r="Z11" s="110"/>
      <c r="AA11" s="110"/>
    </row>
    <row r="12" spans="1:27">
      <c r="A12" s="118" t="e">
        <f>A11</f>
        <v>#N/A</v>
      </c>
      <c r="B12" s="94" t="s">
        <v>121</v>
      </c>
      <c r="C12" s="89">
        <f>IF('2_区分12加算額計算表'!$F$35&lt;&gt;"",1,0)</f>
        <v>0</v>
      </c>
      <c r="D12" s="107"/>
      <c r="E12" s="110"/>
      <c r="F12" s="110"/>
      <c r="G12" s="110"/>
      <c r="H12" s="107"/>
      <c r="I12" s="110"/>
      <c r="J12" s="110"/>
      <c r="K12" s="110"/>
      <c r="L12" s="110"/>
      <c r="M12" s="110"/>
      <c r="N12" s="110"/>
      <c r="O12" s="110"/>
      <c r="P12" s="110"/>
      <c r="Q12" s="110"/>
      <c r="R12" s="110"/>
      <c r="S12" s="110"/>
      <c r="T12" s="109" t="e">
        <f>VLOOKUP($A12&amp;T$1,単価23号[],認こ23号単価!$M$1,FALSE)*加算率a*$C12</f>
        <v>#N/A</v>
      </c>
      <c r="U12" s="109" t="e">
        <f>VLOOKUP($A12&amp;U$1,単価23号[],認こ23号単価!$M$1,FALSE)*加算率a*$C12</f>
        <v>#N/A</v>
      </c>
      <c r="V12" s="109" t="e">
        <f>VLOOKUP($A12&amp;V$1,単価23号[],認こ23号単価!$M$1,FALSE)*加算率a*$C12</f>
        <v>#N/A</v>
      </c>
      <c r="W12" s="109" t="e">
        <f>VLOOKUP($A12&amp;W$1,単価23号[],認こ23号単価!$M$1,FALSE)*加算率a*$C12</f>
        <v>#N/A</v>
      </c>
      <c r="X12" s="109" t="e">
        <f>VLOOKUP($A12&amp;X$1,単価23号[],認こ23号単価!$M$1,FALSE)*加算率a*$C12</f>
        <v>#N/A</v>
      </c>
      <c r="Y12" s="109" t="e">
        <f>VLOOKUP($A12&amp;Y$1,単価23号[],認こ23号単価!$M$1,FALSE)*加算率a*$C12</f>
        <v>#N/A</v>
      </c>
      <c r="Z12" s="109" t="e">
        <f>VLOOKUP($A12&amp;Z$1,単価23号[],認こ23号単価!$M$1,FALSE)*加算率a*$C12</f>
        <v>#N/A</v>
      </c>
      <c r="AA12" s="109" t="e">
        <f>VLOOKUP($A12&amp;AA$1,単価23号[],認こ23号単価!$M$1,FALSE)*加算率a*$C12</f>
        <v>#N/A</v>
      </c>
    </row>
    <row r="13" spans="1:27">
      <c r="A13" s="118" t="e">
        <f>A12</f>
        <v>#N/A</v>
      </c>
      <c r="B13" s="94" t="s">
        <v>120</v>
      </c>
      <c r="C13" s="89">
        <f>IF('2_区分12加算額計算表'!$F$36&lt;&gt;"",1,0)</f>
        <v>0</v>
      </c>
      <c r="D13" s="107"/>
      <c r="E13" s="110"/>
      <c r="F13" s="110"/>
      <c r="G13" s="110"/>
      <c r="H13" s="109" t="e">
        <f>VLOOKUP($A13&amp;H$1,単価23号[],認こ23号単価!$O$1,FALSE)*加算率a*$C13</f>
        <v>#N/A</v>
      </c>
      <c r="I13" s="109" t="e">
        <f>VLOOKUP($A13&amp;I$1,単価23号[],認こ23号単価!$O$1,FALSE)*加算率a*$C13</f>
        <v>#N/A</v>
      </c>
      <c r="J13" s="109" t="e">
        <f>VLOOKUP($A13&amp;J$1,単価23号[],認こ23号単価!$O$1,FALSE)*加算率a*$C13</f>
        <v>#N/A</v>
      </c>
      <c r="K13" s="109" t="e">
        <f>VLOOKUP($A13&amp;K$1,単価23号[],認こ23号単価!$O$1,FALSE)*加算率a*$C13</f>
        <v>#N/A</v>
      </c>
      <c r="L13" s="110"/>
      <c r="M13" s="110"/>
      <c r="N13" s="110"/>
      <c r="O13" s="110"/>
      <c r="P13" s="110"/>
      <c r="Q13" s="110"/>
      <c r="R13" s="110"/>
      <c r="S13" s="110"/>
      <c r="T13" s="110"/>
      <c r="U13" s="110"/>
      <c r="V13" s="107"/>
      <c r="W13" s="110"/>
      <c r="X13" s="110"/>
      <c r="Y13" s="110"/>
      <c r="Z13" s="110"/>
      <c r="AA13" s="110"/>
    </row>
    <row r="14" spans="1:27">
      <c r="A14" s="118">
        <f>VLOOKUP(IF('2_区分12加算額計算表'!$F$39=【リスト】!$C$2,'2_区分12加算額計算表'!$I$39,"対象外"),休日保育23号[],認こ23号単価!$AA$1,FALSE)</f>
        <v>1</v>
      </c>
      <c r="B14" s="94" t="s">
        <v>137</v>
      </c>
      <c r="C14" s="89">
        <f>IF('2_区分12加算額計算表'!$F$39&lt;&gt;"",1,0)</f>
        <v>0</v>
      </c>
      <c r="D14" s="109" t="e">
        <f>ROUNDDOWN(VLOOKUP($A14,認こ23号単価!$AA$8:$AC$22,2,FALSE)*加算率a/'2_区分12加算額計算表'!$D$29,-1)*$C14</f>
        <v>#N/A</v>
      </c>
      <c r="E14" s="109" t="e">
        <f>ROUNDDOWN(VLOOKUP($A14,認こ23号単価!$AA$8:$AC$22,2,FALSE)*加算率a/'2_区分12加算額計算表'!$D$29,-1)*$C14</f>
        <v>#N/A</v>
      </c>
      <c r="F14" s="109" t="e">
        <f>ROUNDDOWN(VLOOKUP($A14,認こ23号単価!$AA$8:$AC$22,2,FALSE)*加算率a/'2_区分12加算額計算表'!$D$29,-1)*$C14</f>
        <v>#N/A</v>
      </c>
      <c r="G14" s="109" t="e">
        <f>ROUNDDOWN(VLOOKUP($A14,認こ23号単価!$AA$8:$AC$22,2,FALSE)*加算率a/'2_区分12加算額計算表'!$D$29,-1)*$C14</f>
        <v>#N/A</v>
      </c>
      <c r="H14" s="109" t="e">
        <f>ROUNDDOWN(VLOOKUP($A14,認こ23号単価!$AA$8:$AC$22,2,FALSE)*加算率a/'2_区分12加算額計算表'!$D$29,-1)*$C14</f>
        <v>#N/A</v>
      </c>
      <c r="I14" s="109" t="e">
        <f>ROUNDDOWN(VLOOKUP($A14,認こ23号単価!$AA$8:$AC$22,2,FALSE)*加算率a/'2_区分12加算額計算表'!$D$29,-1)*$C14</f>
        <v>#N/A</v>
      </c>
      <c r="J14" s="109" t="e">
        <f>ROUNDDOWN(VLOOKUP($A14,認こ23号単価!$AA$8:$AC$22,2,FALSE)*加算率a/'2_区分12加算額計算表'!$D$29,-1)*$C14</f>
        <v>#N/A</v>
      </c>
      <c r="K14" s="109" t="e">
        <f>ROUNDDOWN(VLOOKUP($A14,認こ23号単価!$AA$8:$AC$22,2,FALSE)*加算率a/'2_区分12加算額計算表'!$D$29,-1)*$C14</f>
        <v>#N/A</v>
      </c>
      <c r="L14" s="109" t="e">
        <f>ROUNDDOWN(VLOOKUP($A14,認こ23号単価!$AA$8:$AC$22,2,FALSE)*加算率a/'2_区分12加算額計算表'!$D$29,-1)*$C14</f>
        <v>#N/A</v>
      </c>
      <c r="M14" s="109" t="e">
        <f>ROUNDDOWN(VLOOKUP($A14,認こ23号単価!$AA$8:$AC$22,2,FALSE)*加算率a/'2_区分12加算額計算表'!$D$29,-1)*$C14</f>
        <v>#N/A</v>
      </c>
      <c r="N14" s="109" t="e">
        <f>ROUNDDOWN(VLOOKUP($A14,認こ23号単価!$AA$8:$AC$22,2,FALSE)*加算率a/'2_区分12加算額計算表'!$D$29,-1)*$C14</f>
        <v>#N/A</v>
      </c>
      <c r="O14" s="109" t="e">
        <f>ROUNDDOWN(VLOOKUP($A14,認こ23号単価!$AA$8:$AC$22,2,FALSE)*加算率a/'2_区分12加算額計算表'!$D$29,-1)*$C14</f>
        <v>#N/A</v>
      </c>
      <c r="P14" s="109" t="e">
        <f>ROUNDDOWN(VLOOKUP($A14,認こ23号単価!$AA$8:$AC$22,2,FALSE)*加算率a/'2_区分12加算額計算表'!$D$29,-1)*$C14</f>
        <v>#N/A</v>
      </c>
      <c r="Q14" s="109" t="e">
        <f>ROUNDDOWN(VLOOKUP($A14,認こ23号単価!$AA$8:$AC$22,2,FALSE)*加算率a/'2_区分12加算額計算表'!$D$29,-1)*$C14</f>
        <v>#N/A</v>
      </c>
      <c r="R14" s="109" t="e">
        <f>ROUNDDOWN(VLOOKUP($A14,認こ23号単価!$AA$8:$AC$22,2,FALSE)*加算率a/'2_区分12加算額計算表'!$D$29,-1)*$C14</f>
        <v>#N/A</v>
      </c>
      <c r="S14" s="109" t="e">
        <f>ROUNDDOWN(VLOOKUP($A14,認こ23号単価!$AA$8:$AC$22,2,FALSE)*加算率a/'2_区分12加算額計算表'!$D$29,-1)*$C14</f>
        <v>#N/A</v>
      </c>
      <c r="T14" s="109" t="e">
        <f>ROUNDDOWN(VLOOKUP($A14,認こ23号単価!$AA$8:$AC$22,2,FALSE)*加算率a/'2_区分12加算額計算表'!$D$29,-1)*$C14</f>
        <v>#N/A</v>
      </c>
      <c r="U14" s="109" t="e">
        <f>ROUNDDOWN(VLOOKUP($A14,認こ23号単価!$AA$8:$AC$22,2,FALSE)*加算率a/'2_区分12加算額計算表'!$D$29,-1)*$C14</f>
        <v>#N/A</v>
      </c>
      <c r="V14" s="109" t="e">
        <f>ROUNDDOWN(VLOOKUP($A14,認こ23号単価!$AA$8:$AC$22,2,FALSE)*加算率a/'2_区分12加算額計算表'!$D$29,-1)*$C14</f>
        <v>#N/A</v>
      </c>
      <c r="W14" s="109" t="e">
        <f>ROUNDDOWN(VLOOKUP($A14,認こ23号単価!$AA$8:$AC$22,2,FALSE)*加算率a/'2_区分12加算額計算表'!$D$29,-1)*$C14</f>
        <v>#N/A</v>
      </c>
      <c r="X14" s="109" t="e">
        <f>ROUNDDOWN(VLOOKUP($A14,認こ23号単価!$AA$8:$AC$22,2,FALSE)*加算率a/'2_区分12加算額計算表'!$D$29,-1)*$C14</f>
        <v>#N/A</v>
      </c>
      <c r="Y14" s="109" t="e">
        <f>ROUNDDOWN(VLOOKUP($A14,認こ23号単価!$AA$8:$AC$22,2,FALSE)*加算率a/'2_区分12加算額計算表'!$D$29,-1)*$C14</f>
        <v>#N/A</v>
      </c>
      <c r="Z14" s="109" t="e">
        <f>ROUNDDOWN(VLOOKUP($A14,認こ23号単価!$AA$8:$AC$22,2,FALSE)*加算率a/'2_区分12加算額計算表'!$D$29,-1)*$C14</f>
        <v>#N/A</v>
      </c>
      <c r="AA14" s="109" t="e">
        <f>ROUNDDOWN(VLOOKUP($A14,認こ23号単価!$AA$8:$AC$22,2,FALSE)*加算率a/'2_区分12加算額計算表'!$D$29,-1)*$C14</f>
        <v>#N/A</v>
      </c>
    </row>
    <row r="15" spans="1:27">
      <c r="A15" s="118" t="e">
        <f>A13</f>
        <v>#N/A</v>
      </c>
      <c r="B15" s="94" t="s">
        <v>139</v>
      </c>
      <c r="C15" s="89">
        <f>IF('2_区分12加算額計算表'!$F$40&lt;&gt;"",1,0)</f>
        <v>0</v>
      </c>
      <c r="D15" s="109" t="e">
        <f>VLOOKUP($A15&amp;D$1,単価23号[],認こ23号単価!$Q$1,FALSE)*加算率a*$C15</f>
        <v>#N/A</v>
      </c>
      <c r="E15" s="109" t="e">
        <f>VLOOKUP($A15&amp;E$1,単価23号[],認こ23号単価!$Q$1,FALSE)*加算率a*$C15</f>
        <v>#N/A</v>
      </c>
      <c r="F15" s="109" t="e">
        <f>VLOOKUP($A15&amp;F$1,単価23号[],認こ23号単価!$Q$1,FALSE)*加算率a*$C15</f>
        <v>#N/A</v>
      </c>
      <c r="G15" s="109" t="e">
        <f>VLOOKUP($A15&amp;G$1,単価23号[],認こ23号単価!$Q$1,FALSE)*加算率a*$C15</f>
        <v>#N/A</v>
      </c>
      <c r="H15" s="109" t="e">
        <f>VLOOKUP($A15&amp;H$1,単価23号[],認こ23号単価!$Q$1,FALSE)*加算率a*$C15</f>
        <v>#N/A</v>
      </c>
      <c r="I15" s="109" t="e">
        <f>VLOOKUP($A15&amp;I$1,単価23号[],認こ23号単価!$Q$1,FALSE)*加算率a*$C15</f>
        <v>#N/A</v>
      </c>
      <c r="J15" s="109" t="e">
        <f>VLOOKUP($A15&amp;J$1,単価23号[],認こ23号単価!$Q$1,FALSE)*加算率a*$C15</f>
        <v>#N/A</v>
      </c>
      <c r="K15" s="109" t="e">
        <f>VLOOKUP($A15&amp;K$1,単価23号[],認こ23号単価!$Q$1,FALSE)*加算率a*$C15</f>
        <v>#N/A</v>
      </c>
      <c r="L15" s="109" t="e">
        <f>VLOOKUP($A15&amp;L$1,単価23号[],認こ23号単価!$Q$1,FALSE)*加算率a*$C15</f>
        <v>#N/A</v>
      </c>
      <c r="M15" s="109" t="e">
        <f>VLOOKUP($A15&amp;M$1,単価23号[],認こ23号単価!$Q$1,FALSE)*加算率a*$C15</f>
        <v>#N/A</v>
      </c>
      <c r="N15" s="109" t="e">
        <f>VLOOKUP($A15&amp;N$1,単価23号[],認こ23号単価!$Q$1,FALSE)*加算率a*$C15</f>
        <v>#N/A</v>
      </c>
      <c r="O15" s="109" t="e">
        <f>VLOOKUP($A15&amp;O$1,単価23号[],認こ23号単価!$Q$1,FALSE)*加算率a*$C15</f>
        <v>#N/A</v>
      </c>
      <c r="P15" s="109" t="e">
        <f>VLOOKUP($A15&amp;P$1,単価23号[],認こ23号単価!$Q$1,FALSE)*加算率a*$C15</f>
        <v>#N/A</v>
      </c>
      <c r="Q15" s="109" t="e">
        <f>VLOOKUP($A15&amp;Q$1,単価23号[],認こ23号単価!$Q$1,FALSE)*加算率a*$C15</f>
        <v>#N/A</v>
      </c>
      <c r="R15" s="109" t="e">
        <f>VLOOKUP($A15&amp;R$1,単価23号[],認こ23号単価!$Q$1,FALSE)*加算率a*$C15</f>
        <v>#N/A</v>
      </c>
      <c r="S15" s="109" t="e">
        <f>VLOOKUP($A15&amp;S$1,単価23号[],認こ23号単価!$Q$1,FALSE)*加算率a*$C15</f>
        <v>#N/A</v>
      </c>
      <c r="T15" s="109" t="e">
        <f>VLOOKUP($A15&amp;T$1,単価23号[],認こ23号単価!$Q$1,FALSE)*加算率a*$C15</f>
        <v>#N/A</v>
      </c>
      <c r="U15" s="109" t="e">
        <f>VLOOKUP($A15&amp;U$1,単価23号[],認こ23号単価!$Q$1,FALSE)*加算率a*$C15</f>
        <v>#N/A</v>
      </c>
      <c r="V15" s="109" t="e">
        <f>VLOOKUP($A15&amp;V$1,単価23号[],認こ23号単価!$Q$1,FALSE)*加算率a*$C15</f>
        <v>#N/A</v>
      </c>
      <c r="W15" s="109" t="e">
        <f>VLOOKUP($A15&amp;W$1,単価23号[],認こ23号単価!$Q$1,FALSE)*加算率a*$C15</f>
        <v>#N/A</v>
      </c>
      <c r="X15" s="109" t="e">
        <f>VLOOKUP($A15&amp;X$1,単価23号[],認こ23号単価!$Q$1,FALSE)*加算率a*$C15</f>
        <v>#N/A</v>
      </c>
      <c r="Y15" s="109" t="e">
        <f>VLOOKUP($A15&amp;Y$1,単価23号[],認こ23号単価!$Q$1,FALSE)*加算率a*$C15</f>
        <v>#N/A</v>
      </c>
      <c r="Z15" s="109" t="e">
        <f>VLOOKUP($A15&amp;Z$1,単価23号[],認こ23号単価!$Q$1,FALSE)*加算率a*$C15</f>
        <v>#N/A</v>
      </c>
      <c r="AA15" s="109" t="e">
        <f>VLOOKUP($A15&amp;AA$1,単価23号[],認こ23号単価!$Q$1,FALSE)*加算率a*$C15</f>
        <v>#N/A</v>
      </c>
    </row>
    <row r="16" spans="1:27">
      <c r="A16" s="118" t="e">
        <f>'2_区分12加算額計算表'!$J$11</f>
        <v>#N/A</v>
      </c>
      <c r="B16" s="94" t="s">
        <v>309</v>
      </c>
      <c r="C16" s="89">
        <f>IF('2_区分12加算額計算表'!$F$41&lt;&gt;"",'2_区分12加算額計算表'!$I$41,0)</f>
        <v>0</v>
      </c>
      <c r="D16" s="107"/>
      <c r="E16" s="110"/>
      <c r="F16" s="110"/>
      <c r="G16" s="110"/>
      <c r="H16" s="107"/>
      <c r="I16" s="110"/>
      <c r="J16" s="110"/>
      <c r="K16" s="110"/>
      <c r="L16" s="110"/>
      <c r="M16" s="110"/>
      <c r="N16" s="110"/>
      <c r="O16" s="110"/>
      <c r="P16" s="109" t="e">
        <f>VLOOKUP($A16,チーム保育加配[],認こ23号単価!$AG$1,FALSE)*加算率a*$C16</f>
        <v>#N/A</v>
      </c>
      <c r="Q16" s="109" t="e">
        <f>VLOOKUP($A16,チーム保育加配[],認こ23号単価!$AG$1,FALSE)*加算率a*$C16</f>
        <v>#N/A</v>
      </c>
      <c r="R16" s="109" t="e">
        <f>VLOOKUP($A16,チーム保育加配[],認こ23号単価!$AG$1,FALSE)*加算率a*$C16</f>
        <v>#N/A</v>
      </c>
      <c r="S16" s="109" t="e">
        <f>VLOOKUP($A16,チーム保育加配[],認こ23号単価!$AG$1,FALSE)*加算率a*$C16</f>
        <v>#N/A</v>
      </c>
      <c r="T16" s="109" t="e">
        <f>VLOOKUP($A16,チーム保育加配[],認こ23号単価!$AG$1,FALSE)*加算率a*$C16</f>
        <v>#N/A</v>
      </c>
      <c r="U16" s="109" t="e">
        <f>VLOOKUP($A16,チーム保育加配[],認こ23号単価!$AG$1,FALSE)*加算率a*$C16</f>
        <v>#N/A</v>
      </c>
      <c r="V16" s="109" t="e">
        <f>VLOOKUP($A16,チーム保育加配[],認こ23号単価!$AG$1,FALSE)*加算率a*$C16</f>
        <v>#N/A</v>
      </c>
      <c r="W16" s="109" t="e">
        <f>VLOOKUP($A16,チーム保育加配[],認こ23号単価!$AG$1,FALSE)*加算率a*$C16</f>
        <v>#N/A</v>
      </c>
      <c r="X16" s="109" t="e">
        <f>VLOOKUP($A16,チーム保育加配[],認こ23号単価!$AG$1,FALSE)*加算率a*$C16</f>
        <v>#N/A</v>
      </c>
      <c r="Y16" s="109" t="e">
        <f>VLOOKUP($A16,チーム保育加配[],認こ23号単価!$AG$1,FALSE)*加算率a*$C16</f>
        <v>#N/A</v>
      </c>
      <c r="Z16" s="109" t="e">
        <f>VLOOKUP($A16,チーム保育加配[],認こ23号単価!$AG$1,FALSE)*加算率a*$C16</f>
        <v>#N/A</v>
      </c>
      <c r="AA16" s="109" t="e">
        <f>VLOOKUP($A16,チーム保育加配[],認こ23号単価!$AG$1,FALSE)*加算率a*$C16</f>
        <v>#N/A</v>
      </c>
    </row>
    <row r="17" spans="1:27">
      <c r="A17" s="118"/>
      <c r="B17" s="94" t="s">
        <v>140</v>
      </c>
      <c r="C17" s="89"/>
      <c r="D17" s="107"/>
      <c r="E17" s="110"/>
      <c r="F17" s="109">
        <f>ROUNDDOWN(SUM(F9:F10)/10,-1)*-1</f>
        <v>0</v>
      </c>
      <c r="G17" s="109">
        <f>ROUNDDOWN(SUM(G9:G10)/10,-1)*-1</f>
        <v>0</v>
      </c>
      <c r="H17" s="107"/>
      <c r="I17" s="110"/>
      <c r="J17" s="109">
        <f>ROUNDDOWN(SUM(J9:J10)/10,-1)*-1</f>
        <v>0</v>
      </c>
      <c r="K17" s="109">
        <f>ROUNDDOWN(SUM(K9:K10)/10,-1)*-1</f>
        <v>0</v>
      </c>
      <c r="L17" s="110"/>
      <c r="M17" s="110"/>
      <c r="N17" s="109">
        <f>ROUNDDOWN(SUM(N9:N10)/10,-1)*-1</f>
        <v>0</v>
      </c>
      <c r="O17" s="109">
        <f>ROUNDDOWN(SUM(O9:O10)/10,-1)*-1</f>
        <v>0</v>
      </c>
      <c r="P17" s="110"/>
      <c r="Q17" s="110"/>
      <c r="R17" s="109">
        <f>ROUNDDOWN(SUM(R9:R10)/10,-1)*-1</f>
        <v>0</v>
      </c>
      <c r="S17" s="109">
        <f>ROUNDDOWN(SUM(S9:S10)/10,-1)*-1</f>
        <v>0</v>
      </c>
      <c r="T17" s="110"/>
      <c r="U17" s="110"/>
      <c r="V17" s="113">
        <f>ROUNDDOWN(SUM(V9:V10)/10,-1)*-1</f>
        <v>0</v>
      </c>
      <c r="W17" s="109">
        <f>ROUNDDOWN(SUM(W9:W10)/10,-1)*-1</f>
        <v>0</v>
      </c>
      <c r="X17" s="110"/>
      <c r="Y17" s="110"/>
      <c r="Z17" s="109">
        <f>ROUNDDOWN(SUM(Z9:Z10)/10,-1)*-1</f>
        <v>0</v>
      </c>
      <c r="AA17" s="109">
        <f>ROUNDDOWN(SUM(AA9:AA10)/10,-1)*-1</f>
        <v>0</v>
      </c>
    </row>
    <row r="18" spans="1:27">
      <c r="A18" s="118" t="e">
        <f>A15</f>
        <v>#N/A</v>
      </c>
      <c r="B18" s="94" t="s">
        <v>310</v>
      </c>
      <c r="C18" s="89">
        <f>IF('2_区分12加算額計算表'!$F$44&lt;&gt;"",1,0)</f>
        <v>0</v>
      </c>
      <c r="D18" s="109" t="e">
        <f>IF(VLOOKUP($A18&amp;D$1,単価23号[],認こ23号単価!$W$1,FALSE)*加算率a&gt;=10,
ROUNDDOWN(VLOOKUP($A18&amp;D$1,単価23号[],認こ23号単価!$W$1,FALSE)*加算率a,-1),
ROUNDDOWN(VLOOKUP($A18&amp;D$1,単価23号[],認こ23号単価!$W$1,FALSE)*加算率a,0))*-1*$C18</f>
        <v>#N/A</v>
      </c>
      <c r="E18" s="109" t="e">
        <f>IF(VLOOKUP($A18&amp;E$1,単価23号[],認こ23号単価!$W$1,FALSE)*加算率a&gt;=10,
ROUNDDOWN(VLOOKUP($A18&amp;E$1,単価23号[],認こ23号単価!$W$1,FALSE)*加算率a,-1),
ROUNDDOWN(VLOOKUP($A18&amp;E$1,単価23号[],認こ23号単価!$W$1,FALSE)*加算率a,0))*-1*$C18</f>
        <v>#N/A</v>
      </c>
      <c r="F18" s="109" t="e">
        <f>IF(VLOOKUP($A18&amp;F$1,単価23号[],認こ23号単価!$W$1,FALSE)*加算率a&gt;=10,
ROUNDDOWN(VLOOKUP($A18&amp;F$1,単価23号[],認こ23号単価!$W$1,FALSE)*加算率a,-1),
ROUNDDOWN(VLOOKUP($A18&amp;F$1,単価23号[],認こ23号単価!$W$1,FALSE)*加算率a,0))*-1*$C18</f>
        <v>#N/A</v>
      </c>
      <c r="G18" s="109" t="e">
        <f>IF(VLOOKUP($A18&amp;G$1,単価23号[],認こ23号単価!$W$1,FALSE)*加算率a&gt;=10,
ROUNDDOWN(VLOOKUP($A18&amp;G$1,単価23号[],認こ23号単価!$W$1,FALSE)*加算率a,-1),
ROUNDDOWN(VLOOKUP($A18&amp;G$1,単価23号[],認こ23号単価!$W$1,FALSE)*加算率a,0))*-1*$C18</f>
        <v>#N/A</v>
      </c>
      <c r="H18" s="109" t="e">
        <f>IF(VLOOKUP($A18&amp;H$1,単価23号[],認こ23号単価!$W$1,FALSE)*加算率a&gt;=10,
ROUNDDOWN(VLOOKUP($A18&amp;H$1,単価23号[],認こ23号単価!$W$1,FALSE)*加算率a,-1),
ROUNDDOWN(VLOOKUP($A18&amp;H$1,単価23号[],認こ23号単価!$W$1,FALSE)*加算率a,0))*-1*$C18</f>
        <v>#N/A</v>
      </c>
      <c r="I18" s="109" t="e">
        <f>IF(VLOOKUP($A18&amp;I$1,単価23号[],認こ23号単価!$W$1,FALSE)*加算率a&gt;=10,
ROUNDDOWN(VLOOKUP($A18&amp;I$1,単価23号[],認こ23号単価!$W$1,FALSE)*加算率a,-1),
ROUNDDOWN(VLOOKUP($A18&amp;I$1,単価23号[],認こ23号単価!$W$1,FALSE)*加算率a,0))*-1*$C18</f>
        <v>#N/A</v>
      </c>
      <c r="J18" s="109" t="e">
        <f>IF(VLOOKUP($A18&amp;J$1,単価23号[],認こ23号単価!$W$1,FALSE)*加算率a&gt;=10,
ROUNDDOWN(VLOOKUP($A18&amp;J$1,単価23号[],認こ23号単価!$W$1,FALSE)*加算率a,-1),
ROUNDDOWN(VLOOKUP($A18&amp;J$1,単価23号[],認こ23号単価!$W$1,FALSE)*加算率a,0))*-1*$C18</f>
        <v>#N/A</v>
      </c>
      <c r="K18" s="109" t="e">
        <f>IF(VLOOKUP($A18&amp;K$1,単価23号[],認こ23号単価!$W$1,FALSE)*加算率a&gt;=10,
ROUNDDOWN(VLOOKUP($A18&amp;K$1,単価23号[],認こ23号単価!$W$1,FALSE)*加算率a,-1),
ROUNDDOWN(VLOOKUP($A18&amp;K$1,単価23号[],認こ23号単価!$W$1,FALSE)*加算率a,0))*-1*$C18</f>
        <v>#N/A</v>
      </c>
      <c r="L18" s="109" t="e">
        <f>IF(VLOOKUP($A18&amp;L$1,単価23号[],認こ23号単価!$W$1,FALSE)*加算率a&gt;=10,
ROUNDDOWN(VLOOKUP($A18&amp;L$1,単価23号[],認こ23号単価!$W$1,FALSE)*加算率a,-1),
ROUNDDOWN(VLOOKUP($A18&amp;L$1,単価23号[],認こ23号単価!$W$1,FALSE)*加算率a,0))*-1*$C18</f>
        <v>#N/A</v>
      </c>
      <c r="M18" s="109" t="e">
        <f>IF(VLOOKUP($A18&amp;M$1,単価23号[],認こ23号単価!$W$1,FALSE)*加算率a&gt;=10,
ROUNDDOWN(VLOOKUP($A18&amp;M$1,単価23号[],認こ23号単価!$W$1,FALSE)*加算率a,-1),
ROUNDDOWN(VLOOKUP($A18&amp;M$1,単価23号[],認こ23号単価!$W$1,FALSE)*加算率a,0))*-1*$C18</f>
        <v>#N/A</v>
      </c>
      <c r="N18" s="109" t="e">
        <f>IF(VLOOKUP($A18&amp;N$1,単価23号[],認こ23号単価!$W$1,FALSE)*加算率a&gt;=10,
ROUNDDOWN(VLOOKUP($A18&amp;N$1,単価23号[],認こ23号単価!$W$1,FALSE)*加算率a,-1),
ROUNDDOWN(VLOOKUP($A18&amp;N$1,単価23号[],認こ23号単価!$W$1,FALSE)*加算率a,0))*-1*$C18</f>
        <v>#N/A</v>
      </c>
      <c r="O18" s="109" t="e">
        <f>IF(VLOOKUP($A18&amp;O$1,単価23号[],認こ23号単価!$W$1,FALSE)*加算率a&gt;=10,
ROUNDDOWN(VLOOKUP($A18&amp;O$1,単価23号[],認こ23号単価!$W$1,FALSE)*加算率a,-1),
ROUNDDOWN(VLOOKUP($A18&amp;O$1,単価23号[],認こ23号単価!$W$1,FALSE)*加算率a,0))*-1*$C18</f>
        <v>#N/A</v>
      </c>
      <c r="P18" s="109" t="e">
        <f>IF(VLOOKUP($A18&amp;P$1,単価23号[],認こ23号単価!$W$1,FALSE)*加算率a&gt;=10,
ROUNDDOWN(VLOOKUP($A18&amp;P$1,単価23号[],認こ23号単価!$W$1,FALSE)*加算率a,-1),
ROUNDDOWN(VLOOKUP($A18&amp;P$1,単価23号[],認こ23号単価!$W$1,FALSE)*加算率a,0))*-1*$C18</f>
        <v>#N/A</v>
      </c>
      <c r="Q18" s="109" t="e">
        <f>IF(VLOOKUP($A18&amp;Q$1,単価23号[],認こ23号単価!$W$1,FALSE)*加算率a&gt;=10,
ROUNDDOWN(VLOOKUP($A18&amp;Q$1,単価23号[],認こ23号単価!$W$1,FALSE)*加算率a,-1),
ROUNDDOWN(VLOOKUP($A18&amp;Q$1,単価23号[],認こ23号単価!$W$1,FALSE)*加算率a,0))*-1*$C18</f>
        <v>#N/A</v>
      </c>
      <c r="R18" s="109" t="e">
        <f>IF(VLOOKUP($A18&amp;R$1,単価23号[],認こ23号単価!$W$1,FALSE)*加算率a&gt;=10,
ROUNDDOWN(VLOOKUP($A18&amp;R$1,単価23号[],認こ23号単価!$W$1,FALSE)*加算率a,-1),
ROUNDDOWN(VLOOKUP($A18&amp;R$1,単価23号[],認こ23号単価!$W$1,FALSE)*加算率a,0))*-1*$C18</f>
        <v>#N/A</v>
      </c>
      <c r="S18" s="109" t="e">
        <f>IF(VLOOKUP($A18&amp;S$1,単価23号[],認こ23号単価!$W$1,FALSE)*加算率a&gt;=10,
ROUNDDOWN(VLOOKUP($A18&amp;S$1,単価23号[],認こ23号単価!$W$1,FALSE)*加算率a,-1),
ROUNDDOWN(VLOOKUP($A18&amp;S$1,単価23号[],認こ23号単価!$W$1,FALSE)*加算率a,0))*-1*$C18</f>
        <v>#N/A</v>
      </c>
      <c r="T18" s="109" t="e">
        <f>IF(VLOOKUP($A18&amp;T$1,単価23号[],認こ23号単価!$W$1,FALSE)*加算率a&gt;=10,
ROUNDDOWN(VLOOKUP($A18&amp;T$1,単価23号[],認こ23号単価!$W$1,FALSE)*加算率a,-1),
ROUNDDOWN(VLOOKUP($A18&amp;T$1,単価23号[],認こ23号単価!$W$1,FALSE)*加算率a,0))*-1*$C18</f>
        <v>#N/A</v>
      </c>
      <c r="U18" s="109" t="e">
        <f>IF(VLOOKUP($A18&amp;U$1,単価23号[],認こ23号単価!$W$1,FALSE)*加算率a&gt;=10,
ROUNDDOWN(VLOOKUP($A18&amp;U$1,単価23号[],認こ23号単価!$W$1,FALSE)*加算率a,-1),
ROUNDDOWN(VLOOKUP($A18&amp;U$1,単価23号[],認こ23号単価!$W$1,FALSE)*加算率a,0))*-1*$C18</f>
        <v>#N/A</v>
      </c>
      <c r="V18" s="109" t="e">
        <f>IF(VLOOKUP($A18&amp;V$1,単価23号[],認こ23号単価!$W$1,FALSE)*加算率a&gt;=10,
ROUNDDOWN(VLOOKUP($A18&amp;V$1,単価23号[],認こ23号単価!$W$1,FALSE)*加算率a,-1),
ROUNDDOWN(VLOOKUP($A18&amp;V$1,単価23号[],認こ23号単価!$W$1,FALSE)*加算率a,0))*-1*$C18</f>
        <v>#N/A</v>
      </c>
      <c r="W18" s="109" t="e">
        <f>IF(VLOOKUP($A18&amp;W$1,単価23号[],認こ23号単価!$W$1,FALSE)*加算率a&gt;=10,
ROUNDDOWN(VLOOKUP($A18&amp;W$1,単価23号[],認こ23号単価!$W$1,FALSE)*加算率a,-1),
ROUNDDOWN(VLOOKUP($A18&amp;W$1,単価23号[],認こ23号単価!$W$1,FALSE)*加算率a,0))*-1*$C18</f>
        <v>#N/A</v>
      </c>
      <c r="X18" s="109" t="e">
        <f>IF(VLOOKUP($A18&amp;X$1,単価23号[],認こ23号単価!$W$1,FALSE)*加算率a&gt;=10,
ROUNDDOWN(VLOOKUP($A18&amp;X$1,単価23号[],認こ23号単価!$W$1,FALSE)*加算率a,-1),
ROUNDDOWN(VLOOKUP($A18&amp;X$1,単価23号[],認こ23号単価!$W$1,FALSE)*加算率a,0))*-1*$C18</f>
        <v>#N/A</v>
      </c>
      <c r="Y18" s="109" t="e">
        <f>IF(VLOOKUP($A18&amp;Y$1,単価23号[],認こ23号単価!$W$1,FALSE)*加算率a&gt;=10,
ROUNDDOWN(VLOOKUP($A18&amp;Y$1,単価23号[],認こ23号単価!$W$1,FALSE)*加算率a,-1),
ROUNDDOWN(VLOOKUP($A18&amp;Y$1,単価23号[],認こ23号単価!$W$1,FALSE)*加算率a,0))*-1*$C18</f>
        <v>#N/A</v>
      </c>
      <c r="Z18" s="109" t="e">
        <f>IF(VLOOKUP($A18&amp;Z$1,単価23号[],認こ23号単価!$W$1,FALSE)*加算率a&gt;=10,
ROUNDDOWN(VLOOKUP($A18&amp;Z$1,単価23号[],認こ23号単価!$W$1,FALSE)*加算率a,-1),
ROUNDDOWN(VLOOKUP($A18&amp;Z$1,単価23号[],認こ23号単価!$W$1,FALSE)*加算率a,0))*-1*$C18</f>
        <v>#N/A</v>
      </c>
      <c r="AA18" s="109" t="e">
        <f>IF(VLOOKUP($A18&amp;AA$1,単価23号[],認こ23号単価!$W$1,FALSE)*加算率a&gt;=10,
ROUNDDOWN(VLOOKUP($A18&amp;AA$1,単価23号[],認こ23号単価!$W$1,FALSE)*加算率a,-1),
ROUNDDOWN(VLOOKUP($A18&amp;AA$1,単価23号[],認こ23号単価!$W$1,FALSE)*加算率a,0))*-1*$C18</f>
        <v>#N/A</v>
      </c>
    </row>
    <row r="19" spans="1:27">
      <c r="A19" s="118">
        <f>IF('2_区分12加算額計算表'!$F$45=【リスト】!$D$2,2,IF('2_区分12加算額計算表'!$F$45=【リスト】!$D$3,3,1))</f>
        <v>1</v>
      </c>
      <c r="B19" s="94" t="s">
        <v>141</v>
      </c>
      <c r="C19" s="89">
        <f>IF('2_区分12加算額計算表'!$F$45&lt;&gt;"",1,0)</f>
        <v>0</v>
      </c>
      <c r="D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E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F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G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H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I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J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K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L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M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N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O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P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Q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R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S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T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U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V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W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X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Y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Z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c r="AA19" s="109" t="e">
        <f>IF(VLOOKUP($A19,療育支援23号[],認こ23号単価!$AM$1,FALSE)*加算率a/'2_区分12加算額計算表'!$D$29&gt;=10,
ROUNDDOWN(VLOOKUP($A19,療育支援23号[],認こ23号単価!$AM$1,FALSE)*加算率a/'2_区分12加算額計算表'!$D$29,-1),
ROUNDDOWN(VLOOKUP($A19,療育支援23号[],認こ23号単価!$AM$1,FALSE)*加算率a/'2_区分12加算額計算表'!$D$29,0))*$C19</f>
        <v>#N/A</v>
      </c>
    </row>
    <row r="20" spans="1:27">
      <c r="A20" s="118">
        <f>IF('2_区分12加算額計算表'!$F$49=【リスト】!$E$2,1,IF('2_区分12加算額計算表'!$F$49=【リスト】!$E$3,2,IF('2_区分12加算額計算表'!$F$49=【リスト】!$E$4,3,0)))</f>
        <v>0</v>
      </c>
      <c r="B20" s="95" t="s">
        <v>142</v>
      </c>
      <c r="C20" s="90">
        <f>IF('2_区分12加算額計算表'!$F$49&lt;&gt;"",1,0)</f>
        <v>0</v>
      </c>
      <c r="D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E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F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G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H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I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J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K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L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M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N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O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P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Q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R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S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T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U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V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W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X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Y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Z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c r="AA20" s="111" t="e">
        <f>IF(VLOOKUP($A20,栄養管理23号[],認こ23号単価!$AR$1,FALSE)*加算率a/'2_区分12加算額計算表'!$D$29&gt;=10,
ROUNDDOWN(VLOOKUP($A20,栄養管理23号[],認こ23号単価!$AR$1,FALSE)*加算率a/'2_区分12加算額計算表'!$D$29,-1),
ROUNDDOWN(VLOOKUP($A20,栄養管理23号[],認こ23号単価!$AR$1,FALSE)*加算率a/'2_区分12加算額計算表'!$D$29,0))*$C20</f>
        <v>#N/A</v>
      </c>
    </row>
    <row r="21" spans="1:27">
      <c r="A21" s="118" t="e">
        <f>A18</f>
        <v>#N/A</v>
      </c>
      <c r="B21" s="94" t="s">
        <v>160</v>
      </c>
      <c r="C21" s="89" t="str">
        <f>IF('2_区分12加算額計算表'!$F$50=【リスト】!$H$2,0,IF('2_区分12加算額計算表'!$F$50=【リスト】!$H$3,1,IF('2_区分12加算額計算表'!$F$50=【リスト】!$H$4,2,IF('2_区分12加算額計算表'!$F$50=【リスト】!$H$5,3,"Q"))))</f>
        <v>Q</v>
      </c>
      <c r="D21" s="109">
        <f>IF($C21="Q",0,ROUNDDOWN(SUM(D7:D13,D15)*VLOOKUP($A21&amp;D$1,単価23号[],認こ23号単価!$S$1+$C21,FALSE),-1))*-1</f>
        <v>0</v>
      </c>
      <c r="E21" s="109">
        <f>IF($C21="Q",0,ROUNDDOWN(SUM(E7:E13,E15)*VLOOKUP($A21&amp;E$1,単価23号[],認こ23号単価!$S$1+$C21,FALSE),-1))*-1</f>
        <v>0</v>
      </c>
      <c r="F21" s="109">
        <f>IF($C21="Q",0,ROUNDDOWN(SUM(F7:F13,F15)*VLOOKUP($A21&amp;F$1,単価23号[],認こ23号単価!$S$1+$C21,FALSE),-1))*-1</f>
        <v>0</v>
      </c>
      <c r="G21" s="109">
        <f>IF($C21="Q",0,ROUNDDOWN(SUM(G7:G13,G15)*VLOOKUP($A21&amp;G$1,単価23号[],認こ23号単価!$S$1+$C21,FALSE),-1))*-1</f>
        <v>0</v>
      </c>
      <c r="H21" s="109">
        <f>IF($C21="Q",0,ROUNDDOWN(SUM(H7:H13,H15)*VLOOKUP($A21&amp;H$1,単価23号[],認こ23号単価!$S$1+$C21,FALSE),-1))*-1</f>
        <v>0</v>
      </c>
      <c r="I21" s="109">
        <f>IF($C21="Q",0,ROUNDDOWN(SUM(I7:I13,I15)*VLOOKUP($A21&amp;I$1,単価23号[],認こ23号単価!$S$1+$C21,FALSE),-1))*-1</f>
        <v>0</v>
      </c>
      <c r="J21" s="109">
        <f>IF($C21="Q",0,ROUNDDOWN(SUM(J7:J13,J15)*VLOOKUP($A21&amp;J$1,単価23号[],認こ23号単価!$S$1+$C21,FALSE),-1))*-1</f>
        <v>0</v>
      </c>
      <c r="K21" s="109">
        <f>IF($C21="Q",0,ROUNDDOWN(SUM(K7:K13,K15)*VLOOKUP($A21&amp;K$1,単価23号[],認こ23号単価!$S$1+$C21,FALSE),-1))*-1</f>
        <v>0</v>
      </c>
      <c r="L21" s="109">
        <f>IF($C21="Q",0,ROUNDDOWN(SUM(L7:L13,L15)*VLOOKUP($A21&amp;L$1,単価23号[],認こ23号単価!$S$1+$C21,FALSE),-1))*-1</f>
        <v>0</v>
      </c>
      <c r="M21" s="109">
        <f>IF($C21="Q",0,ROUNDDOWN(SUM(M7:M13,M15)*VLOOKUP($A21&amp;M$1,単価23号[],認こ23号単価!$S$1+$C21,FALSE),-1))*-1</f>
        <v>0</v>
      </c>
      <c r="N21" s="109">
        <f>IF($C21="Q",0,ROUNDDOWN(SUM(N7:N13,N15)*VLOOKUP($A21&amp;N$1,単価23号[],認こ23号単価!$S$1+$C21,FALSE),-1))*-1</f>
        <v>0</v>
      </c>
      <c r="O21" s="109">
        <f>IF($C21="Q",0,ROUNDDOWN(SUM(O7:O13,O15)*VLOOKUP($A21&amp;O$1,単価23号[],認こ23号単価!$S$1+$C21,FALSE),-1))*-1</f>
        <v>0</v>
      </c>
      <c r="P21" s="109">
        <f>IF($C21="Q",0,ROUNDDOWN(SUM(P7:P13,P15)*VLOOKUP($A21&amp;P$1,単価23号[],認こ23号単価!$S$1+$C21,FALSE),-1))*-1</f>
        <v>0</v>
      </c>
      <c r="Q21" s="109">
        <f>IF($C21="Q",0,ROUNDDOWN(SUM(Q7:Q13,Q15)*VLOOKUP($A21&amp;Q$1,単価23号[],認こ23号単価!$S$1+$C21,FALSE),-1))*-1</f>
        <v>0</v>
      </c>
      <c r="R21" s="109">
        <f>IF($C21="Q",0,ROUNDDOWN(SUM(R7:R13,R15)*VLOOKUP($A21&amp;R$1,単価23号[],認こ23号単価!$S$1+$C21,FALSE),-1))*-1</f>
        <v>0</v>
      </c>
      <c r="S21" s="109">
        <f>IF($C21="Q",0,ROUNDDOWN(SUM(S7:S13,S15)*VLOOKUP($A21&amp;S$1,単価23号[],認こ23号単価!$S$1+$C21,FALSE),-1))*-1</f>
        <v>0</v>
      </c>
      <c r="T21" s="109">
        <f>IF($C21="Q",0,ROUNDDOWN(SUM(T7:T13,T15)*VLOOKUP($A21&amp;T$1,単価23号[],認こ23号単価!$S$1+$C21,FALSE),-1))*-1</f>
        <v>0</v>
      </c>
      <c r="U21" s="109">
        <f>IF($C21="Q",0,ROUNDDOWN(SUM(U7:U13,U15)*VLOOKUP($A21&amp;U$1,単価23号[],認こ23号単価!$S$1+$C21,FALSE),-1))*-1</f>
        <v>0</v>
      </c>
      <c r="V21" s="109">
        <f>IF($C21="Q",0,ROUNDDOWN(SUM(V7:V13,V15)*VLOOKUP($A21&amp;V$1,単価23号[],認こ23号単価!$S$1+$C21,FALSE),-1))*-1</f>
        <v>0</v>
      </c>
      <c r="W21" s="109">
        <f>IF($C21="Q",0,ROUNDDOWN(SUM(W7:W13,W15)*VLOOKUP($A21&amp;W$1,単価23号[],認こ23号単価!$S$1+$C21,FALSE),-1))*-1</f>
        <v>0</v>
      </c>
      <c r="X21" s="109">
        <f>IF($C21="Q",0,ROUNDDOWN(SUM(X7:X13,X15)*VLOOKUP($A21&amp;X$1,単価23号[],認こ23号単価!$S$1+$C21,FALSE),-1))*-1</f>
        <v>0</v>
      </c>
      <c r="Y21" s="109">
        <f>IF($C21="Q",0,ROUNDDOWN(SUM(Y7:Y13,Y15)*VLOOKUP($A21&amp;Y$1,単価23号[],認こ23号単価!$S$1+$C21,FALSE),-1))*-1</f>
        <v>0</v>
      </c>
      <c r="Z21" s="109">
        <f>IF($C21="Q",0,ROUNDDOWN(SUM(Z7:Z13,Z15)*VLOOKUP($A21&amp;Z$1,単価23号[],認こ23号単価!$S$1+$C21,FALSE),-1))*-1</f>
        <v>0</v>
      </c>
      <c r="AA21" s="109">
        <f>IF($C21="Q",0,ROUNDDOWN(SUM(AA7:AA13,AA15)*VLOOKUP($A21&amp;AA$1,単価23号[],認こ23号単価!$S$1+$C21,FALSE),-1))*-1</f>
        <v>0</v>
      </c>
    </row>
    <row r="22" spans="1:27">
      <c r="A22" s="119"/>
      <c r="B22" s="92" t="s">
        <v>144</v>
      </c>
      <c r="C22" s="87"/>
      <c r="D22" s="122" t="e">
        <f t="shared" ref="D22:AA22" si="0">SUM(D7:D21)</f>
        <v>#N/A</v>
      </c>
      <c r="E22" s="122" t="e">
        <f t="shared" si="0"/>
        <v>#N/A</v>
      </c>
      <c r="F22" s="122" t="e">
        <f t="shared" si="0"/>
        <v>#N/A</v>
      </c>
      <c r="G22" s="122" t="e">
        <f t="shared" si="0"/>
        <v>#N/A</v>
      </c>
      <c r="H22" s="122" t="e">
        <f t="shared" si="0"/>
        <v>#N/A</v>
      </c>
      <c r="I22" s="122" t="e">
        <f t="shared" si="0"/>
        <v>#N/A</v>
      </c>
      <c r="J22" s="122" t="e">
        <f t="shared" si="0"/>
        <v>#N/A</v>
      </c>
      <c r="K22" s="122" t="e">
        <f t="shared" si="0"/>
        <v>#N/A</v>
      </c>
      <c r="L22" s="122" t="e">
        <f t="shared" si="0"/>
        <v>#N/A</v>
      </c>
      <c r="M22" s="122" t="e">
        <f t="shared" si="0"/>
        <v>#N/A</v>
      </c>
      <c r="N22" s="122" t="e">
        <f t="shared" si="0"/>
        <v>#N/A</v>
      </c>
      <c r="O22" s="122" t="e">
        <f t="shared" si="0"/>
        <v>#N/A</v>
      </c>
      <c r="P22" s="122" t="e">
        <f t="shared" si="0"/>
        <v>#N/A</v>
      </c>
      <c r="Q22" s="122" t="e">
        <f t="shared" si="0"/>
        <v>#N/A</v>
      </c>
      <c r="R22" s="122" t="e">
        <f t="shared" si="0"/>
        <v>#N/A</v>
      </c>
      <c r="S22" s="122" t="e">
        <f t="shared" si="0"/>
        <v>#N/A</v>
      </c>
      <c r="T22" s="122" t="e">
        <f t="shared" si="0"/>
        <v>#N/A</v>
      </c>
      <c r="U22" s="122" t="e">
        <f t="shared" si="0"/>
        <v>#N/A</v>
      </c>
      <c r="V22" s="122" t="e">
        <f t="shared" si="0"/>
        <v>#N/A</v>
      </c>
      <c r="W22" s="122" t="e">
        <f t="shared" si="0"/>
        <v>#N/A</v>
      </c>
      <c r="X22" s="122" t="e">
        <f t="shared" si="0"/>
        <v>#N/A</v>
      </c>
      <c r="Y22" s="122" t="e">
        <f t="shared" si="0"/>
        <v>#N/A</v>
      </c>
      <c r="Z22" s="122" t="e">
        <f t="shared" si="0"/>
        <v>#N/A</v>
      </c>
      <c r="AA22" s="122" t="e">
        <f t="shared" si="0"/>
        <v>#N/A</v>
      </c>
    </row>
    <row r="23" spans="1:27">
      <c r="B23" s="96" t="s">
        <v>145</v>
      </c>
      <c r="C23" s="91"/>
      <c r="D23" s="122" t="e">
        <f>D$6*D22</f>
        <v>#N/A</v>
      </c>
      <c r="E23" s="123" t="e">
        <f t="shared" ref="E23:AA23" si="1">E$6*E22</f>
        <v>#N/A</v>
      </c>
      <c r="F23" s="123" t="e">
        <f t="shared" si="1"/>
        <v>#N/A</v>
      </c>
      <c r="G23" s="123" t="e">
        <f t="shared" si="1"/>
        <v>#N/A</v>
      </c>
      <c r="H23" s="122" t="e">
        <f t="shared" si="1"/>
        <v>#N/A</v>
      </c>
      <c r="I23" s="123" t="e">
        <f t="shared" si="1"/>
        <v>#N/A</v>
      </c>
      <c r="J23" s="123" t="e">
        <f t="shared" si="1"/>
        <v>#N/A</v>
      </c>
      <c r="K23" s="123" t="e">
        <f t="shared" si="1"/>
        <v>#N/A</v>
      </c>
      <c r="L23" s="123" t="e">
        <f t="shared" si="1"/>
        <v>#N/A</v>
      </c>
      <c r="M23" s="123" t="e">
        <f t="shared" si="1"/>
        <v>#N/A</v>
      </c>
      <c r="N23" s="123" t="e">
        <f t="shared" si="1"/>
        <v>#N/A</v>
      </c>
      <c r="O23" s="123" t="e">
        <f t="shared" si="1"/>
        <v>#N/A</v>
      </c>
      <c r="P23" s="123" t="e">
        <f t="shared" si="1"/>
        <v>#N/A</v>
      </c>
      <c r="Q23" s="123" t="e">
        <f t="shared" si="1"/>
        <v>#N/A</v>
      </c>
      <c r="R23" s="123" t="e">
        <f t="shared" si="1"/>
        <v>#N/A</v>
      </c>
      <c r="S23" s="123" t="e">
        <f t="shared" si="1"/>
        <v>#N/A</v>
      </c>
      <c r="T23" s="123" t="e">
        <f t="shared" si="1"/>
        <v>#N/A</v>
      </c>
      <c r="U23" s="123" t="e">
        <f t="shared" si="1"/>
        <v>#N/A</v>
      </c>
      <c r="V23" s="122" t="e">
        <f t="shared" si="1"/>
        <v>#N/A</v>
      </c>
      <c r="W23" s="123" t="e">
        <f t="shared" si="1"/>
        <v>#N/A</v>
      </c>
      <c r="X23" s="123" t="e">
        <f t="shared" si="1"/>
        <v>#N/A</v>
      </c>
      <c r="Y23" s="123" t="e">
        <f t="shared" si="1"/>
        <v>#N/A</v>
      </c>
      <c r="Z23" s="123" t="e">
        <f t="shared" si="1"/>
        <v>#N/A</v>
      </c>
      <c r="AA23" s="123" t="e">
        <f t="shared" si="1"/>
        <v>#N/A</v>
      </c>
    </row>
    <row r="24" spans="1:27">
      <c r="A24" s="119"/>
    </row>
    <row r="25" spans="1:27">
      <c r="A25" s="119" t="s">
        <v>146</v>
      </c>
      <c r="D25" s="167"/>
    </row>
    <row r="26" spans="1:27">
      <c r="A26" s="118" t="e">
        <f t="shared" ref="A26:C40" si="2">A7</f>
        <v>#N/A</v>
      </c>
      <c r="B26" s="97" t="str">
        <f t="shared" si="2"/>
        <v>処遇改善等加算（本園/標準時間）単価</v>
      </c>
      <c r="C26" s="100">
        <f t="shared" si="2"/>
        <v>0</v>
      </c>
      <c r="D26" s="106" t="e">
        <f>ROUNDDOWN(VLOOKUP($A26&amp;D$1,単価23号[],認こ23号単価!$G$1,FALSE)*(加算率b+VLOOKUP($A26&amp;D$1,単価23号[],認こ23号単価!$H$1,FALSE)),-1)</f>
        <v>#N/A</v>
      </c>
      <c r="E26" s="115"/>
      <c r="F26" s="115"/>
      <c r="G26" s="115"/>
      <c r="H26" s="114" t="e">
        <f>ROUNDDOWN(VLOOKUP($A26&amp;H$1,単価23号[],認こ23号単価!$G$1,FALSE)*(加算率b+VLOOKUP($A26&amp;H$1,単価23号[],認こ23号単価!$H$1,FALSE)),-1)</f>
        <v>#N/A</v>
      </c>
      <c r="I26" s="115"/>
      <c r="J26" s="115"/>
      <c r="K26" s="115"/>
      <c r="L26" s="116" t="e">
        <f>ROUNDDOWN(VLOOKUP($A26&amp;L$1,単価23号[],認こ23号単価!$G$1,FALSE)*(加算率b+VLOOKUP($A26&amp;L$1,単価23号[],認こ23号単価!$H$1,FALSE)),-1)</f>
        <v>#N/A</v>
      </c>
      <c r="M26" s="115"/>
      <c r="N26" s="115"/>
      <c r="O26" s="115"/>
      <c r="P26" s="116" t="e">
        <f>ROUNDDOWN(VLOOKUP($A26&amp;P$1,単価23号[],認こ23号単価!$G$1,FALSE)*(加算率b+VLOOKUP($A26&amp;P$1,単価23号[],認こ23号単価!$H$1,FALSE)),-1)</f>
        <v>#N/A</v>
      </c>
      <c r="Q26" s="115"/>
      <c r="R26" s="115"/>
      <c r="S26" s="115"/>
      <c r="T26" s="116" t="e">
        <f>ROUNDDOWN(VLOOKUP($A26&amp;T$1,単価23号[],認こ23号単価!$G$1,FALSE)*(加算率b+VLOOKUP($A26&amp;T$1,単価23号[],認こ23号単価!$H$1,FALSE)),-1)</f>
        <v>#N/A</v>
      </c>
      <c r="U26" s="115"/>
      <c r="V26" s="117"/>
      <c r="W26" s="115"/>
      <c r="X26" s="116" t="e">
        <f>ROUNDDOWN(VLOOKUP($A26&amp;X$1,単価23号[],認こ23号単価!$G$1,FALSE)*(加算率b+VLOOKUP($A26&amp;X$1,単価23号[],認こ23号単価!$H$1,FALSE)),-1)</f>
        <v>#N/A</v>
      </c>
      <c r="Y26" s="115"/>
      <c r="Z26" s="115"/>
      <c r="AA26" s="115"/>
    </row>
    <row r="27" spans="1:27">
      <c r="A27" s="118" t="e">
        <f t="shared" si="2"/>
        <v>#N/A</v>
      </c>
      <c r="B27" s="98" t="str">
        <f t="shared" si="2"/>
        <v>処遇改善等加算（本園/短時間）単価</v>
      </c>
      <c r="C27" s="101">
        <f t="shared" si="2"/>
        <v>0</v>
      </c>
      <c r="D27" s="107"/>
      <c r="E27" s="109" t="e">
        <f>ROUNDDOWN(VLOOKUP($A27&amp;E$1,単価23号[],認こ23号単価!$I$1,FALSE)*(加算率b+VLOOKUP($A27&amp;E$1,単価23号[],認こ23号単価!$J$1,FALSE)),-1)</f>
        <v>#N/A</v>
      </c>
      <c r="F27" s="110"/>
      <c r="G27" s="110"/>
      <c r="H27" s="107"/>
      <c r="I27" s="109" t="e">
        <f>ROUNDDOWN(VLOOKUP($A27&amp;I$1,単価23号[],認こ23号単価!$I$1,FALSE)*(加算率b+VLOOKUP($A27&amp;I$1,単価23号[],認こ23号単価!$J$1,FALSE)),-1)</f>
        <v>#N/A</v>
      </c>
      <c r="J27" s="110"/>
      <c r="K27" s="110"/>
      <c r="L27" s="110"/>
      <c r="M27" s="109" t="e">
        <f>ROUNDDOWN(VLOOKUP($A27&amp;M$1,単価23号[],認こ23号単価!$I$1,FALSE)*(加算率b+VLOOKUP($A27&amp;M$1,単価23号[],認こ23号単価!$J$1,FALSE)),-1)</f>
        <v>#N/A</v>
      </c>
      <c r="N27" s="110"/>
      <c r="O27" s="110"/>
      <c r="P27" s="110"/>
      <c r="Q27" s="109" t="e">
        <f>ROUNDDOWN(VLOOKUP($A27&amp;Q$1,単価23号[],認こ23号単価!$I$1,FALSE)*(加算率b+VLOOKUP($A27&amp;Q$1,単価23号[],認こ23号単価!$J$1,FALSE)),-1)</f>
        <v>#N/A</v>
      </c>
      <c r="R27" s="110"/>
      <c r="S27" s="110"/>
      <c r="T27" s="110"/>
      <c r="U27" s="109" t="e">
        <f>ROUNDDOWN(VLOOKUP($A27&amp;U$1,単価23号[],認こ23号単価!$I$1,FALSE)*(加算率b+VLOOKUP($A27&amp;U$1,単価23号[],認こ23号単価!$J$1,FALSE)),-1)</f>
        <v>#N/A</v>
      </c>
      <c r="V27" s="107"/>
      <c r="W27" s="110"/>
      <c r="X27" s="110"/>
      <c r="Y27" s="109" t="e">
        <f>ROUNDDOWN(VLOOKUP($A27&amp;Y$1,単価23号[],認こ23号単価!$I$1,FALSE)*(加算率b+VLOOKUP($A27&amp;Y$1,単価23号[],認こ23号単価!$J$1,FALSE)),-1)</f>
        <v>#N/A</v>
      </c>
      <c r="Z27" s="110"/>
      <c r="AA27" s="110"/>
    </row>
    <row r="28" spans="1:27">
      <c r="A28" s="118" t="e">
        <f t="shared" si="2"/>
        <v>#N/A</v>
      </c>
      <c r="B28" s="98" t="str">
        <f t="shared" si="2"/>
        <v>処遇改善等加算（分園/標準時間）単価</v>
      </c>
      <c r="C28" s="101">
        <f t="shared" si="2"/>
        <v>0</v>
      </c>
      <c r="D28" s="107"/>
      <c r="E28" s="110"/>
      <c r="F28" s="106">
        <f>IFERROR(ROUNDDOWN(VLOOKUP($A28&amp;F$1,単価23号[],認こ23号単価!$G$1,FALSE)*(加算率b+VLOOKUP($A28&amp;F$1,単価23号[],認こ23号単価!$H$1,FALSE)),-1),0)</f>
        <v>0</v>
      </c>
      <c r="G28" s="110"/>
      <c r="H28" s="107"/>
      <c r="I28" s="110"/>
      <c r="J28" s="106">
        <f>IFERROR(ROUNDDOWN(VLOOKUP($A28&amp;J$1,単価23号[],認こ23号単価!$G$1,FALSE)*(加算率b+VLOOKUP($A28&amp;J$1,単価23号[],認こ23号単価!$H$1,FALSE)),-1),0)</f>
        <v>0</v>
      </c>
      <c r="K28" s="110"/>
      <c r="L28" s="110"/>
      <c r="M28" s="110"/>
      <c r="N28" s="106">
        <f>IFERROR(ROUNDDOWN(VLOOKUP($A28&amp;N$1,単価23号[],認こ23号単価!$G$1,FALSE)*(加算率b+VLOOKUP($A28&amp;N$1,単価23号[],認こ23号単価!$H$1,FALSE)),-1),0)</f>
        <v>0</v>
      </c>
      <c r="O28" s="110"/>
      <c r="P28" s="110"/>
      <c r="Q28" s="110"/>
      <c r="R28" s="106">
        <f>IFERROR(ROUNDDOWN(VLOOKUP($A28&amp;R$1,単価23号[],認こ23号単価!$G$1,FALSE)*(加算率b+VLOOKUP($A28&amp;R$1,単価23号[],認こ23号単価!$H$1,FALSE)),-1),0)</f>
        <v>0</v>
      </c>
      <c r="S28" s="110"/>
      <c r="T28" s="110"/>
      <c r="U28" s="110"/>
      <c r="V28" s="106">
        <f>IFERROR(ROUNDDOWN(VLOOKUP($A28&amp;V$1,単価23号[],認こ23号単価!$G$1,FALSE)*(加算率b+VLOOKUP($A28&amp;V$1,単価23号[],認こ23号単価!$H$1,FALSE)),-1),0)</f>
        <v>0</v>
      </c>
      <c r="W28" s="110"/>
      <c r="X28" s="110"/>
      <c r="Y28" s="110"/>
      <c r="Z28" s="106">
        <f>IFERROR(ROUNDDOWN(VLOOKUP($A28&amp;Z$1,単価23号[],認こ23号単価!$G$1,FALSE)*(加算率b+VLOOKUP($A28&amp;Z$1,単価23号[],認こ23号単価!$H$1,FALSE)),-1),0)</f>
        <v>0</v>
      </c>
      <c r="AA28" s="110"/>
    </row>
    <row r="29" spans="1:27">
      <c r="A29" s="118" t="e">
        <f t="shared" si="2"/>
        <v>#N/A</v>
      </c>
      <c r="B29" s="98" t="str">
        <f t="shared" si="2"/>
        <v>処遇改善等加算（分園/短時間）単価</v>
      </c>
      <c r="C29" s="101">
        <f t="shared" si="2"/>
        <v>0</v>
      </c>
      <c r="D29" s="107"/>
      <c r="E29" s="110"/>
      <c r="F29" s="110"/>
      <c r="G29" s="109">
        <f>IFERROR(ROUNDDOWN(VLOOKUP($A29&amp;G$1,単価23号[],認こ23号単価!$I$1,FALSE)*(加算率b+VLOOKUP($A29&amp;G$1,単価23号[],認こ23号単価!$J$1,FALSE)),-1),0)</f>
        <v>0</v>
      </c>
      <c r="H29" s="107"/>
      <c r="I29" s="110"/>
      <c r="J29" s="110"/>
      <c r="K29" s="109">
        <f>IFERROR(ROUNDDOWN(VLOOKUP($A29&amp;K$1,単価23号[],認こ23号単価!$I$1,FALSE)*(加算率b+VLOOKUP($A29&amp;K$1,単価23号[],認こ23号単価!$J$1,FALSE)),-1),0)</f>
        <v>0</v>
      </c>
      <c r="L29" s="110"/>
      <c r="M29" s="110"/>
      <c r="N29" s="110"/>
      <c r="O29" s="109">
        <f>IFERROR(ROUNDDOWN(VLOOKUP($A29&amp;O$1,単価23号[],認こ23号単価!$I$1,FALSE)*(加算率b+VLOOKUP($A29&amp;O$1,単価23号[],認こ23号単価!$J$1,FALSE)),-1),0)</f>
        <v>0</v>
      </c>
      <c r="P29" s="110"/>
      <c r="Q29" s="110"/>
      <c r="R29" s="110"/>
      <c r="S29" s="109">
        <f>IFERROR(ROUNDDOWN(VLOOKUP($A29&amp;S$1,単価23号[],認こ23号単価!$I$1,FALSE)*(加算率b+VLOOKUP($A29&amp;S$1,単価23号[],認こ23号単価!$J$1,FALSE)),-1),0)</f>
        <v>0</v>
      </c>
      <c r="T29" s="110"/>
      <c r="U29" s="110"/>
      <c r="V29" s="107"/>
      <c r="W29" s="109">
        <f>IFERROR(ROUNDDOWN(VLOOKUP($A29&amp;W$1,単価23号[],認こ23号単価!$I$1,FALSE)*(加算率b+VLOOKUP($A29&amp;W$1,単価23号[],認こ23号単価!$J$1,FALSE)),-1),0)</f>
        <v>0</v>
      </c>
      <c r="X29" s="110"/>
      <c r="Y29" s="110"/>
      <c r="Z29" s="110"/>
      <c r="AA29" s="109">
        <f>IFERROR(ROUNDDOWN(VLOOKUP($A29&amp;AA$1,単価23号[],認こ23号単価!$I$1,FALSE)*(加算率b+VLOOKUP($A29&amp;AA$1,単価23号[],認こ23号単価!$J$1,FALSE)),-1),0)</f>
        <v>0</v>
      </c>
    </row>
    <row r="30" spans="1:27">
      <c r="A30" s="118" t="e">
        <f t="shared" si="2"/>
        <v>#N/A</v>
      </c>
      <c r="B30" s="98" t="str">
        <f t="shared" si="2"/>
        <v>3歳児配置改善加算単価</v>
      </c>
      <c r="C30" s="101">
        <f t="shared" si="2"/>
        <v>0</v>
      </c>
      <c r="D30" s="107"/>
      <c r="E30" s="110"/>
      <c r="F30" s="110"/>
      <c r="G30" s="110"/>
      <c r="H30" s="107"/>
      <c r="I30" s="110"/>
      <c r="J30" s="110"/>
      <c r="K30" s="110"/>
      <c r="L30" s="110"/>
      <c r="M30" s="110"/>
      <c r="N30" s="110"/>
      <c r="O30" s="110"/>
      <c r="P30" s="109" t="e">
        <f>ROUNDDOWN(VLOOKUP($A30&amp;P$1,単価23号[],認こ23号単価!$K$1,FALSE)*(加算率b+VLOOKUP($A30&amp;P$1,単価23号[],認こ23号単価!$L$1,FALSE)),-1)*$C30</f>
        <v>#N/A</v>
      </c>
      <c r="Q30" s="109" t="e">
        <f>ROUNDDOWN(VLOOKUP($A30&amp;Q$1,単価23号[],認こ23号単価!$K$1,FALSE)*(加算率b+VLOOKUP($A30&amp;Q$1,単価23号[],認こ23号単価!$L$1,FALSE)),-1)*$C30</f>
        <v>#N/A</v>
      </c>
      <c r="R30" s="109" t="e">
        <f>ROUNDDOWN(VLOOKUP($A30&amp;R$1,単価23号[],認こ23号単価!$K$1,FALSE)*(加算率b+VLOOKUP($A30&amp;R$1,単価23号[],認こ23号単価!$L$1,FALSE)),-1)*$C30</f>
        <v>#N/A</v>
      </c>
      <c r="S30" s="109" t="e">
        <f>ROUNDDOWN(VLOOKUP($A30&amp;S$1,単価23号[],認こ23号単価!$K$1,FALSE)*(加算率b+VLOOKUP($A30&amp;S$1,単価23号[],認こ23号単価!$L$1,FALSE)),-1)*$C30</f>
        <v>#N/A</v>
      </c>
      <c r="T30" s="110"/>
      <c r="U30" s="110"/>
      <c r="V30" s="107"/>
      <c r="W30" s="110"/>
      <c r="X30" s="110"/>
      <c r="Y30" s="110"/>
      <c r="Z30" s="110"/>
      <c r="AA30" s="110"/>
    </row>
    <row r="31" spans="1:27">
      <c r="A31" s="118" t="e">
        <f t="shared" si="2"/>
        <v>#N/A</v>
      </c>
      <c r="B31" s="98" t="str">
        <f t="shared" si="2"/>
        <v>4歳以上児配置改善加算単価</v>
      </c>
      <c r="C31" s="101">
        <f t="shared" si="2"/>
        <v>0</v>
      </c>
      <c r="D31" s="107"/>
      <c r="E31" s="110"/>
      <c r="F31" s="110"/>
      <c r="G31" s="110"/>
      <c r="H31" s="107"/>
      <c r="I31" s="110"/>
      <c r="J31" s="110"/>
      <c r="K31" s="110"/>
      <c r="L31" s="110"/>
      <c r="M31" s="110"/>
      <c r="N31" s="110"/>
      <c r="O31" s="110"/>
      <c r="P31" s="110"/>
      <c r="Q31" s="110"/>
      <c r="R31" s="110"/>
      <c r="S31" s="110"/>
      <c r="T31" s="109" t="e">
        <f>ROUNDDOWN(VLOOKUP($A31&amp;T$1,単価23号[],認こ23号単価!$M$1,FALSE)*(加算率b+VLOOKUP($A31&amp;T$1,単価23号[],認こ23号単価!$N$1,FALSE)),-1)*$C31</f>
        <v>#N/A</v>
      </c>
      <c r="U31" s="109" t="e">
        <f>ROUNDDOWN(VLOOKUP($A31&amp;U$1,単価23号[],認こ23号単価!$M$1,FALSE)*(加算率b+VLOOKUP($A31&amp;U$1,単価23号[],認こ23号単価!$N$1,FALSE)),-1)*$C31</f>
        <v>#N/A</v>
      </c>
      <c r="V31" s="109" t="e">
        <f>ROUNDDOWN(VLOOKUP($A31&amp;V$1,単価23号[],認こ23号単価!$M$1,FALSE)*(加算率b+VLOOKUP($A31&amp;V$1,単価23号[],認こ23号単価!$N$1,FALSE)),-1)*$C31</f>
        <v>#N/A</v>
      </c>
      <c r="W31" s="109" t="e">
        <f>ROUNDDOWN(VLOOKUP($A31&amp;W$1,単価23号[],認こ23号単価!$M$1,FALSE)*(加算率b+VLOOKUP($A31&amp;W$1,単価23号[],認こ23号単価!$N$1,FALSE)),-1)*$C31</f>
        <v>#N/A</v>
      </c>
      <c r="X31" s="109" t="e">
        <f>ROUNDDOWN(VLOOKUP($A31&amp;X$1,単価23号[],認こ23号単価!$M$1,FALSE)*(加算率b+VLOOKUP($A31&amp;X$1,単価23号[],認こ23号単価!$N$1,FALSE)),-1)*$C31</f>
        <v>#N/A</v>
      </c>
      <c r="Y31" s="109" t="e">
        <f>ROUNDDOWN(VLOOKUP($A31&amp;Y$1,単価23号[],認こ23号単価!$M$1,FALSE)*(加算率b+VLOOKUP($A31&amp;Y$1,単価23号[],認こ23号単価!$N$1,FALSE)),-1)*$C31</f>
        <v>#N/A</v>
      </c>
      <c r="Z31" s="109" t="e">
        <f>ROUNDDOWN(VLOOKUP($A31&amp;Z$1,単価23号[],認こ23号単価!$M$1,FALSE)*(加算率b+VLOOKUP($A31&amp;Z$1,単価23号[],認こ23号単価!$N$1,FALSE)),-1)*$C31</f>
        <v>#N/A</v>
      </c>
      <c r="AA31" s="109" t="e">
        <f>ROUNDDOWN(VLOOKUP($A31&amp;AA$1,単価23号[],認こ23号単価!$M$1,FALSE)*(加算率b+VLOOKUP($A31&amp;AA$1,単価23号[],認こ23号単価!$N$1,FALSE)),-1)*$C31</f>
        <v>#N/A</v>
      </c>
    </row>
    <row r="32" spans="1:27">
      <c r="A32" s="118" t="e">
        <f t="shared" si="2"/>
        <v>#N/A</v>
      </c>
      <c r="B32" s="98" t="str">
        <f t="shared" si="2"/>
        <v>1歳児配置改善加算単価</v>
      </c>
      <c r="C32" s="101">
        <f t="shared" si="2"/>
        <v>0</v>
      </c>
      <c r="D32" s="107"/>
      <c r="E32" s="110"/>
      <c r="F32" s="110"/>
      <c r="G32" s="110"/>
      <c r="H32" s="109" t="e">
        <f>ROUNDDOWN(VLOOKUP($A32&amp;H$1,単価23号[],認こ23号単価!$O$1,FALSE)*(加算率b+VLOOKUP($A32&amp;H$1,単価23号[],認こ23号単価!$P$1,FALSE)),-1)*$C32</f>
        <v>#N/A</v>
      </c>
      <c r="I32" s="109" t="e">
        <f>ROUNDDOWN(VLOOKUP($A32&amp;I$1,単価23号[],認こ23号単価!$O$1,FALSE)*(加算率b+VLOOKUP($A32&amp;I$1,単価23号[],認こ23号単価!$P$1,FALSE)),-1)*$C32</f>
        <v>#N/A</v>
      </c>
      <c r="J32" s="109" t="e">
        <f>ROUNDDOWN(VLOOKUP($A32&amp;J$1,単価23号[],認こ23号単価!$O$1,FALSE)*(加算率b+VLOOKUP($A32&amp;J$1,単価23号[],認こ23号単価!$P$1,FALSE)),-1)*$C32</f>
        <v>#N/A</v>
      </c>
      <c r="K32" s="109" t="e">
        <f>ROUNDDOWN(VLOOKUP($A32&amp;K$1,単価23号[],認こ23号単価!$O$1,FALSE)*(加算率b+VLOOKUP($A32&amp;K$1,単価23号[],認こ23号単価!$P$1,FALSE)),-1)*$C32</f>
        <v>#N/A</v>
      </c>
      <c r="L32" s="110"/>
      <c r="M32" s="110"/>
      <c r="N32" s="110"/>
      <c r="O32" s="110"/>
      <c r="P32" s="110"/>
      <c r="Q32" s="110"/>
      <c r="R32" s="110"/>
      <c r="S32" s="110"/>
      <c r="T32" s="110"/>
      <c r="U32" s="110"/>
      <c r="V32" s="107"/>
      <c r="W32" s="110"/>
      <c r="X32" s="110"/>
      <c r="Y32" s="110"/>
      <c r="Z32" s="110"/>
      <c r="AA32" s="110"/>
    </row>
    <row r="33" spans="1:27">
      <c r="A33" s="118">
        <f t="shared" si="2"/>
        <v>1</v>
      </c>
      <c r="B33" s="98" t="str">
        <f t="shared" si="2"/>
        <v>休日保育加算単価</v>
      </c>
      <c r="C33" s="101">
        <f t="shared" si="2"/>
        <v>0</v>
      </c>
      <c r="D33" s="109" t="e">
        <f>ROUNDDOWN(VLOOKUP($A33,認こ23号単価!$AA$8:$AC$22,2,FALSE)*(加算率b+VLOOKUP($A33,認こ23号単価!$AA$8:$AC$22,3,FALSE))/'2_区分12加算額計算表'!$D$29,-1)*$C33</f>
        <v>#N/A</v>
      </c>
      <c r="E33" s="109" t="e">
        <f>ROUNDDOWN(VLOOKUP($A33,認こ23号単価!$AA$8:$AC$22,2,FALSE)*(加算率b+VLOOKUP($A33,認こ23号単価!$AA$8:$AC$22,3,FALSE))/'2_区分12加算額計算表'!$D$29,-1)*$C33</f>
        <v>#N/A</v>
      </c>
      <c r="F33" s="109" t="e">
        <f>ROUNDDOWN(VLOOKUP($A33,認こ23号単価!$AA$8:$AC$22,2,FALSE)*(加算率b+VLOOKUP($A33,認こ23号単価!$AA$8:$AC$22,3,FALSE))/'2_区分12加算額計算表'!$D$29,-1)*$C33</f>
        <v>#N/A</v>
      </c>
      <c r="G33" s="109" t="e">
        <f>ROUNDDOWN(VLOOKUP($A33,認こ23号単価!$AA$8:$AC$22,2,FALSE)*(加算率b+VLOOKUP($A33,認こ23号単価!$AA$8:$AC$22,3,FALSE))/'2_区分12加算額計算表'!$D$29,-1)*$C33</f>
        <v>#N/A</v>
      </c>
      <c r="H33" s="109" t="e">
        <f>ROUNDDOWN(VLOOKUP($A33,認こ23号単価!$AA$8:$AC$22,2,FALSE)*(加算率b+VLOOKUP($A33,認こ23号単価!$AA$8:$AC$22,3,FALSE))/'2_区分12加算額計算表'!$D$29,-1)*$C33</f>
        <v>#N/A</v>
      </c>
      <c r="I33" s="109" t="e">
        <f>ROUNDDOWN(VLOOKUP($A33,認こ23号単価!$AA$8:$AC$22,2,FALSE)*(加算率b+VLOOKUP($A33,認こ23号単価!$AA$8:$AC$22,3,FALSE))/'2_区分12加算額計算表'!$D$29,-1)*$C33</f>
        <v>#N/A</v>
      </c>
      <c r="J33" s="109" t="e">
        <f>ROUNDDOWN(VLOOKUP($A33,認こ23号単価!$AA$8:$AC$22,2,FALSE)*(加算率b+VLOOKUP($A33,認こ23号単価!$AA$8:$AC$22,3,FALSE))/'2_区分12加算額計算表'!$D$29,-1)*$C33</f>
        <v>#N/A</v>
      </c>
      <c r="K33" s="109" t="e">
        <f>ROUNDDOWN(VLOOKUP($A33,認こ23号単価!$AA$8:$AC$22,2,FALSE)*(加算率b+VLOOKUP($A33,認こ23号単価!$AA$8:$AC$22,3,FALSE))/'2_区分12加算額計算表'!$D$29,-1)*$C33</f>
        <v>#N/A</v>
      </c>
      <c r="L33" s="109" t="e">
        <f>ROUNDDOWN(VLOOKUP($A33,認こ23号単価!$AA$8:$AC$22,2,FALSE)*(加算率b+VLOOKUP($A33,認こ23号単価!$AA$8:$AC$22,3,FALSE))/'2_区分12加算額計算表'!$D$29,-1)*$C33</f>
        <v>#N/A</v>
      </c>
      <c r="M33" s="109" t="e">
        <f>ROUNDDOWN(VLOOKUP($A33,認こ23号単価!$AA$8:$AC$22,2,FALSE)*(加算率b+VLOOKUP($A33,認こ23号単価!$AA$8:$AC$22,3,FALSE))/'2_区分12加算額計算表'!$D$29,-1)*$C33</f>
        <v>#N/A</v>
      </c>
      <c r="N33" s="109" t="e">
        <f>ROUNDDOWN(VLOOKUP($A33,認こ23号単価!$AA$8:$AC$22,2,FALSE)*(加算率b+VLOOKUP($A33,認こ23号単価!$AA$8:$AC$22,3,FALSE))/'2_区分12加算額計算表'!$D$29,-1)*$C33</f>
        <v>#N/A</v>
      </c>
      <c r="O33" s="109" t="e">
        <f>ROUNDDOWN(VLOOKUP($A33,認こ23号単価!$AA$8:$AC$22,2,FALSE)*(加算率b+VLOOKUP($A33,認こ23号単価!$AA$8:$AC$22,3,FALSE))/'2_区分12加算額計算表'!$D$29,-1)*$C33</f>
        <v>#N/A</v>
      </c>
      <c r="P33" s="109" t="e">
        <f>ROUNDDOWN(VLOOKUP($A33,認こ23号単価!$AA$8:$AC$22,2,FALSE)*(加算率b+VLOOKUP($A33,認こ23号単価!$AA$8:$AC$22,3,FALSE))/'2_区分12加算額計算表'!$D$29,-1)*$C33</f>
        <v>#N/A</v>
      </c>
      <c r="Q33" s="109" t="e">
        <f>ROUNDDOWN(VLOOKUP($A33,認こ23号単価!$AA$8:$AC$22,2,FALSE)*(加算率b+VLOOKUP($A33,認こ23号単価!$AA$8:$AC$22,3,FALSE))/'2_区分12加算額計算表'!$D$29,-1)*$C33</f>
        <v>#N/A</v>
      </c>
      <c r="R33" s="109" t="e">
        <f>ROUNDDOWN(VLOOKUP($A33,認こ23号単価!$AA$8:$AC$22,2,FALSE)*(加算率b+VLOOKUP($A33,認こ23号単価!$AA$8:$AC$22,3,FALSE))/'2_区分12加算額計算表'!$D$29,-1)*$C33</f>
        <v>#N/A</v>
      </c>
      <c r="S33" s="109" t="e">
        <f>ROUNDDOWN(VLOOKUP($A33,認こ23号単価!$AA$8:$AC$22,2,FALSE)*(加算率b+VLOOKUP($A33,認こ23号単価!$AA$8:$AC$22,3,FALSE))/'2_区分12加算額計算表'!$D$29,-1)*$C33</f>
        <v>#N/A</v>
      </c>
      <c r="T33" s="109" t="e">
        <f>ROUNDDOWN(VLOOKUP($A33,認こ23号単価!$AA$8:$AC$22,2,FALSE)*(加算率b+VLOOKUP($A33,認こ23号単価!$AA$8:$AC$22,3,FALSE))/'2_区分12加算額計算表'!$D$29,-1)*$C33</f>
        <v>#N/A</v>
      </c>
      <c r="U33" s="109" t="e">
        <f>ROUNDDOWN(VLOOKUP($A33,認こ23号単価!$AA$8:$AC$22,2,FALSE)*(加算率b+VLOOKUP($A33,認こ23号単価!$AA$8:$AC$22,3,FALSE))/'2_区分12加算額計算表'!$D$29,-1)*$C33</f>
        <v>#N/A</v>
      </c>
      <c r="V33" s="109" t="e">
        <f>ROUNDDOWN(VLOOKUP($A33,認こ23号単価!$AA$8:$AC$22,2,FALSE)*(加算率b+VLOOKUP($A33,認こ23号単価!$AA$8:$AC$22,3,FALSE))/'2_区分12加算額計算表'!$D$29,-1)*$C33</f>
        <v>#N/A</v>
      </c>
      <c r="W33" s="109" t="e">
        <f>ROUNDDOWN(VLOOKUP($A33,認こ23号単価!$AA$8:$AC$22,2,FALSE)*(加算率b+VLOOKUP($A33,認こ23号単価!$AA$8:$AC$22,3,FALSE))/'2_区分12加算額計算表'!$D$29,-1)*$C33</f>
        <v>#N/A</v>
      </c>
      <c r="X33" s="109" t="e">
        <f>ROUNDDOWN(VLOOKUP($A33,認こ23号単価!$AA$8:$AC$22,2,FALSE)*(加算率b+VLOOKUP($A33,認こ23号単価!$AA$8:$AC$22,3,FALSE))/'2_区分12加算額計算表'!$D$29,-1)*$C33</f>
        <v>#N/A</v>
      </c>
      <c r="Y33" s="109" t="e">
        <f>ROUNDDOWN(VLOOKUP($A33,認こ23号単価!$AA$8:$AC$22,2,FALSE)*(加算率b+VLOOKUP($A33,認こ23号単価!$AA$8:$AC$22,3,FALSE))/'2_区分12加算額計算表'!$D$29,-1)*$C33</f>
        <v>#N/A</v>
      </c>
      <c r="Z33" s="109" t="e">
        <f>ROUNDDOWN(VLOOKUP($A33,認こ23号単価!$AA$8:$AC$22,2,FALSE)*(加算率b+VLOOKUP($A33,認こ23号単価!$AA$8:$AC$22,3,FALSE))/'2_区分12加算額計算表'!$D$29,-1)*$C33</f>
        <v>#N/A</v>
      </c>
      <c r="AA33" s="109" t="e">
        <f>ROUNDDOWN(VLOOKUP($A33,認こ23号単価!$AA$8:$AC$22,2,FALSE)*(加算率b+VLOOKUP($A33,認こ23号単価!$AA$8:$AC$22,3,FALSE))/'2_区分12加算額計算表'!$D$29,-1)*$C33</f>
        <v>#N/A</v>
      </c>
    </row>
    <row r="34" spans="1:27">
      <c r="A34" s="118" t="e">
        <f t="shared" si="2"/>
        <v>#N/A</v>
      </c>
      <c r="B34" s="98" t="str">
        <f t="shared" si="2"/>
        <v>夜間保育加算単価</v>
      </c>
      <c r="C34" s="101">
        <f t="shared" si="2"/>
        <v>0</v>
      </c>
      <c r="D34" s="109" t="e">
        <f>ROUNDDOWN(VLOOKUP($A34&amp;D$1,単価23号[],認こ23号単価!$Q$1,FALSE)*(加算率b+VLOOKUP($A34&amp;D$1,単価23号[],認こ23号単価!$R$1,FALSE)),-1)*$C34</f>
        <v>#N/A</v>
      </c>
      <c r="E34" s="109" t="e">
        <f>ROUNDDOWN(VLOOKUP($A34&amp;E$1,単価23号[],認こ23号単価!$Q$1,FALSE)*(加算率b+VLOOKUP($A34&amp;E$1,単価23号[],認こ23号単価!$R$1,FALSE)),-1)*$C34</f>
        <v>#N/A</v>
      </c>
      <c r="F34" s="109" t="e">
        <f>ROUNDDOWN(VLOOKUP($A34&amp;F$1,単価23号[],認こ23号単価!$Q$1,FALSE)*(加算率b+VLOOKUP($A34&amp;F$1,単価23号[],認こ23号単価!$R$1,FALSE)),-1)*$C34</f>
        <v>#N/A</v>
      </c>
      <c r="G34" s="109" t="e">
        <f>ROUNDDOWN(VLOOKUP($A34&amp;G$1,単価23号[],認こ23号単価!$Q$1,FALSE)*(加算率b+VLOOKUP($A34&amp;G$1,単価23号[],認こ23号単価!$R$1,FALSE)),-1)*$C34</f>
        <v>#N/A</v>
      </c>
      <c r="H34" s="109" t="e">
        <f>ROUNDDOWN(VLOOKUP($A34&amp;H$1,単価23号[],認こ23号単価!$Q$1,FALSE)*(加算率b+VLOOKUP($A34&amp;H$1,単価23号[],認こ23号単価!$R$1,FALSE)),-1)*$C34</f>
        <v>#N/A</v>
      </c>
      <c r="I34" s="109" t="e">
        <f>ROUNDDOWN(VLOOKUP($A34&amp;I$1,単価23号[],認こ23号単価!$Q$1,FALSE)*(加算率b+VLOOKUP($A34&amp;I$1,単価23号[],認こ23号単価!$R$1,FALSE)),-1)*$C34</f>
        <v>#N/A</v>
      </c>
      <c r="J34" s="109" t="e">
        <f>ROUNDDOWN(VLOOKUP($A34&amp;J$1,単価23号[],認こ23号単価!$Q$1,FALSE)*(加算率b+VLOOKUP($A34&amp;J$1,単価23号[],認こ23号単価!$R$1,FALSE)),-1)*$C34</f>
        <v>#N/A</v>
      </c>
      <c r="K34" s="109" t="e">
        <f>ROUNDDOWN(VLOOKUP($A34&amp;K$1,単価23号[],認こ23号単価!$Q$1,FALSE)*(加算率b+VLOOKUP($A34&amp;K$1,単価23号[],認こ23号単価!$R$1,FALSE)),-1)*$C34</f>
        <v>#N/A</v>
      </c>
      <c r="L34" s="109" t="e">
        <f>ROUNDDOWN(VLOOKUP($A34&amp;L$1,単価23号[],認こ23号単価!$Q$1,FALSE)*(加算率b+VLOOKUP($A34&amp;L$1,単価23号[],認こ23号単価!$R$1,FALSE)),-1)*$C34</f>
        <v>#N/A</v>
      </c>
      <c r="M34" s="109" t="e">
        <f>ROUNDDOWN(VLOOKUP($A34&amp;M$1,単価23号[],認こ23号単価!$Q$1,FALSE)*(加算率b+VLOOKUP($A34&amp;M$1,単価23号[],認こ23号単価!$R$1,FALSE)),-1)*$C34</f>
        <v>#N/A</v>
      </c>
      <c r="N34" s="109" t="e">
        <f>ROUNDDOWN(VLOOKUP($A34&amp;N$1,単価23号[],認こ23号単価!$Q$1,FALSE)*(加算率b+VLOOKUP($A34&amp;N$1,単価23号[],認こ23号単価!$R$1,FALSE)),-1)*$C34</f>
        <v>#N/A</v>
      </c>
      <c r="O34" s="109" t="e">
        <f>ROUNDDOWN(VLOOKUP($A34&amp;O$1,単価23号[],認こ23号単価!$Q$1,FALSE)*(加算率b+VLOOKUP($A34&amp;O$1,単価23号[],認こ23号単価!$R$1,FALSE)),-1)*$C34</f>
        <v>#N/A</v>
      </c>
      <c r="P34" s="109" t="e">
        <f>ROUNDDOWN(VLOOKUP($A34&amp;P$1,単価23号[],認こ23号単価!$Q$1,FALSE)*(加算率b+VLOOKUP($A34&amp;P$1,単価23号[],認こ23号単価!$R$1,FALSE)),-1)*$C34</f>
        <v>#N/A</v>
      </c>
      <c r="Q34" s="109" t="e">
        <f>ROUNDDOWN(VLOOKUP($A34&amp;Q$1,単価23号[],認こ23号単価!$Q$1,FALSE)*(加算率b+VLOOKUP($A34&amp;Q$1,単価23号[],認こ23号単価!$R$1,FALSE)),-1)*$C34</f>
        <v>#N/A</v>
      </c>
      <c r="R34" s="109" t="e">
        <f>ROUNDDOWN(VLOOKUP($A34&amp;R$1,単価23号[],認こ23号単価!$Q$1,FALSE)*(加算率b+VLOOKUP($A34&amp;R$1,単価23号[],認こ23号単価!$R$1,FALSE)),-1)*$C34</f>
        <v>#N/A</v>
      </c>
      <c r="S34" s="109" t="e">
        <f>ROUNDDOWN(VLOOKUP($A34&amp;S$1,単価23号[],認こ23号単価!$Q$1,FALSE)*(加算率b+VLOOKUP($A34&amp;S$1,単価23号[],認こ23号単価!$R$1,FALSE)),-1)*$C34</f>
        <v>#N/A</v>
      </c>
      <c r="T34" s="109" t="e">
        <f>ROUNDDOWN(VLOOKUP($A34&amp;T$1,単価23号[],認こ23号単価!$Q$1,FALSE)*(加算率b+VLOOKUP($A34&amp;T$1,単価23号[],認こ23号単価!$R$1,FALSE)),-1)*$C34</f>
        <v>#N/A</v>
      </c>
      <c r="U34" s="109" t="e">
        <f>ROUNDDOWN(VLOOKUP($A34&amp;U$1,単価23号[],認こ23号単価!$Q$1,FALSE)*(加算率b+VLOOKUP($A34&amp;U$1,単価23号[],認こ23号単価!$R$1,FALSE)),-1)*$C34</f>
        <v>#N/A</v>
      </c>
      <c r="V34" s="109" t="e">
        <f>ROUNDDOWN(VLOOKUP($A34&amp;V$1,単価23号[],認こ23号単価!$Q$1,FALSE)*(加算率b+VLOOKUP($A34&amp;V$1,単価23号[],認こ23号単価!$R$1,FALSE)),-1)*$C34</f>
        <v>#N/A</v>
      </c>
      <c r="W34" s="109" t="e">
        <f>ROUNDDOWN(VLOOKUP($A34&amp;W$1,単価23号[],認こ23号単価!$Q$1,FALSE)*(加算率b+VLOOKUP($A34&amp;W$1,単価23号[],認こ23号単価!$R$1,FALSE)),-1)*$C34</f>
        <v>#N/A</v>
      </c>
      <c r="X34" s="109" t="e">
        <f>ROUNDDOWN(VLOOKUP($A34&amp;X$1,単価23号[],認こ23号単価!$Q$1,FALSE)*(加算率b+VLOOKUP($A34&amp;X$1,単価23号[],認こ23号単価!$R$1,FALSE)),-1)*$C34</f>
        <v>#N/A</v>
      </c>
      <c r="Y34" s="109" t="e">
        <f>ROUNDDOWN(VLOOKUP($A34&amp;Y$1,単価23号[],認こ23号単価!$Q$1,FALSE)*(加算率b+VLOOKUP($A34&amp;Y$1,単価23号[],認こ23号単価!$R$1,FALSE)),-1)*$C34</f>
        <v>#N/A</v>
      </c>
      <c r="Z34" s="109" t="e">
        <f>ROUNDDOWN(VLOOKUP($A34&amp;Z$1,単価23号[],認こ23号単価!$Q$1,FALSE)*(加算率b+VLOOKUP($A34&amp;Z$1,単価23号[],認こ23号単価!$R$1,FALSE)),-1)*$C34</f>
        <v>#N/A</v>
      </c>
      <c r="AA34" s="109" t="e">
        <f>ROUNDDOWN(VLOOKUP($A34&amp;AA$1,単価23号[],認こ23号単価!$Q$1,FALSE)*(加算率b+VLOOKUP($A34&amp;AA$1,単価23号[],認こ23号単価!$R$1,FALSE)),-1)*$C34</f>
        <v>#N/A</v>
      </c>
    </row>
    <row r="35" spans="1:27">
      <c r="A35" s="118" t="e">
        <f t="shared" si="2"/>
        <v>#N/A</v>
      </c>
      <c r="B35" s="98" t="str">
        <f t="shared" si="2"/>
        <v>チーム保育加配加算単価</v>
      </c>
      <c r="C35" s="101">
        <f t="shared" si="2"/>
        <v>0</v>
      </c>
      <c r="D35" s="107"/>
      <c r="E35" s="110"/>
      <c r="F35" s="110"/>
      <c r="G35" s="110"/>
      <c r="H35" s="107"/>
      <c r="I35" s="110"/>
      <c r="J35" s="110"/>
      <c r="K35" s="110"/>
      <c r="L35" s="110"/>
      <c r="M35" s="110"/>
      <c r="N35" s="110"/>
      <c r="O35" s="110"/>
      <c r="P35" s="109" t="e">
        <f>ROUNDDOWN(VLOOKUP($A35,チーム保育加配[],認こ23号単価!$AG$1,FALSE)*(加算率b+VLOOKUP($A35,チーム保育加配[],認こ23号単価!$AH$1,FALSE)),-1)*$C35</f>
        <v>#N/A</v>
      </c>
      <c r="Q35" s="109" t="e">
        <f>ROUNDDOWN(VLOOKUP($A35,チーム保育加配[],認こ23号単価!$AG$1,FALSE)*(加算率b+VLOOKUP($A35,チーム保育加配[],認こ23号単価!$AH$1,FALSE)),-1)*$C35</f>
        <v>#N/A</v>
      </c>
      <c r="R35" s="109" t="e">
        <f>ROUNDDOWN(VLOOKUP($A35,チーム保育加配[],認こ23号単価!$AG$1,FALSE)*(加算率b+VLOOKUP($A35,チーム保育加配[],認こ23号単価!$AH$1,FALSE)),-1)*$C35</f>
        <v>#N/A</v>
      </c>
      <c r="S35" s="109" t="e">
        <f>ROUNDDOWN(VLOOKUP($A35,チーム保育加配[],認こ23号単価!$AG$1,FALSE)*(加算率b+VLOOKUP($A35,チーム保育加配[],認こ23号単価!$AH$1,FALSE)),-1)*$C35</f>
        <v>#N/A</v>
      </c>
      <c r="T35" s="109" t="e">
        <f>ROUNDDOWN(VLOOKUP($A35,チーム保育加配[],認こ23号単価!$AG$1,FALSE)*(加算率b+VLOOKUP($A35,チーム保育加配[],認こ23号単価!$AH$1,FALSE)),-1)*$C35</f>
        <v>#N/A</v>
      </c>
      <c r="U35" s="109" t="e">
        <f>ROUNDDOWN(VLOOKUP($A35,チーム保育加配[],認こ23号単価!$AG$1,FALSE)*(加算率b+VLOOKUP($A35,チーム保育加配[],認こ23号単価!$AH$1,FALSE)),-1)*$C35</f>
        <v>#N/A</v>
      </c>
      <c r="V35" s="109" t="e">
        <f>ROUNDDOWN(VLOOKUP($A35,チーム保育加配[],認こ23号単価!$AG$1,FALSE)*(加算率b+VLOOKUP($A35,チーム保育加配[],認こ23号単価!$AH$1,FALSE)),-1)*$C35</f>
        <v>#N/A</v>
      </c>
      <c r="W35" s="109" t="e">
        <f>ROUNDDOWN(VLOOKUP($A35,チーム保育加配[],認こ23号単価!$AG$1,FALSE)*(加算率b+VLOOKUP($A35,チーム保育加配[],認こ23号単価!$AH$1,FALSE)),-1)*$C35</f>
        <v>#N/A</v>
      </c>
      <c r="X35" s="109" t="e">
        <f>ROUNDDOWN(VLOOKUP($A35,チーム保育加配[],認こ23号単価!$AG$1,FALSE)*(加算率b+VLOOKUP($A35,チーム保育加配[],認こ23号単価!$AH$1,FALSE)),-1)*$C35</f>
        <v>#N/A</v>
      </c>
      <c r="Y35" s="109" t="e">
        <f>ROUNDDOWN(VLOOKUP($A35,チーム保育加配[],認こ23号単価!$AG$1,FALSE)*(加算率b+VLOOKUP($A35,チーム保育加配[],認こ23号単価!$AH$1,FALSE)),-1)*$C35</f>
        <v>#N/A</v>
      </c>
      <c r="Z35" s="109" t="e">
        <f>ROUNDDOWN(VLOOKUP($A35,チーム保育加配[],認こ23号単価!$AG$1,FALSE)*(加算率b+VLOOKUP($A35,チーム保育加配[],認こ23号単価!$AH$1,FALSE)),-1)*$C35</f>
        <v>#N/A</v>
      </c>
      <c r="AA35" s="109" t="e">
        <f>ROUNDDOWN(VLOOKUP($A35,チーム保育加配[],認こ23号単価!$AG$1,FALSE)*(加算率b+VLOOKUP($A35,チーム保育加配[],認こ23号単価!$AH$1,FALSE)),-1)*$C35</f>
        <v>#N/A</v>
      </c>
    </row>
    <row r="36" spans="1:27">
      <c r="A36" s="118">
        <f t="shared" si="2"/>
        <v>0</v>
      </c>
      <c r="B36" s="98" t="str">
        <f t="shared" si="2"/>
        <v>分園の調整</v>
      </c>
      <c r="C36" s="101">
        <f t="shared" si="2"/>
        <v>0</v>
      </c>
      <c r="D36" s="107"/>
      <c r="E36" s="110"/>
      <c r="F36" s="109">
        <f>ROUNDDOWN(SUM(F28:F29)/10,-1)*-1</f>
        <v>0</v>
      </c>
      <c r="G36" s="109">
        <f>ROUNDDOWN(SUM(G28:G29)/10,-1)*-1</f>
        <v>0</v>
      </c>
      <c r="H36" s="107"/>
      <c r="I36" s="110"/>
      <c r="J36" s="109">
        <f>ROUNDDOWN(SUM(J28:J29)/10,-1)*-1</f>
        <v>0</v>
      </c>
      <c r="K36" s="109">
        <f>ROUNDDOWN(SUM(K28:K29)/10,-1)*-1</f>
        <v>0</v>
      </c>
      <c r="L36" s="110"/>
      <c r="M36" s="110"/>
      <c r="N36" s="109">
        <f>ROUNDDOWN(SUM(N28:N29)/10,-1)*-1</f>
        <v>0</v>
      </c>
      <c r="O36" s="109">
        <f>ROUNDDOWN(SUM(O28:O29)/10,-1)*-1</f>
        <v>0</v>
      </c>
      <c r="P36" s="110"/>
      <c r="Q36" s="110"/>
      <c r="R36" s="109">
        <f>ROUNDDOWN(SUM(R28:R29)/10,-1)*-1</f>
        <v>0</v>
      </c>
      <c r="S36" s="109">
        <f>ROUNDDOWN(SUM(S28:S29)/10,-1)*-1</f>
        <v>0</v>
      </c>
      <c r="T36" s="110"/>
      <c r="U36" s="110"/>
      <c r="V36" s="113">
        <f>ROUNDDOWN(SUM(V28:V29)/10,-1)*-1</f>
        <v>0</v>
      </c>
      <c r="W36" s="109">
        <f>ROUNDDOWN(SUM(W28:W29)/10,-1)*-1</f>
        <v>0</v>
      </c>
      <c r="X36" s="110"/>
      <c r="Y36" s="110"/>
      <c r="Z36" s="109">
        <f>ROUNDDOWN(SUM(Z28:Z29)/10,-1)*-1</f>
        <v>0</v>
      </c>
      <c r="AA36" s="109">
        <f>ROUNDDOWN(SUM(AA28:AA29)/10,-1)*-1</f>
        <v>0</v>
      </c>
    </row>
    <row r="37" spans="1:27">
      <c r="A37" s="118" t="e">
        <f t="shared" si="2"/>
        <v>#N/A</v>
      </c>
      <c r="B37" s="98" t="str">
        <f t="shared" si="2"/>
        <v>主幹教諭等専任化なしの調整</v>
      </c>
      <c r="C37" s="101">
        <f t="shared" si="2"/>
        <v>0</v>
      </c>
      <c r="D37" s="109" t="e">
        <f>IF(VLOOKUP($A37&amp;D$1,単価23号[],認こ23号単価!$W$1,FALSE)*(加算率b+VLOOKUP($A37&amp;D$1,単価23号[],認こ23号単価!$X$1,FALSE))&gt;=10,
ROUNDDOWN(VLOOKUP($A37&amp;D$1,単価23号[],認こ23号単価!$W$1,FALSE)*(加算率b+VLOOKUP($A37&amp;D$1,単価23号[],認こ23号単価!$X$1,FALSE)),-1),
ROUNDDOWN(VLOOKUP($A37&amp;D$1,単価23号[],認こ23号単価!$W$1,FALSE)*(加算率b+VLOOKUP($A37&amp;D$1,単価23号[],認こ23号単価!$X$1,FALSE)),0))*-1*$C37</f>
        <v>#N/A</v>
      </c>
      <c r="E37" s="109" t="e">
        <f>IF(VLOOKUP($A37&amp;E$1,単価23号[],認こ23号単価!$W$1,FALSE)*(加算率b+VLOOKUP($A37&amp;E$1,単価23号[],認こ23号単価!$X$1,FALSE))&gt;=10,
ROUNDDOWN(VLOOKUP($A37&amp;E$1,単価23号[],認こ23号単価!$W$1,FALSE)*(加算率b+VLOOKUP($A37&amp;E$1,単価23号[],認こ23号単価!$X$1,FALSE)),-1),
ROUNDDOWN(VLOOKUP($A37&amp;E$1,単価23号[],認こ23号単価!$W$1,FALSE)*(加算率b+VLOOKUP($A37&amp;E$1,単価23号[],認こ23号単価!$X$1,FALSE)),0))*-1*$C37</f>
        <v>#N/A</v>
      </c>
      <c r="F37" s="109" t="e">
        <f>IF(VLOOKUP($A37&amp;F$1,単価23号[],認こ23号単価!$W$1,FALSE)*(加算率b+VLOOKUP($A37&amp;F$1,単価23号[],認こ23号単価!$X$1,FALSE))&gt;=10,
ROUNDDOWN(VLOOKUP($A37&amp;F$1,単価23号[],認こ23号単価!$W$1,FALSE)*(加算率b+VLOOKUP($A37&amp;F$1,単価23号[],認こ23号単価!$X$1,FALSE)),-1),
ROUNDDOWN(VLOOKUP($A37&amp;F$1,単価23号[],認こ23号単価!$W$1,FALSE)*(加算率b+VLOOKUP($A37&amp;F$1,単価23号[],認こ23号単価!$X$1,FALSE)),0))*-1*$C37</f>
        <v>#N/A</v>
      </c>
      <c r="G37" s="109" t="e">
        <f>IF(VLOOKUP($A37&amp;G$1,単価23号[],認こ23号単価!$W$1,FALSE)*(加算率b+VLOOKUP($A37&amp;G$1,単価23号[],認こ23号単価!$X$1,FALSE))&gt;=10,
ROUNDDOWN(VLOOKUP($A37&amp;G$1,単価23号[],認こ23号単価!$W$1,FALSE)*(加算率b+VLOOKUP($A37&amp;G$1,単価23号[],認こ23号単価!$X$1,FALSE)),-1),
ROUNDDOWN(VLOOKUP($A37&amp;G$1,単価23号[],認こ23号単価!$W$1,FALSE)*(加算率b+VLOOKUP($A37&amp;G$1,単価23号[],認こ23号単価!$X$1,FALSE)),0))*-1*$C37</f>
        <v>#N/A</v>
      </c>
      <c r="H37" s="109" t="e">
        <f>IF(VLOOKUP($A37&amp;H$1,単価23号[],認こ23号単価!$W$1,FALSE)*(加算率b+VLOOKUP($A37&amp;H$1,単価23号[],認こ23号単価!$X$1,FALSE))&gt;=10,
ROUNDDOWN(VLOOKUP($A37&amp;H$1,単価23号[],認こ23号単価!$W$1,FALSE)*(加算率b+VLOOKUP($A37&amp;H$1,単価23号[],認こ23号単価!$X$1,FALSE)),-1),
ROUNDDOWN(VLOOKUP($A37&amp;H$1,単価23号[],認こ23号単価!$W$1,FALSE)*(加算率b+VLOOKUP($A37&amp;H$1,単価23号[],認こ23号単価!$X$1,FALSE)),0))*-1*$C37</f>
        <v>#N/A</v>
      </c>
      <c r="I37" s="109" t="e">
        <f>IF(VLOOKUP($A37&amp;I$1,単価23号[],認こ23号単価!$W$1,FALSE)*(加算率b+VLOOKUP($A37&amp;I$1,単価23号[],認こ23号単価!$X$1,FALSE))&gt;=10,
ROUNDDOWN(VLOOKUP($A37&amp;I$1,単価23号[],認こ23号単価!$W$1,FALSE)*(加算率b+VLOOKUP($A37&amp;I$1,単価23号[],認こ23号単価!$X$1,FALSE)),-1),
ROUNDDOWN(VLOOKUP($A37&amp;I$1,単価23号[],認こ23号単価!$W$1,FALSE)*(加算率b+VLOOKUP($A37&amp;I$1,単価23号[],認こ23号単価!$X$1,FALSE)),0))*-1*$C37</f>
        <v>#N/A</v>
      </c>
      <c r="J37" s="109" t="e">
        <f>IF(VLOOKUP($A37&amp;J$1,単価23号[],認こ23号単価!$W$1,FALSE)*(加算率b+VLOOKUP($A37&amp;J$1,単価23号[],認こ23号単価!$X$1,FALSE))&gt;=10,
ROUNDDOWN(VLOOKUP($A37&amp;J$1,単価23号[],認こ23号単価!$W$1,FALSE)*(加算率b+VLOOKUP($A37&amp;J$1,単価23号[],認こ23号単価!$X$1,FALSE)),-1),
ROUNDDOWN(VLOOKUP($A37&amp;J$1,単価23号[],認こ23号単価!$W$1,FALSE)*(加算率b+VLOOKUP($A37&amp;J$1,単価23号[],認こ23号単価!$X$1,FALSE)),0))*-1*$C37</f>
        <v>#N/A</v>
      </c>
      <c r="K37" s="109" t="e">
        <f>IF(VLOOKUP($A37&amp;K$1,単価23号[],認こ23号単価!$W$1,FALSE)*(加算率b+VLOOKUP($A37&amp;K$1,単価23号[],認こ23号単価!$X$1,FALSE))&gt;=10,
ROUNDDOWN(VLOOKUP($A37&amp;K$1,単価23号[],認こ23号単価!$W$1,FALSE)*(加算率b+VLOOKUP($A37&amp;K$1,単価23号[],認こ23号単価!$X$1,FALSE)),-1),
ROUNDDOWN(VLOOKUP($A37&amp;K$1,単価23号[],認こ23号単価!$W$1,FALSE)*(加算率b+VLOOKUP($A37&amp;K$1,単価23号[],認こ23号単価!$X$1,FALSE)),0))*-1*$C37</f>
        <v>#N/A</v>
      </c>
      <c r="L37" s="109" t="e">
        <f>IF(VLOOKUP($A37&amp;L$1,単価23号[],認こ23号単価!$W$1,FALSE)*(加算率b+VLOOKUP($A37&amp;L$1,単価23号[],認こ23号単価!$X$1,FALSE))&gt;=10,
ROUNDDOWN(VLOOKUP($A37&amp;L$1,単価23号[],認こ23号単価!$W$1,FALSE)*(加算率b+VLOOKUP($A37&amp;L$1,単価23号[],認こ23号単価!$X$1,FALSE)),-1),
ROUNDDOWN(VLOOKUP($A37&amp;L$1,単価23号[],認こ23号単価!$W$1,FALSE)*(加算率b+VLOOKUP($A37&amp;L$1,単価23号[],認こ23号単価!$X$1,FALSE)),0))*-1*$C37</f>
        <v>#N/A</v>
      </c>
      <c r="M37" s="109" t="e">
        <f>IF(VLOOKUP($A37&amp;M$1,単価23号[],認こ23号単価!$W$1,FALSE)*(加算率b+VLOOKUP($A37&amp;M$1,単価23号[],認こ23号単価!$X$1,FALSE))&gt;=10,
ROUNDDOWN(VLOOKUP($A37&amp;M$1,単価23号[],認こ23号単価!$W$1,FALSE)*(加算率b+VLOOKUP($A37&amp;M$1,単価23号[],認こ23号単価!$X$1,FALSE)),-1),
ROUNDDOWN(VLOOKUP($A37&amp;M$1,単価23号[],認こ23号単価!$W$1,FALSE)*(加算率b+VLOOKUP($A37&amp;M$1,単価23号[],認こ23号単価!$X$1,FALSE)),0))*-1*$C37</f>
        <v>#N/A</v>
      </c>
      <c r="N37" s="109" t="e">
        <f>IF(VLOOKUP($A37&amp;N$1,単価23号[],認こ23号単価!$W$1,FALSE)*(加算率b+VLOOKUP($A37&amp;N$1,単価23号[],認こ23号単価!$X$1,FALSE))&gt;=10,
ROUNDDOWN(VLOOKUP($A37&amp;N$1,単価23号[],認こ23号単価!$W$1,FALSE)*(加算率b+VLOOKUP($A37&amp;N$1,単価23号[],認こ23号単価!$X$1,FALSE)),-1),
ROUNDDOWN(VLOOKUP($A37&amp;N$1,単価23号[],認こ23号単価!$W$1,FALSE)*(加算率b+VLOOKUP($A37&amp;N$1,単価23号[],認こ23号単価!$X$1,FALSE)),0))*-1*$C37</f>
        <v>#N/A</v>
      </c>
      <c r="O37" s="109" t="e">
        <f>IF(VLOOKUP($A37&amp;O$1,単価23号[],認こ23号単価!$W$1,FALSE)*(加算率b+VLOOKUP($A37&amp;O$1,単価23号[],認こ23号単価!$X$1,FALSE))&gt;=10,
ROUNDDOWN(VLOOKUP($A37&amp;O$1,単価23号[],認こ23号単価!$W$1,FALSE)*(加算率b+VLOOKUP($A37&amp;O$1,単価23号[],認こ23号単価!$X$1,FALSE)),-1),
ROUNDDOWN(VLOOKUP($A37&amp;O$1,単価23号[],認こ23号単価!$W$1,FALSE)*(加算率b+VLOOKUP($A37&amp;O$1,単価23号[],認こ23号単価!$X$1,FALSE)),0))*-1*$C37</f>
        <v>#N/A</v>
      </c>
      <c r="P37" s="109" t="e">
        <f>IF(VLOOKUP($A37&amp;P$1,単価23号[],認こ23号単価!$W$1,FALSE)*(加算率b+VLOOKUP($A37&amp;P$1,単価23号[],認こ23号単価!$X$1,FALSE))&gt;=10,
ROUNDDOWN(VLOOKUP($A37&amp;P$1,単価23号[],認こ23号単価!$W$1,FALSE)*(加算率b+VLOOKUP($A37&amp;P$1,単価23号[],認こ23号単価!$X$1,FALSE)),-1),
ROUNDDOWN(VLOOKUP($A37&amp;P$1,単価23号[],認こ23号単価!$W$1,FALSE)*(加算率b+VLOOKUP($A37&amp;P$1,単価23号[],認こ23号単価!$X$1,FALSE)),0))*-1*$C37</f>
        <v>#N/A</v>
      </c>
      <c r="Q37" s="109" t="e">
        <f>IF(VLOOKUP($A37&amp;Q$1,単価23号[],認こ23号単価!$W$1,FALSE)*(加算率b+VLOOKUP($A37&amp;Q$1,単価23号[],認こ23号単価!$X$1,FALSE))&gt;=10,
ROUNDDOWN(VLOOKUP($A37&amp;Q$1,単価23号[],認こ23号単価!$W$1,FALSE)*(加算率b+VLOOKUP($A37&amp;Q$1,単価23号[],認こ23号単価!$X$1,FALSE)),-1),
ROUNDDOWN(VLOOKUP($A37&amp;Q$1,単価23号[],認こ23号単価!$W$1,FALSE)*(加算率b+VLOOKUP($A37&amp;Q$1,単価23号[],認こ23号単価!$X$1,FALSE)),0))*-1*$C37</f>
        <v>#N/A</v>
      </c>
      <c r="R37" s="109" t="e">
        <f>IF(VLOOKUP($A37&amp;R$1,単価23号[],認こ23号単価!$W$1,FALSE)*(加算率b+VLOOKUP($A37&amp;R$1,単価23号[],認こ23号単価!$X$1,FALSE))&gt;=10,
ROUNDDOWN(VLOOKUP($A37&amp;R$1,単価23号[],認こ23号単価!$W$1,FALSE)*(加算率b+VLOOKUP($A37&amp;R$1,単価23号[],認こ23号単価!$X$1,FALSE)),-1),
ROUNDDOWN(VLOOKUP($A37&amp;R$1,単価23号[],認こ23号単価!$W$1,FALSE)*(加算率b+VLOOKUP($A37&amp;R$1,単価23号[],認こ23号単価!$X$1,FALSE)),0))*-1*$C37</f>
        <v>#N/A</v>
      </c>
      <c r="S37" s="109" t="e">
        <f>IF(VLOOKUP($A37&amp;S$1,単価23号[],認こ23号単価!$W$1,FALSE)*(加算率b+VLOOKUP($A37&amp;S$1,単価23号[],認こ23号単価!$X$1,FALSE))&gt;=10,
ROUNDDOWN(VLOOKUP($A37&amp;S$1,単価23号[],認こ23号単価!$W$1,FALSE)*(加算率b+VLOOKUP($A37&amp;S$1,単価23号[],認こ23号単価!$X$1,FALSE)),-1),
ROUNDDOWN(VLOOKUP($A37&amp;S$1,単価23号[],認こ23号単価!$W$1,FALSE)*(加算率b+VLOOKUP($A37&amp;S$1,単価23号[],認こ23号単価!$X$1,FALSE)),0))*-1*$C37</f>
        <v>#N/A</v>
      </c>
      <c r="T37" s="109" t="e">
        <f>IF(VLOOKUP($A37&amp;T$1,単価23号[],認こ23号単価!$W$1,FALSE)*(加算率b+VLOOKUP($A37&amp;T$1,単価23号[],認こ23号単価!$X$1,FALSE))&gt;=10,
ROUNDDOWN(VLOOKUP($A37&amp;T$1,単価23号[],認こ23号単価!$W$1,FALSE)*(加算率b+VLOOKUP($A37&amp;T$1,単価23号[],認こ23号単価!$X$1,FALSE)),-1),
ROUNDDOWN(VLOOKUP($A37&amp;T$1,単価23号[],認こ23号単価!$W$1,FALSE)*(加算率b+VLOOKUP($A37&amp;T$1,単価23号[],認こ23号単価!$X$1,FALSE)),0))*-1*$C37</f>
        <v>#N/A</v>
      </c>
      <c r="U37" s="109" t="e">
        <f>IF(VLOOKUP($A37&amp;U$1,単価23号[],認こ23号単価!$W$1,FALSE)*(加算率b+VLOOKUP($A37&amp;U$1,単価23号[],認こ23号単価!$X$1,FALSE))&gt;=10,
ROUNDDOWN(VLOOKUP($A37&amp;U$1,単価23号[],認こ23号単価!$W$1,FALSE)*(加算率b+VLOOKUP($A37&amp;U$1,単価23号[],認こ23号単価!$X$1,FALSE)),-1),
ROUNDDOWN(VLOOKUP($A37&amp;U$1,単価23号[],認こ23号単価!$W$1,FALSE)*(加算率b+VLOOKUP($A37&amp;U$1,単価23号[],認こ23号単価!$X$1,FALSE)),0))*-1*$C37</f>
        <v>#N/A</v>
      </c>
      <c r="V37" s="109" t="e">
        <f>IF(VLOOKUP($A37&amp;V$1,単価23号[],認こ23号単価!$W$1,FALSE)*(加算率b+VLOOKUP($A37&amp;V$1,単価23号[],認こ23号単価!$X$1,FALSE))&gt;=10,
ROUNDDOWN(VLOOKUP($A37&amp;V$1,単価23号[],認こ23号単価!$W$1,FALSE)*(加算率b+VLOOKUP($A37&amp;V$1,単価23号[],認こ23号単価!$X$1,FALSE)),-1),
ROUNDDOWN(VLOOKUP($A37&amp;V$1,単価23号[],認こ23号単価!$W$1,FALSE)*(加算率b+VLOOKUP($A37&amp;V$1,単価23号[],認こ23号単価!$X$1,FALSE)),0))*-1*$C37</f>
        <v>#N/A</v>
      </c>
      <c r="W37" s="109" t="e">
        <f>IF(VLOOKUP($A37&amp;W$1,単価23号[],認こ23号単価!$W$1,FALSE)*(加算率b+VLOOKUP($A37&amp;W$1,単価23号[],認こ23号単価!$X$1,FALSE))&gt;=10,
ROUNDDOWN(VLOOKUP($A37&amp;W$1,単価23号[],認こ23号単価!$W$1,FALSE)*(加算率b+VLOOKUP($A37&amp;W$1,単価23号[],認こ23号単価!$X$1,FALSE)),-1),
ROUNDDOWN(VLOOKUP($A37&amp;W$1,単価23号[],認こ23号単価!$W$1,FALSE)*(加算率b+VLOOKUP($A37&amp;W$1,単価23号[],認こ23号単価!$X$1,FALSE)),0))*-1*$C37</f>
        <v>#N/A</v>
      </c>
      <c r="X37" s="109" t="e">
        <f>IF(VLOOKUP($A37&amp;X$1,単価23号[],認こ23号単価!$W$1,FALSE)*(加算率b+VLOOKUP($A37&amp;X$1,単価23号[],認こ23号単価!$X$1,FALSE))&gt;=10,
ROUNDDOWN(VLOOKUP($A37&amp;X$1,単価23号[],認こ23号単価!$W$1,FALSE)*(加算率b+VLOOKUP($A37&amp;X$1,単価23号[],認こ23号単価!$X$1,FALSE)),-1),
ROUNDDOWN(VLOOKUP($A37&amp;X$1,単価23号[],認こ23号単価!$W$1,FALSE)*(加算率b+VLOOKUP($A37&amp;X$1,単価23号[],認こ23号単価!$X$1,FALSE)),0))*-1*$C37</f>
        <v>#N/A</v>
      </c>
      <c r="Y37" s="109" t="e">
        <f>IF(VLOOKUP($A37&amp;Y$1,単価23号[],認こ23号単価!$W$1,FALSE)*(加算率b+VLOOKUP($A37&amp;Y$1,単価23号[],認こ23号単価!$X$1,FALSE))&gt;=10,
ROUNDDOWN(VLOOKUP($A37&amp;Y$1,単価23号[],認こ23号単価!$W$1,FALSE)*(加算率b+VLOOKUP($A37&amp;Y$1,単価23号[],認こ23号単価!$X$1,FALSE)),-1),
ROUNDDOWN(VLOOKUP($A37&amp;Y$1,単価23号[],認こ23号単価!$W$1,FALSE)*(加算率b+VLOOKUP($A37&amp;Y$1,単価23号[],認こ23号単価!$X$1,FALSE)),0))*-1*$C37</f>
        <v>#N/A</v>
      </c>
      <c r="Z37" s="109" t="e">
        <f>IF(VLOOKUP($A37&amp;Z$1,単価23号[],認こ23号単価!$W$1,FALSE)*(加算率b+VLOOKUP($A37&amp;Z$1,単価23号[],認こ23号単価!$X$1,FALSE))&gt;=10,
ROUNDDOWN(VLOOKUP($A37&amp;Z$1,単価23号[],認こ23号単価!$W$1,FALSE)*(加算率b+VLOOKUP($A37&amp;Z$1,単価23号[],認こ23号単価!$X$1,FALSE)),-1),
ROUNDDOWN(VLOOKUP($A37&amp;Z$1,単価23号[],認こ23号単価!$W$1,FALSE)*(加算率b+VLOOKUP($A37&amp;Z$1,単価23号[],認こ23号単価!$X$1,FALSE)),0))*-1*$C37</f>
        <v>#N/A</v>
      </c>
      <c r="AA37" s="109" t="e">
        <f>IF(VLOOKUP($A37&amp;AA$1,単価23号[],認こ23号単価!$W$1,FALSE)*(加算率b+VLOOKUP($A37&amp;AA$1,単価23号[],認こ23号単価!$X$1,FALSE))&gt;=10,
ROUNDDOWN(VLOOKUP($A37&amp;AA$1,単価23号[],認こ23号単価!$W$1,FALSE)*(加算率b+VLOOKUP($A37&amp;AA$1,単価23号[],認こ23号単価!$X$1,FALSE)),-1),
ROUNDDOWN(VLOOKUP($A37&amp;AA$1,単価23号[],認こ23号単価!$W$1,FALSE)*(加算率b+VLOOKUP($A37&amp;AA$1,単価23号[],認こ23号単価!$X$1,FALSE)),0))*-1*$C37</f>
        <v>#N/A</v>
      </c>
    </row>
    <row r="38" spans="1:27">
      <c r="A38" s="118">
        <f t="shared" si="2"/>
        <v>1</v>
      </c>
      <c r="B38" s="98" t="str">
        <f t="shared" si="2"/>
        <v>療育支援加算単価</v>
      </c>
      <c r="C38" s="101">
        <f t="shared" si="2"/>
        <v>0</v>
      </c>
      <c r="D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E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F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G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H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I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J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K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L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M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N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O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P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Q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R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S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T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U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V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W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X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Y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Z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c r="AA38" s="109" t="e">
        <f>IF(VLOOKUP($A38,療育支援23号[],認こ23号単価!$AM$1,FALSE)*(加算率b+VLOOKUP($A38,療育支援23号[],認こ23号単価!$AN$1,FALSE))/'2_区分12加算額計算表'!$D$29&gt;=10,
ROUNDDOWN(VLOOKUP($A38,療育支援23号[],認こ23号単価!$AM$1,FALSE)*(加算率b+VLOOKUP($A38,療育支援23号[],認こ23号単価!$AN$1,FALSE))/'2_区分12加算額計算表'!$D$29,-1),
ROUNDDOWN(VLOOKUP($A38,療育支援23号[],認こ23号単価!$AM$1,FALSE)*(加算率b+VLOOKUP($A38,療育支援23号[],認こ23号単価!$AN$1,FALSE))/'2_区分12加算額計算表'!$D$29,0))*$C38</f>
        <v>#N/A</v>
      </c>
    </row>
    <row r="39" spans="1:27">
      <c r="A39" s="118">
        <f t="shared" si="2"/>
        <v>0</v>
      </c>
      <c r="B39" s="99" t="str">
        <f t="shared" si="2"/>
        <v>栄養管理加算単価</v>
      </c>
      <c r="C39" s="102">
        <f t="shared" si="2"/>
        <v>0</v>
      </c>
      <c r="D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E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F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G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H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I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J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K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L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M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N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O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P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Q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R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S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T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U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V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W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X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Y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Z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c r="AA39" s="111" t="e">
        <f>IF(VLOOKUP($A39,栄養管理23号[],認こ23号単価!$AR$1,FALSE)*(加算率b+VLOOKUP($A39,栄養管理23号[],認こ23号単価!$AS$1,FALSE))/'2_区分12加算額計算表'!$D$29&gt;=10,
ROUNDDOWN(VLOOKUP($A39,栄養管理23号[],認こ23号単価!$AR$1,FALSE)*(加算率b+VLOOKUP($A39,栄養管理23号[],認こ23号単価!$AS$1,FALSE))/'2_区分12加算額計算表'!$D$29,-1),
ROUNDDOWN(VLOOKUP($A39,栄養管理23号[],認こ23号単価!$AR$1,FALSE)*(加算率b+VLOOKUP($A39,栄養管理23号[],認こ23号単価!$AS$1,FALSE))/'2_区分12加算額計算表'!$D$29,0))*$C39</f>
        <v>#N/A</v>
      </c>
    </row>
    <row r="40" spans="1:27">
      <c r="A40" s="118" t="e">
        <f t="shared" si="2"/>
        <v>#N/A</v>
      </c>
      <c r="B40" s="94" t="str">
        <f t="shared" si="2"/>
        <v>土曜閉所減算単価</v>
      </c>
      <c r="C40" s="89" t="str">
        <f t="shared" si="2"/>
        <v>Q</v>
      </c>
      <c r="D40" s="109">
        <f>IF($C40="Q",0,ROUNDDOWN(SUM(D26:D32,D34)*VLOOKUP($A40&amp;D$1,単価23号[],認こ23号単価!$S$1+$C40,FALSE),-1))*-1</f>
        <v>0</v>
      </c>
      <c r="E40" s="109">
        <f>IF($C40="Q",0,ROUNDDOWN(SUM(E26:E32,E34)*VLOOKUP($A40&amp;E$1,単価23号[],認こ23号単価!$S$1+$C40,FALSE),-1))*-1</f>
        <v>0</v>
      </c>
      <c r="F40" s="109">
        <f>IF($C40="Q",0,ROUNDDOWN(SUM(F26:F32,F34)*VLOOKUP($A40&amp;F$1,単価23号[],認こ23号単価!$S$1+$C40,FALSE),-1))*-1</f>
        <v>0</v>
      </c>
      <c r="G40" s="109">
        <f>IF($C40="Q",0,ROUNDDOWN(SUM(G26:G32,G34)*VLOOKUP($A40&amp;G$1,単価23号[],認こ23号単価!$S$1+$C40,FALSE),-1))*-1</f>
        <v>0</v>
      </c>
      <c r="H40" s="109">
        <f>IF($C40="Q",0,ROUNDDOWN(SUM(H26:H32,H34)*VLOOKUP($A40&amp;H$1,単価23号[],認こ23号単価!$S$1+$C40,FALSE),-1))*-1</f>
        <v>0</v>
      </c>
      <c r="I40" s="109">
        <f>IF($C40="Q",0,ROUNDDOWN(SUM(I26:I32,I34)*VLOOKUP($A40&amp;I$1,単価23号[],認こ23号単価!$S$1+$C40,FALSE),-1))*-1</f>
        <v>0</v>
      </c>
      <c r="J40" s="109">
        <f>IF($C40="Q",0,ROUNDDOWN(SUM(J26:J32,J34)*VLOOKUP($A40&amp;J$1,単価23号[],認こ23号単価!$S$1+$C40,FALSE),-1))*-1</f>
        <v>0</v>
      </c>
      <c r="K40" s="109">
        <f>IF($C40="Q",0,ROUNDDOWN(SUM(K26:K32,K34)*VLOOKUP($A40&amp;K$1,単価23号[],認こ23号単価!$S$1+$C40,FALSE),-1))*-1</f>
        <v>0</v>
      </c>
      <c r="L40" s="109">
        <f>IF($C40="Q",0,ROUNDDOWN(SUM(L26:L32,L34)*VLOOKUP($A40&amp;L$1,単価23号[],認こ23号単価!$S$1+$C40,FALSE),-1))*-1</f>
        <v>0</v>
      </c>
      <c r="M40" s="109">
        <f>IF($C40="Q",0,ROUNDDOWN(SUM(M26:M32,M34)*VLOOKUP($A40&amp;M$1,単価23号[],認こ23号単価!$S$1+$C40,FALSE),-1))*-1</f>
        <v>0</v>
      </c>
      <c r="N40" s="109">
        <f>IF($C40="Q",0,ROUNDDOWN(SUM(N26:N32,N34)*VLOOKUP($A40&amp;N$1,単価23号[],認こ23号単価!$S$1+$C40,FALSE),-1))*-1</f>
        <v>0</v>
      </c>
      <c r="O40" s="109">
        <f>IF($C40="Q",0,ROUNDDOWN(SUM(O26:O32,O34)*VLOOKUP($A40&amp;O$1,単価23号[],認こ23号単価!$S$1+$C40,FALSE),-1))*-1</f>
        <v>0</v>
      </c>
      <c r="P40" s="109">
        <f>IF($C40="Q",0,ROUNDDOWN(SUM(P26:P32,P34)*VLOOKUP($A40&amp;P$1,単価23号[],認こ23号単価!$S$1+$C40,FALSE),-1))*-1</f>
        <v>0</v>
      </c>
      <c r="Q40" s="109">
        <f>IF($C40="Q",0,ROUNDDOWN(SUM(Q26:Q32,Q34)*VLOOKUP($A40&amp;Q$1,単価23号[],認こ23号単価!$S$1+$C40,FALSE),-1))*-1</f>
        <v>0</v>
      </c>
      <c r="R40" s="109">
        <f>IF($C40="Q",0,ROUNDDOWN(SUM(R26:R32,R34)*VLOOKUP($A40&amp;R$1,単価23号[],認こ23号単価!$S$1+$C40,FALSE),-1))*-1</f>
        <v>0</v>
      </c>
      <c r="S40" s="109">
        <f>IF($C40="Q",0,ROUNDDOWN(SUM(S26:S32,S34)*VLOOKUP($A40&amp;S$1,単価23号[],認こ23号単価!$S$1+$C40,FALSE),-1))*-1</f>
        <v>0</v>
      </c>
      <c r="T40" s="109">
        <f>IF($C40="Q",0,ROUNDDOWN(SUM(T26:T32,T34)*VLOOKUP($A40&amp;T$1,単価23号[],認こ23号単価!$S$1+$C40,FALSE),-1))*-1</f>
        <v>0</v>
      </c>
      <c r="U40" s="109">
        <f>IF($C40="Q",0,ROUNDDOWN(SUM(U26:U32,U34)*VLOOKUP($A40&amp;U$1,単価23号[],認こ23号単価!$S$1+$C40,FALSE),-1))*-1</f>
        <v>0</v>
      </c>
      <c r="V40" s="109">
        <f>IF($C40="Q",0,ROUNDDOWN(SUM(V26:V32,V34)*VLOOKUP($A40&amp;V$1,単価23号[],認こ23号単価!$S$1+$C40,FALSE),-1))*-1</f>
        <v>0</v>
      </c>
      <c r="W40" s="109">
        <f>IF($C40="Q",0,ROUNDDOWN(SUM(W26:W32,W34)*VLOOKUP($A40&amp;W$1,単価23号[],認こ23号単価!$S$1+$C40,FALSE),-1))*-1</f>
        <v>0</v>
      </c>
      <c r="X40" s="109">
        <f>IF($C40="Q",0,ROUNDDOWN(SUM(X26:X32,X34)*VLOOKUP($A40&amp;X$1,単価23号[],認こ23号単価!$S$1+$C40,FALSE),-1))*-1</f>
        <v>0</v>
      </c>
      <c r="Y40" s="109">
        <f>IF($C40="Q",0,ROUNDDOWN(SUM(Y26:Y32,Y34)*VLOOKUP($A40&amp;Y$1,単価23号[],認こ23号単価!$S$1+$C40,FALSE),-1))*-1</f>
        <v>0</v>
      </c>
      <c r="Z40" s="109">
        <f>IF($C40="Q",0,ROUNDDOWN(SUM(Z26:Z32,Z34)*VLOOKUP($A40&amp;Z$1,単価23号[],認こ23号単価!$S$1+$C40,FALSE),-1))*-1</f>
        <v>0</v>
      </c>
      <c r="AA40" s="109">
        <f>IF($C40="Q",0,ROUNDDOWN(SUM(AA26:AA32,AA34)*VLOOKUP($A40&amp;AA$1,単価23号[],認こ23号単価!$S$1+$C40,FALSE),-1))*-1</f>
        <v>0</v>
      </c>
    </row>
    <row r="41" spans="1:27">
      <c r="B41" s="72" t="str">
        <f>B22</f>
        <v>単価計（②）</v>
      </c>
      <c r="C41" s="74"/>
      <c r="D41" s="122" t="e">
        <f t="shared" ref="D41:AA41" si="3">SUM(D26:D40)</f>
        <v>#N/A</v>
      </c>
      <c r="E41" s="122" t="e">
        <f t="shared" si="3"/>
        <v>#N/A</v>
      </c>
      <c r="F41" s="122" t="e">
        <f t="shared" si="3"/>
        <v>#N/A</v>
      </c>
      <c r="G41" s="122" t="e">
        <f t="shared" si="3"/>
        <v>#N/A</v>
      </c>
      <c r="H41" s="122" t="e">
        <f t="shared" si="3"/>
        <v>#N/A</v>
      </c>
      <c r="I41" s="122" t="e">
        <f t="shared" si="3"/>
        <v>#N/A</v>
      </c>
      <c r="J41" s="122" t="e">
        <f t="shared" si="3"/>
        <v>#N/A</v>
      </c>
      <c r="K41" s="122" t="e">
        <f t="shared" si="3"/>
        <v>#N/A</v>
      </c>
      <c r="L41" s="122" t="e">
        <f t="shared" si="3"/>
        <v>#N/A</v>
      </c>
      <c r="M41" s="122" t="e">
        <f t="shared" si="3"/>
        <v>#N/A</v>
      </c>
      <c r="N41" s="122" t="e">
        <f t="shared" si="3"/>
        <v>#N/A</v>
      </c>
      <c r="O41" s="122" t="e">
        <f t="shared" si="3"/>
        <v>#N/A</v>
      </c>
      <c r="P41" s="122" t="e">
        <f t="shared" si="3"/>
        <v>#N/A</v>
      </c>
      <c r="Q41" s="122" t="e">
        <f t="shared" si="3"/>
        <v>#N/A</v>
      </c>
      <c r="R41" s="122" t="e">
        <f t="shared" si="3"/>
        <v>#N/A</v>
      </c>
      <c r="S41" s="122" t="e">
        <f t="shared" si="3"/>
        <v>#N/A</v>
      </c>
      <c r="T41" s="122" t="e">
        <f t="shared" si="3"/>
        <v>#N/A</v>
      </c>
      <c r="U41" s="122" t="e">
        <f t="shared" si="3"/>
        <v>#N/A</v>
      </c>
      <c r="V41" s="122" t="e">
        <f t="shared" si="3"/>
        <v>#N/A</v>
      </c>
      <c r="W41" s="122" t="e">
        <f t="shared" si="3"/>
        <v>#N/A</v>
      </c>
      <c r="X41" s="122" t="e">
        <f t="shared" si="3"/>
        <v>#N/A</v>
      </c>
      <c r="Y41" s="122" t="e">
        <f t="shared" si="3"/>
        <v>#N/A</v>
      </c>
      <c r="Z41" s="122" t="e">
        <f t="shared" si="3"/>
        <v>#N/A</v>
      </c>
      <c r="AA41" s="122" t="e">
        <f t="shared" si="3"/>
        <v>#N/A</v>
      </c>
    </row>
    <row r="42" spans="1:27">
      <c r="B42" s="72" t="str">
        <f>B23</f>
        <v>月額（①×②）</v>
      </c>
      <c r="C42" s="74"/>
      <c r="D42" s="122" t="e">
        <f t="shared" ref="D42:AA42" si="4">D$6*D41</f>
        <v>#N/A</v>
      </c>
      <c r="E42" s="123" t="e">
        <f t="shared" si="4"/>
        <v>#N/A</v>
      </c>
      <c r="F42" s="123" t="e">
        <f t="shared" si="4"/>
        <v>#N/A</v>
      </c>
      <c r="G42" s="123" t="e">
        <f t="shared" si="4"/>
        <v>#N/A</v>
      </c>
      <c r="H42" s="122" t="e">
        <f t="shared" si="4"/>
        <v>#N/A</v>
      </c>
      <c r="I42" s="123" t="e">
        <f t="shared" si="4"/>
        <v>#N/A</v>
      </c>
      <c r="J42" s="123" t="e">
        <f t="shared" si="4"/>
        <v>#N/A</v>
      </c>
      <c r="K42" s="123" t="e">
        <f t="shared" si="4"/>
        <v>#N/A</v>
      </c>
      <c r="L42" s="123" t="e">
        <f t="shared" si="4"/>
        <v>#N/A</v>
      </c>
      <c r="M42" s="123" t="e">
        <f t="shared" si="4"/>
        <v>#N/A</v>
      </c>
      <c r="N42" s="123" t="e">
        <f t="shared" si="4"/>
        <v>#N/A</v>
      </c>
      <c r="O42" s="123" t="e">
        <f t="shared" si="4"/>
        <v>#N/A</v>
      </c>
      <c r="P42" s="123" t="e">
        <f t="shared" si="4"/>
        <v>#N/A</v>
      </c>
      <c r="Q42" s="123" t="e">
        <f t="shared" si="4"/>
        <v>#N/A</v>
      </c>
      <c r="R42" s="123" t="e">
        <f t="shared" si="4"/>
        <v>#N/A</v>
      </c>
      <c r="S42" s="123" t="e">
        <f t="shared" si="4"/>
        <v>#N/A</v>
      </c>
      <c r="T42" s="123" t="e">
        <f t="shared" si="4"/>
        <v>#N/A</v>
      </c>
      <c r="U42" s="123" t="e">
        <f t="shared" si="4"/>
        <v>#N/A</v>
      </c>
      <c r="V42" s="122" t="e">
        <f t="shared" si="4"/>
        <v>#N/A</v>
      </c>
      <c r="W42" s="123" t="e">
        <f t="shared" si="4"/>
        <v>#N/A</v>
      </c>
      <c r="X42" s="123" t="e">
        <f t="shared" si="4"/>
        <v>#N/A</v>
      </c>
      <c r="Y42" s="123" t="e">
        <f t="shared" si="4"/>
        <v>#N/A</v>
      </c>
      <c r="Z42" s="123" t="e">
        <f t="shared" si="4"/>
        <v>#N/A</v>
      </c>
      <c r="AA42" s="123" t="e">
        <f t="shared" si="4"/>
        <v>#N/A</v>
      </c>
    </row>
  </sheetData>
  <sheetProtection algorithmName="SHA-512" hashValue="dxelULbi5vRexMl86T8MU/woB5eq8Te7pUu7Xmi2MZEBiiGkXxy/m+W7MIreMVJbXYZWi75Tnp32QcC9kOjWwQ==" saltValue="OfGYyfUqtjHsGmLdxWcgFA==" spinCount="100000" sheet="1" objects="1" scenarios="1"/>
  <phoneticPr fontId="4"/>
  <pageMargins left="0.7" right="0.7" top="0.75" bottom="0.75" header="0.3" footer="0.3"/>
  <pageSetup paperSize="9" scale="3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8111D-A5E1-482E-9137-D2531BB4F87E}">
  <sheetPr>
    <tabColor theme="2" tint="-9.9978637043366805E-2"/>
    <pageSetUpPr fitToPage="1"/>
  </sheetPr>
  <dimension ref="B1:AK79"/>
  <sheetViews>
    <sheetView view="pageBreakPreview" zoomScale="70" zoomScaleNormal="85" zoomScaleSheetLayoutView="70" workbookViewId="0">
      <pane ySplit="7" topLeftCell="A8" activePane="bottomLeft" state="frozen"/>
      <selection pane="bottomLeft" activeCell="BC48" sqref="BC48"/>
    </sheetView>
  </sheetViews>
  <sheetFormatPr defaultColWidth="1.625" defaultRowHeight="15"/>
  <cols>
    <col min="1" max="1" width="1.625" style="2"/>
    <col min="2" max="2" width="15.875" style="2" customWidth="1"/>
    <col min="3" max="3" width="9" style="2" bestFit="1" customWidth="1"/>
    <col min="4" max="4" width="4" style="2" customWidth="1"/>
    <col min="5" max="5" width="5" style="2" customWidth="1"/>
    <col min="6" max="6" width="5.25" style="2" customWidth="1"/>
    <col min="7" max="29" width="6.5" style="2" customWidth="1"/>
    <col min="30" max="30" width="1.625" style="2"/>
    <col min="31" max="32" width="6.5" style="2" customWidth="1"/>
    <col min="33" max="33" width="1.625" style="2"/>
    <col min="34" max="34" width="11.625" style="2" customWidth="1"/>
    <col min="35" max="35" width="5.25" style="2" customWidth="1"/>
    <col min="36" max="37" width="7.5" style="2" customWidth="1"/>
    <col min="38" max="16384" width="1.625" style="2"/>
  </cols>
  <sheetData>
    <row r="1" spans="2:37">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X1" s="2">
        <f>COLUMNS($F:X)</f>
        <v>19</v>
      </c>
      <c r="Y1" s="2">
        <f>COLUMNS($F:Y)</f>
        <v>20</v>
      </c>
      <c r="Z1" s="2">
        <f>COLUMNS($F:Z)</f>
        <v>21</v>
      </c>
      <c r="AA1" s="2">
        <f>COLUMNS($F:AA)</f>
        <v>22</v>
      </c>
      <c r="AB1" s="2">
        <f>COLUMNS($F:AB)</f>
        <v>23</v>
      </c>
      <c r="AC1" s="2">
        <f>COLUMNS($F:AC)</f>
        <v>24</v>
      </c>
      <c r="AD1" s="2">
        <f>COLUMNS($F:AD)</f>
        <v>25</v>
      </c>
      <c r="AE1" s="2">
        <f>COLUMNS($F:AE)</f>
        <v>26</v>
      </c>
      <c r="AF1" s="2">
        <f>COLUMNS($F:AF)</f>
        <v>27</v>
      </c>
      <c r="AI1" s="2">
        <f>COLUMNS($AI:AI)</f>
        <v>1</v>
      </c>
      <c r="AJ1" s="2">
        <f>COLUMNS($AI:AJ)</f>
        <v>2</v>
      </c>
      <c r="AK1" s="2">
        <f>COLUMNS($AI:AK)</f>
        <v>3</v>
      </c>
    </row>
    <row r="2" spans="2:37">
      <c r="B2" s="1"/>
      <c r="F2" s="2" t="s">
        <v>251</v>
      </c>
      <c r="G2" s="2" t="s">
        <v>252</v>
      </c>
      <c r="H2" s="2" t="s">
        <v>253</v>
      </c>
      <c r="I2" s="2" t="s">
        <v>254</v>
      </c>
      <c r="J2" s="2" t="s">
        <v>255</v>
      </c>
      <c r="K2" s="2" t="s">
        <v>256</v>
      </c>
      <c r="L2" s="2" t="s">
        <v>257</v>
      </c>
      <c r="M2" s="2" t="s">
        <v>258</v>
      </c>
      <c r="N2" s="2" t="s">
        <v>259</v>
      </c>
      <c r="O2" s="2" t="s">
        <v>260</v>
      </c>
      <c r="P2" s="2" t="s">
        <v>261</v>
      </c>
      <c r="Q2" s="2" t="s">
        <v>262</v>
      </c>
      <c r="R2" s="2" t="s">
        <v>263</v>
      </c>
      <c r="S2" s="2" t="s">
        <v>264</v>
      </c>
      <c r="T2" s="2" t="s">
        <v>265</v>
      </c>
      <c r="U2" s="2" t="s">
        <v>266</v>
      </c>
      <c r="V2" s="2" t="s">
        <v>267</v>
      </c>
      <c r="W2" s="2" t="s">
        <v>268</v>
      </c>
      <c r="X2" s="2" t="s">
        <v>269</v>
      </c>
      <c r="Y2" s="2" t="s">
        <v>270</v>
      </c>
      <c r="Z2" s="2" t="s">
        <v>271</v>
      </c>
      <c r="AA2" s="2" t="s">
        <v>272</v>
      </c>
      <c r="AB2" s="2" t="s">
        <v>273</v>
      </c>
      <c r="AC2" s="2" t="s">
        <v>274</v>
      </c>
      <c r="AD2" s="2" t="s">
        <v>275</v>
      </c>
      <c r="AE2" s="2" t="s">
        <v>276</v>
      </c>
      <c r="AF2" s="2" t="s">
        <v>277</v>
      </c>
      <c r="AI2" s="2" t="s">
        <v>252</v>
      </c>
      <c r="AJ2" s="2" t="s">
        <v>253</v>
      </c>
      <c r="AK2" s="2" t="s">
        <v>254</v>
      </c>
    </row>
    <row r="3" spans="2:37">
      <c r="B3" s="3" t="s">
        <v>0</v>
      </c>
      <c r="C3" s="3"/>
      <c r="D3" s="3"/>
      <c r="E3" s="3"/>
      <c r="F3" s="3"/>
      <c r="G3" s="3"/>
      <c r="H3" s="3"/>
      <c r="I3" s="3"/>
      <c r="J3" s="3"/>
      <c r="K3" s="3"/>
      <c r="L3" s="3"/>
      <c r="M3" s="3"/>
      <c r="N3" s="3"/>
      <c r="O3" s="3"/>
      <c r="P3" s="3"/>
      <c r="Q3" s="3"/>
      <c r="R3" s="3"/>
      <c r="S3" s="3"/>
      <c r="T3" s="3"/>
      <c r="U3" s="3"/>
      <c r="V3" s="3"/>
      <c r="W3" s="3"/>
      <c r="X3" s="3"/>
      <c r="Y3" s="3"/>
      <c r="Z3" s="3"/>
      <c r="AA3" s="3"/>
      <c r="AB3" s="3"/>
      <c r="AC3" s="3"/>
      <c r="AD3" s="162"/>
      <c r="AE3" s="162"/>
      <c r="AF3" s="162"/>
      <c r="AH3" s="4" t="s">
        <v>1</v>
      </c>
      <c r="AI3" s="4"/>
      <c r="AJ3" s="4"/>
      <c r="AK3" s="4"/>
    </row>
    <row r="4" spans="2:37" ht="30">
      <c r="B4" s="2" t="s">
        <v>2</v>
      </c>
      <c r="AD4" s="162"/>
      <c r="AE4" s="147" t="s">
        <v>239</v>
      </c>
      <c r="AF4" s="126"/>
      <c r="AH4" s="2" t="s">
        <v>4</v>
      </c>
    </row>
    <row r="5" spans="2:37" ht="45">
      <c r="B5" s="12"/>
      <c r="C5" s="6"/>
      <c r="D5" s="7" t="s">
        <v>5</v>
      </c>
      <c r="E5" s="8" t="s">
        <v>6</v>
      </c>
      <c r="F5" s="5" t="s">
        <v>7</v>
      </c>
      <c r="G5" s="147" t="s">
        <v>8</v>
      </c>
      <c r="H5" s="126"/>
      <c r="I5" s="159" t="s">
        <v>210</v>
      </c>
      <c r="J5" s="147" t="s">
        <v>240</v>
      </c>
      <c r="K5" s="126"/>
      <c r="L5" s="147" t="s">
        <v>211</v>
      </c>
      <c r="M5" s="126"/>
      <c r="N5" s="147" t="s">
        <v>212</v>
      </c>
      <c r="O5" s="126"/>
      <c r="P5" s="147" t="s">
        <v>213</v>
      </c>
      <c r="Q5" s="126"/>
      <c r="R5" s="147" t="s">
        <v>214</v>
      </c>
      <c r="S5" s="126"/>
      <c r="T5" s="147" t="s">
        <v>215</v>
      </c>
      <c r="U5" s="126"/>
      <c r="V5" s="147" t="s">
        <v>217</v>
      </c>
      <c r="W5" s="126"/>
      <c r="X5" s="147" t="s">
        <v>218</v>
      </c>
      <c r="Y5" s="126"/>
      <c r="Z5" s="147" t="s">
        <v>219</v>
      </c>
      <c r="AA5" s="126"/>
      <c r="AB5" s="147" t="s">
        <v>242</v>
      </c>
      <c r="AC5" s="126"/>
      <c r="AD5" s="162"/>
      <c r="AE5" s="147" t="s">
        <v>216</v>
      </c>
      <c r="AF5" s="126"/>
      <c r="AH5" s="12" t="s">
        <v>14</v>
      </c>
      <c r="AI5" s="6"/>
      <c r="AJ5" s="13"/>
      <c r="AK5" s="14"/>
    </row>
    <row r="6" spans="2:37">
      <c r="B6" s="127"/>
      <c r="C6" s="128"/>
      <c r="D6" s="129" t="s">
        <v>16</v>
      </c>
      <c r="E6" s="130" t="s">
        <v>16</v>
      </c>
      <c r="F6" s="160"/>
      <c r="G6" s="148"/>
      <c r="H6" s="16" t="s">
        <v>19</v>
      </c>
      <c r="I6" s="16" t="s">
        <v>21</v>
      </c>
      <c r="J6" s="16" t="s">
        <v>21</v>
      </c>
      <c r="K6" s="16" t="s">
        <v>19</v>
      </c>
      <c r="L6" s="16" t="s">
        <v>21</v>
      </c>
      <c r="M6" s="16" t="s">
        <v>19</v>
      </c>
      <c r="N6" s="16" t="s">
        <v>21</v>
      </c>
      <c r="O6" s="16" t="s">
        <v>19</v>
      </c>
      <c r="P6" s="16" t="s">
        <v>21</v>
      </c>
      <c r="Q6" s="16" t="s">
        <v>19</v>
      </c>
      <c r="R6" s="16" t="s">
        <v>21</v>
      </c>
      <c r="S6" s="16" t="s">
        <v>19</v>
      </c>
      <c r="T6" s="16" t="s">
        <v>21</v>
      </c>
      <c r="U6" s="16" t="s">
        <v>19</v>
      </c>
      <c r="V6" s="16" t="s">
        <v>21</v>
      </c>
      <c r="W6" s="16" t="s">
        <v>19</v>
      </c>
      <c r="X6" s="16" t="s">
        <v>21</v>
      </c>
      <c r="Y6" s="16" t="s">
        <v>19</v>
      </c>
      <c r="Z6" s="16" t="s">
        <v>21</v>
      </c>
      <c r="AA6" s="16" t="s">
        <v>19</v>
      </c>
      <c r="AB6" s="16" t="s">
        <v>21</v>
      </c>
      <c r="AC6" s="16" t="s">
        <v>19</v>
      </c>
      <c r="AD6" s="162"/>
      <c r="AE6" s="162" t="s">
        <v>21</v>
      </c>
      <c r="AF6" s="162" t="s">
        <v>19</v>
      </c>
      <c r="AG6" s="17"/>
      <c r="AH6" s="15"/>
      <c r="AI6" s="18" t="s">
        <v>22</v>
      </c>
      <c r="AJ6" s="16" t="s">
        <v>21</v>
      </c>
      <c r="AK6" s="16" t="s">
        <v>19</v>
      </c>
    </row>
    <row r="7" spans="2:37">
      <c r="B7" s="131"/>
      <c r="C7" s="132"/>
      <c r="D7" s="131"/>
      <c r="E7" s="133"/>
      <c r="F7" s="132"/>
      <c r="G7" s="134"/>
      <c r="H7" s="134"/>
      <c r="I7" s="134"/>
      <c r="J7" s="134"/>
      <c r="K7" s="134"/>
      <c r="L7" s="134"/>
      <c r="M7" s="134"/>
      <c r="N7" s="134"/>
      <c r="O7" s="134"/>
      <c r="P7" s="134"/>
      <c r="Q7" s="134"/>
      <c r="R7" s="134"/>
      <c r="S7" s="134"/>
      <c r="T7" s="134"/>
      <c r="U7" s="134"/>
      <c r="V7" s="134"/>
      <c r="W7" s="134"/>
      <c r="X7" s="134"/>
      <c r="Y7" s="134"/>
      <c r="Z7" s="134"/>
      <c r="AA7" s="134"/>
      <c r="AB7" s="134"/>
      <c r="AC7" s="134"/>
      <c r="AD7" s="162"/>
      <c r="AE7" s="162"/>
      <c r="AF7" s="162"/>
      <c r="AG7" s="17"/>
      <c r="AH7" s="20"/>
      <c r="AI7" s="20"/>
      <c r="AJ7" s="20"/>
      <c r="AK7" s="20"/>
    </row>
    <row r="8" spans="2:37">
      <c r="B8" s="149" t="s">
        <v>164</v>
      </c>
      <c r="C8" s="150" t="s">
        <v>23</v>
      </c>
      <c r="D8" s="22" t="s">
        <v>110</v>
      </c>
      <c r="E8" s="23" t="s">
        <v>220</v>
      </c>
      <c r="F8" s="145" t="str">
        <f>D8&amp;E8</f>
        <v>Aa</v>
      </c>
      <c r="G8" s="53">
        <v>1310</v>
      </c>
      <c r="H8" s="43">
        <v>2.8</v>
      </c>
      <c r="I8" s="53">
        <v>80</v>
      </c>
      <c r="J8" s="53">
        <v>520</v>
      </c>
      <c r="K8" s="54">
        <v>2.5</v>
      </c>
      <c r="L8" s="53">
        <v>0</v>
      </c>
      <c r="M8" s="54">
        <v>0</v>
      </c>
      <c r="N8" s="53">
        <v>30</v>
      </c>
      <c r="O8" s="54">
        <v>3.9</v>
      </c>
      <c r="P8" s="53">
        <v>0</v>
      </c>
      <c r="Q8" s="54">
        <v>0</v>
      </c>
      <c r="R8" s="53">
        <v>0</v>
      </c>
      <c r="S8" s="54">
        <v>0</v>
      </c>
      <c r="T8" s="53">
        <v>90</v>
      </c>
      <c r="U8" s="54">
        <v>9</v>
      </c>
      <c r="V8" s="53">
        <v>50</v>
      </c>
      <c r="W8" s="54">
        <v>16.3</v>
      </c>
      <c r="X8" s="53">
        <v>40</v>
      </c>
      <c r="Y8" s="54">
        <v>52.3</v>
      </c>
      <c r="Z8" s="53">
        <v>7</v>
      </c>
      <c r="AA8" s="54">
        <v>49.8</v>
      </c>
      <c r="AB8" s="53">
        <v>110</v>
      </c>
      <c r="AC8" s="54">
        <v>8.5</v>
      </c>
      <c r="AD8" s="162"/>
      <c r="AE8" s="162">
        <v>520</v>
      </c>
      <c r="AF8" s="162">
        <v>2.5</v>
      </c>
      <c r="AG8" s="17"/>
      <c r="AH8" s="26" t="s">
        <v>25</v>
      </c>
      <c r="AI8" s="26">
        <v>1</v>
      </c>
      <c r="AJ8" s="26">
        <v>0</v>
      </c>
      <c r="AK8" s="138">
        <v>0</v>
      </c>
    </row>
    <row r="9" spans="2:37" ht="15.75" customHeight="1">
      <c r="B9" s="37"/>
      <c r="C9" s="142" t="s">
        <v>26</v>
      </c>
      <c r="D9" s="38" t="str">
        <f>D8</f>
        <v>A</v>
      </c>
      <c r="E9" s="39" t="s">
        <v>221</v>
      </c>
      <c r="F9" s="143" t="str">
        <f t="shared" ref="F9:F53" si="0">D9&amp;E9</f>
        <v>Ab</v>
      </c>
      <c r="G9" s="35">
        <v>1400</v>
      </c>
      <c r="H9" s="36">
        <v>2.7</v>
      </c>
      <c r="I9" s="40">
        <f>I8</f>
        <v>80</v>
      </c>
      <c r="J9" s="40">
        <f>J8</f>
        <v>520</v>
      </c>
      <c r="K9" s="48">
        <f>K8</f>
        <v>2.5</v>
      </c>
      <c r="L9" s="35">
        <v>80</v>
      </c>
      <c r="M9" s="36">
        <v>2.9</v>
      </c>
      <c r="N9" s="35">
        <v>0</v>
      </c>
      <c r="O9" s="36">
        <v>0</v>
      </c>
      <c r="P9" s="35">
        <v>610</v>
      </c>
      <c r="Q9" s="36">
        <v>2.5</v>
      </c>
      <c r="R9" s="35">
        <v>520</v>
      </c>
      <c r="S9" s="36">
        <v>2.5</v>
      </c>
      <c r="T9" s="40">
        <f t="shared" ref="T9:Z9" si="1">T8</f>
        <v>90</v>
      </c>
      <c r="U9" s="48">
        <f>U8</f>
        <v>9</v>
      </c>
      <c r="V9" s="40">
        <f t="shared" si="1"/>
        <v>50</v>
      </c>
      <c r="W9" s="48">
        <f>W8</f>
        <v>16.3</v>
      </c>
      <c r="X9" s="40">
        <f t="shared" si="1"/>
        <v>40</v>
      </c>
      <c r="Y9" s="48">
        <f>Y8</f>
        <v>52.3</v>
      </c>
      <c r="Z9" s="40">
        <f t="shared" si="1"/>
        <v>7</v>
      </c>
      <c r="AA9" s="48">
        <f>AA8</f>
        <v>49.8</v>
      </c>
      <c r="AB9" s="40">
        <f t="shared" ref="AB9" si="2">AB8</f>
        <v>110</v>
      </c>
      <c r="AC9" s="48">
        <f>AC8</f>
        <v>8.5</v>
      </c>
      <c r="AD9" s="162"/>
      <c r="AE9" s="162">
        <f>AE8</f>
        <v>520</v>
      </c>
      <c r="AF9" s="162">
        <f>AF8</f>
        <v>2.5</v>
      </c>
      <c r="AG9" s="17"/>
      <c r="AH9" s="26" t="s">
        <v>29</v>
      </c>
      <c r="AI9" s="26">
        <v>2</v>
      </c>
      <c r="AJ9" s="32">
        <v>190</v>
      </c>
      <c r="AK9" s="33">
        <v>12.2</v>
      </c>
    </row>
    <row r="10" spans="2:37" ht="15.75" customHeight="1">
      <c r="B10" s="21" t="s">
        <v>241</v>
      </c>
      <c r="C10" s="42" t="str">
        <f>C$8</f>
        <v>４歳以上児</v>
      </c>
      <c r="D10" s="22" t="s">
        <v>34</v>
      </c>
      <c r="E10" s="151" t="str">
        <f>E$8</f>
        <v>a</v>
      </c>
      <c r="F10" s="137" t="str">
        <f>D10&amp;E10</f>
        <v>Ba</v>
      </c>
      <c r="G10" s="27">
        <v>890</v>
      </c>
      <c r="H10" s="43">
        <v>2.7</v>
      </c>
      <c r="I10" s="53">
        <v>50</v>
      </c>
      <c r="J10" s="53">
        <v>340</v>
      </c>
      <c r="K10" s="54">
        <v>2.5</v>
      </c>
      <c r="L10" s="152">
        <f t="shared" ref="L10:S10" si="3">L$8</f>
        <v>0</v>
      </c>
      <c r="M10" s="153">
        <f t="shared" si="3"/>
        <v>0</v>
      </c>
      <c r="N10" s="152">
        <f t="shared" si="3"/>
        <v>30</v>
      </c>
      <c r="O10" s="153">
        <f t="shared" si="3"/>
        <v>3.9</v>
      </c>
      <c r="P10" s="152">
        <f t="shared" si="3"/>
        <v>0</v>
      </c>
      <c r="Q10" s="153">
        <f t="shared" si="3"/>
        <v>0</v>
      </c>
      <c r="R10" s="152">
        <f t="shared" si="3"/>
        <v>0</v>
      </c>
      <c r="S10" s="153">
        <f t="shared" si="3"/>
        <v>0</v>
      </c>
      <c r="T10" s="53">
        <v>60</v>
      </c>
      <c r="U10" s="54">
        <v>9</v>
      </c>
      <c r="V10" s="53">
        <v>30</v>
      </c>
      <c r="W10" s="54">
        <v>18.100000000000001</v>
      </c>
      <c r="X10" s="53">
        <v>20</v>
      </c>
      <c r="Y10" s="54">
        <v>69.8</v>
      </c>
      <c r="Z10" s="53">
        <v>5</v>
      </c>
      <c r="AA10" s="54">
        <v>46.5</v>
      </c>
      <c r="AB10" s="53">
        <v>70</v>
      </c>
      <c r="AC10" s="54">
        <v>8.9</v>
      </c>
      <c r="AD10" s="162"/>
      <c r="AE10" s="162">
        <v>340</v>
      </c>
      <c r="AF10" s="162">
        <v>2.5</v>
      </c>
      <c r="AG10" s="17"/>
      <c r="AH10" s="66" t="s">
        <v>34</v>
      </c>
      <c r="AI10" s="66">
        <v>3</v>
      </c>
      <c r="AJ10" s="57">
        <v>120</v>
      </c>
      <c r="AK10" s="58">
        <v>14.5</v>
      </c>
    </row>
    <row r="11" spans="2:37" ht="15.75" customHeight="1">
      <c r="B11" s="37"/>
      <c r="C11" s="47" t="str">
        <f>C$9</f>
        <v>３歳児</v>
      </c>
      <c r="D11" s="38" t="str">
        <f>D10</f>
        <v>B</v>
      </c>
      <c r="E11" s="41" t="str">
        <f>E$9</f>
        <v>b</v>
      </c>
      <c r="F11" s="143" t="str">
        <f>D11&amp;E11</f>
        <v>Bb</v>
      </c>
      <c r="G11" s="35">
        <v>980</v>
      </c>
      <c r="H11" s="36">
        <v>2.7</v>
      </c>
      <c r="I11" s="40">
        <f>I10</f>
        <v>50</v>
      </c>
      <c r="J11" s="40">
        <f>J10</f>
        <v>340</v>
      </c>
      <c r="K11" s="48">
        <f>K10</f>
        <v>2.5</v>
      </c>
      <c r="L11" s="40">
        <f t="shared" ref="L11:S11" si="4">L$9</f>
        <v>80</v>
      </c>
      <c r="M11" s="48">
        <f t="shared" si="4"/>
        <v>2.9</v>
      </c>
      <c r="N11" s="40">
        <f t="shared" si="4"/>
        <v>0</v>
      </c>
      <c r="O11" s="48">
        <f t="shared" si="4"/>
        <v>0</v>
      </c>
      <c r="P11" s="40">
        <f t="shared" si="4"/>
        <v>610</v>
      </c>
      <c r="Q11" s="48">
        <f t="shared" si="4"/>
        <v>2.5</v>
      </c>
      <c r="R11" s="40">
        <f t="shared" si="4"/>
        <v>520</v>
      </c>
      <c r="S11" s="48">
        <f t="shared" si="4"/>
        <v>2.5</v>
      </c>
      <c r="T11" s="40">
        <f t="shared" ref="T11:Z11" si="5">T10</f>
        <v>60</v>
      </c>
      <c r="U11" s="48">
        <f>U10</f>
        <v>9</v>
      </c>
      <c r="V11" s="40">
        <f t="shared" si="5"/>
        <v>30</v>
      </c>
      <c r="W11" s="48">
        <f>W10</f>
        <v>18.100000000000001</v>
      </c>
      <c r="X11" s="40">
        <f t="shared" si="5"/>
        <v>20</v>
      </c>
      <c r="Y11" s="48">
        <f>Y10</f>
        <v>69.8</v>
      </c>
      <c r="Z11" s="40">
        <f t="shared" si="5"/>
        <v>5</v>
      </c>
      <c r="AA11" s="48">
        <f>AA10</f>
        <v>46.5</v>
      </c>
      <c r="AB11" s="40">
        <f t="shared" ref="AB11" si="6">AB10</f>
        <v>70</v>
      </c>
      <c r="AC11" s="48">
        <f>AC10</f>
        <v>8.9</v>
      </c>
      <c r="AD11" s="162"/>
      <c r="AE11" s="162">
        <f>AE10</f>
        <v>340</v>
      </c>
      <c r="AF11" s="162">
        <f>AF10</f>
        <v>2.5</v>
      </c>
      <c r="AG11" s="17"/>
    </row>
    <row r="12" spans="2:37" ht="15.75" customHeight="1">
      <c r="B12" s="21" t="s">
        <v>222</v>
      </c>
      <c r="C12" s="42" t="str">
        <f>C$8</f>
        <v>４歳以上児</v>
      </c>
      <c r="D12" s="22" t="s">
        <v>109</v>
      </c>
      <c r="E12" s="151" t="str">
        <f>E$8</f>
        <v>a</v>
      </c>
      <c r="F12" s="137" t="str">
        <f t="shared" si="0"/>
        <v>Ca</v>
      </c>
      <c r="G12" s="27">
        <v>670</v>
      </c>
      <c r="H12" s="43">
        <v>2.7</v>
      </c>
      <c r="I12" s="53">
        <v>40</v>
      </c>
      <c r="J12" s="53">
        <v>260</v>
      </c>
      <c r="K12" s="54">
        <v>2.5</v>
      </c>
      <c r="L12" s="152">
        <f t="shared" ref="L12:S12" si="7">L$8</f>
        <v>0</v>
      </c>
      <c r="M12" s="153">
        <f t="shared" si="7"/>
        <v>0</v>
      </c>
      <c r="N12" s="152">
        <f t="shared" si="7"/>
        <v>30</v>
      </c>
      <c r="O12" s="153">
        <f t="shared" si="7"/>
        <v>3.9</v>
      </c>
      <c r="P12" s="152">
        <f t="shared" si="7"/>
        <v>0</v>
      </c>
      <c r="Q12" s="153">
        <f t="shared" si="7"/>
        <v>0</v>
      </c>
      <c r="R12" s="152">
        <f t="shared" si="7"/>
        <v>0</v>
      </c>
      <c r="S12" s="153">
        <f t="shared" si="7"/>
        <v>0</v>
      </c>
      <c r="T12" s="53">
        <v>40</v>
      </c>
      <c r="U12" s="54">
        <v>10.199999999999999</v>
      </c>
      <c r="V12" s="53">
        <v>30</v>
      </c>
      <c r="W12" s="54">
        <v>13.6</v>
      </c>
      <c r="X12" s="53">
        <v>20</v>
      </c>
      <c r="Y12" s="54">
        <v>52.3</v>
      </c>
      <c r="Z12" s="53">
        <v>3</v>
      </c>
      <c r="AA12" s="54">
        <v>58.2</v>
      </c>
      <c r="AB12" s="53">
        <v>50</v>
      </c>
      <c r="AC12" s="54">
        <v>9.3000000000000007</v>
      </c>
      <c r="AD12" s="162"/>
      <c r="AE12" s="162">
        <v>260</v>
      </c>
      <c r="AF12" s="162">
        <v>2.5</v>
      </c>
      <c r="AG12" s="17"/>
    </row>
    <row r="13" spans="2:37" ht="15.75" customHeight="1">
      <c r="B13" s="37"/>
      <c r="C13" s="47" t="str">
        <f>C$9</f>
        <v>３歳児</v>
      </c>
      <c r="D13" s="38" t="str">
        <f>D12</f>
        <v>C</v>
      </c>
      <c r="E13" s="41" t="str">
        <f>E$9</f>
        <v>b</v>
      </c>
      <c r="F13" s="143" t="str">
        <f t="shared" si="0"/>
        <v>Cb</v>
      </c>
      <c r="G13" s="35">
        <v>760</v>
      </c>
      <c r="H13" s="36">
        <v>2.7</v>
      </c>
      <c r="I13" s="40">
        <f>I12</f>
        <v>40</v>
      </c>
      <c r="J13" s="40">
        <f>J12</f>
        <v>260</v>
      </c>
      <c r="K13" s="48">
        <f>K12</f>
        <v>2.5</v>
      </c>
      <c r="L13" s="40">
        <f t="shared" ref="L13:S13" si="8">L$9</f>
        <v>80</v>
      </c>
      <c r="M13" s="48">
        <f t="shared" si="8"/>
        <v>2.9</v>
      </c>
      <c r="N13" s="40">
        <f t="shared" si="8"/>
        <v>0</v>
      </c>
      <c r="O13" s="48">
        <f t="shared" si="8"/>
        <v>0</v>
      </c>
      <c r="P13" s="40">
        <f t="shared" si="8"/>
        <v>610</v>
      </c>
      <c r="Q13" s="48">
        <f t="shared" si="8"/>
        <v>2.5</v>
      </c>
      <c r="R13" s="40">
        <f t="shared" si="8"/>
        <v>520</v>
      </c>
      <c r="S13" s="48">
        <f t="shared" si="8"/>
        <v>2.5</v>
      </c>
      <c r="T13" s="40">
        <f t="shared" ref="T13:Z13" si="9">T12</f>
        <v>40</v>
      </c>
      <c r="U13" s="48">
        <f>U12</f>
        <v>10.199999999999999</v>
      </c>
      <c r="V13" s="40">
        <f t="shared" si="9"/>
        <v>30</v>
      </c>
      <c r="W13" s="48">
        <f>W12</f>
        <v>13.6</v>
      </c>
      <c r="X13" s="40">
        <f t="shared" si="9"/>
        <v>20</v>
      </c>
      <c r="Y13" s="48">
        <f>Y12</f>
        <v>52.3</v>
      </c>
      <c r="Z13" s="40">
        <f t="shared" si="9"/>
        <v>3</v>
      </c>
      <c r="AA13" s="48">
        <f>AA12</f>
        <v>58.2</v>
      </c>
      <c r="AB13" s="40">
        <f t="shared" ref="AB13" si="10">AB12</f>
        <v>50</v>
      </c>
      <c r="AC13" s="48">
        <f>AC12</f>
        <v>9.3000000000000007</v>
      </c>
      <c r="AD13" s="162"/>
      <c r="AE13" s="162">
        <f>AE12</f>
        <v>260</v>
      </c>
      <c r="AF13" s="162">
        <f>AF12</f>
        <v>2.5</v>
      </c>
      <c r="AG13" s="17"/>
      <c r="AH13" s="17" t="s">
        <v>42</v>
      </c>
      <c r="AI13" s="17"/>
    </row>
    <row r="14" spans="2:37" ht="15.75" customHeight="1">
      <c r="B14" s="21" t="s">
        <v>223</v>
      </c>
      <c r="C14" s="42" t="str">
        <f>C$8</f>
        <v>４歳以上児</v>
      </c>
      <c r="D14" s="22" t="s">
        <v>108</v>
      </c>
      <c r="E14" s="151" t="str">
        <f>E$8</f>
        <v>a</v>
      </c>
      <c r="F14" s="137" t="str">
        <f>D14&amp;E14</f>
        <v>Da</v>
      </c>
      <c r="G14" s="27">
        <v>540</v>
      </c>
      <c r="H14" s="43">
        <v>2.7</v>
      </c>
      <c r="I14" s="53">
        <v>30</v>
      </c>
      <c r="J14" s="53">
        <v>200</v>
      </c>
      <c r="K14" s="54">
        <v>2.6</v>
      </c>
      <c r="L14" s="152">
        <f t="shared" ref="L14:S14" si="11">L$8</f>
        <v>0</v>
      </c>
      <c r="M14" s="153">
        <f t="shared" si="11"/>
        <v>0</v>
      </c>
      <c r="N14" s="152">
        <f t="shared" si="11"/>
        <v>30</v>
      </c>
      <c r="O14" s="153">
        <f t="shared" si="11"/>
        <v>3.9</v>
      </c>
      <c r="P14" s="152">
        <f t="shared" si="11"/>
        <v>0</v>
      </c>
      <c r="Q14" s="153">
        <f t="shared" si="11"/>
        <v>0</v>
      </c>
      <c r="R14" s="152">
        <f t="shared" si="11"/>
        <v>0</v>
      </c>
      <c r="S14" s="153">
        <f t="shared" si="11"/>
        <v>0</v>
      </c>
      <c r="T14" s="53">
        <v>30</v>
      </c>
      <c r="U14" s="54">
        <v>10.9</v>
      </c>
      <c r="V14" s="53">
        <v>20</v>
      </c>
      <c r="W14" s="54">
        <v>16.3</v>
      </c>
      <c r="X14" s="53">
        <v>10</v>
      </c>
      <c r="Y14" s="54">
        <v>83.7</v>
      </c>
      <c r="Z14" s="53">
        <v>3</v>
      </c>
      <c r="AA14" s="54">
        <v>46.5</v>
      </c>
      <c r="AB14" s="53">
        <v>40</v>
      </c>
      <c r="AC14" s="54">
        <v>9.3000000000000007</v>
      </c>
      <c r="AD14" s="162"/>
      <c r="AE14" s="162">
        <v>200</v>
      </c>
      <c r="AF14" s="162">
        <v>2.6</v>
      </c>
      <c r="AG14" s="17"/>
      <c r="AH14" s="17"/>
      <c r="AI14" s="17"/>
      <c r="AJ14" s="18" t="s">
        <v>21</v>
      </c>
      <c r="AK14" s="18" t="s">
        <v>19</v>
      </c>
    </row>
    <row r="15" spans="2:37" ht="15.75" customHeight="1">
      <c r="B15" s="37"/>
      <c r="C15" s="47" t="str">
        <f>C$9</f>
        <v>３歳児</v>
      </c>
      <c r="D15" s="38" t="str">
        <f>D14</f>
        <v>D</v>
      </c>
      <c r="E15" s="41" t="str">
        <f>E$9</f>
        <v>b</v>
      </c>
      <c r="F15" s="143" t="str">
        <f>D15&amp;E15</f>
        <v>Db</v>
      </c>
      <c r="G15" s="35">
        <v>630</v>
      </c>
      <c r="H15" s="36">
        <v>2.7</v>
      </c>
      <c r="I15" s="40">
        <f>I14</f>
        <v>30</v>
      </c>
      <c r="J15" s="40">
        <f>J14</f>
        <v>200</v>
      </c>
      <c r="K15" s="48">
        <f>K14</f>
        <v>2.6</v>
      </c>
      <c r="L15" s="40">
        <f t="shared" ref="L15:S15" si="12">L$9</f>
        <v>80</v>
      </c>
      <c r="M15" s="48">
        <f t="shared" si="12"/>
        <v>2.9</v>
      </c>
      <c r="N15" s="40">
        <f t="shared" si="12"/>
        <v>0</v>
      </c>
      <c r="O15" s="48">
        <f t="shared" si="12"/>
        <v>0</v>
      </c>
      <c r="P15" s="40">
        <f t="shared" si="12"/>
        <v>610</v>
      </c>
      <c r="Q15" s="48">
        <f t="shared" si="12"/>
        <v>2.5</v>
      </c>
      <c r="R15" s="40">
        <f t="shared" si="12"/>
        <v>520</v>
      </c>
      <c r="S15" s="48">
        <f t="shared" si="12"/>
        <v>2.5</v>
      </c>
      <c r="T15" s="40">
        <f t="shared" ref="T15:Z15" si="13">T14</f>
        <v>30</v>
      </c>
      <c r="U15" s="48">
        <f>U14</f>
        <v>10.9</v>
      </c>
      <c r="V15" s="40">
        <f t="shared" si="13"/>
        <v>20</v>
      </c>
      <c r="W15" s="48">
        <f>W14</f>
        <v>16.3</v>
      </c>
      <c r="X15" s="40">
        <f t="shared" si="13"/>
        <v>10</v>
      </c>
      <c r="Y15" s="48">
        <f>Y14</f>
        <v>83.7</v>
      </c>
      <c r="Z15" s="40">
        <f t="shared" si="13"/>
        <v>3</v>
      </c>
      <c r="AA15" s="48">
        <f>AA14</f>
        <v>46.5</v>
      </c>
      <c r="AB15" s="40">
        <f t="shared" ref="AB15" si="14">AB14</f>
        <v>40</v>
      </c>
      <c r="AC15" s="48">
        <f>AC14</f>
        <v>9.3000000000000007</v>
      </c>
      <c r="AD15" s="162"/>
      <c r="AE15" s="162">
        <f>AE14</f>
        <v>200</v>
      </c>
      <c r="AF15" s="162">
        <f>AF14</f>
        <v>2.6</v>
      </c>
      <c r="AG15" s="17"/>
      <c r="AH15" s="46" t="s">
        <v>224</v>
      </c>
      <c r="AI15" s="49"/>
      <c r="AJ15" s="50">
        <v>810</v>
      </c>
      <c r="AK15" s="51">
        <v>10.1</v>
      </c>
    </row>
    <row r="16" spans="2:37" ht="15.75" customHeight="1">
      <c r="B16" s="21" t="s">
        <v>50</v>
      </c>
      <c r="C16" s="42" t="str">
        <f>C$8</f>
        <v>４歳以上児</v>
      </c>
      <c r="D16" s="154" t="s">
        <v>170</v>
      </c>
      <c r="E16" s="151" t="str">
        <f>E$8</f>
        <v>a</v>
      </c>
      <c r="F16" s="137" t="str">
        <f t="shared" si="0"/>
        <v>Ea</v>
      </c>
      <c r="G16" s="27">
        <v>450</v>
      </c>
      <c r="H16" s="43">
        <v>2.7</v>
      </c>
      <c r="I16" s="53">
        <v>20</v>
      </c>
      <c r="J16" s="53">
        <v>170</v>
      </c>
      <c r="K16" s="54">
        <v>2.5</v>
      </c>
      <c r="L16" s="152">
        <f t="shared" ref="L16:S16" si="15">L$8</f>
        <v>0</v>
      </c>
      <c r="M16" s="153">
        <f t="shared" si="15"/>
        <v>0</v>
      </c>
      <c r="N16" s="152">
        <f t="shared" si="15"/>
        <v>30</v>
      </c>
      <c r="O16" s="153">
        <f t="shared" si="15"/>
        <v>3.9</v>
      </c>
      <c r="P16" s="152">
        <f t="shared" si="15"/>
        <v>0</v>
      </c>
      <c r="Q16" s="153">
        <f t="shared" si="15"/>
        <v>0</v>
      </c>
      <c r="R16" s="152">
        <f t="shared" si="15"/>
        <v>0</v>
      </c>
      <c r="S16" s="153">
        <f t="shared" si="15"/>
        <v>0</v>
      </c>
      <c r="T16" s="53">
        <v>30</v>
      </c>
      <c r="U16" s="54">
        <v>9</v>
      </c>
      <c r="V16" s="53">
        <v>20</v>
      </c>
      <c r="W16" s="54">
        <v>13.6</v>
      </c>
      <c r="X16" s="53">
        <v>10</v>
      </c>
      <c r="Y16" s="54">
        <v>69.8</v>
      </c>
      <c r="Z16" s="53">
        <v>2</v>
      </c>
      <c r="AA16" s="54">
        <v>58.2</v>
      </c>
      <c r="AB16" s="53">
        <v>30</v>
      </c>
      <c r="AC16" s="54">
        <v>10.3</v>
      </c>
      <c r="AD16" s="162"/>
      <c r="AE16" s="162">
        <v>170</v>
      </c>
      <c r="AF16" s="162">
        <v>2.5</v>
      </c>
      <c r="AG16" s="17"/>
      <c r="AH16" s="46" t="s">
        <v>225</v>
      </c>
      <c r="AI16" s="49"/>
      <c r="AJ16" s="35">
        <v>860</v>
      </c>
      <c r="AK16" s="36">
        <v>8.1</v>
      </c>
    </row>
    <row r="17" spans="2:37" ht="15.75" customHeight="1">
      <c r="B17" s="37"/>
      <c r="C17" s="47" t="str">
        <f>C$9</f>
        <v>３歳児</v>
      </c>
      <c r="D17" s="38" t="str">
        <f>D16</f>
        <v>E</v>
      </c>
      <c r="E17" s="41" t="str">
        <f>E$9</f>
        <v>b</v>
      </c>
      <c r="F17" s="143" t="str">
        <f t="shared" si="0"/>
        <v>Eb</v>
      </c>
      <c r="G17" s="35">
        <v>540</v>
      </c>
      <c r="H17" s="36">
        <v>2.7</v>
      </c>
      <c r="I17" s="40">
        <f>I16</f>
        <v>20</v>
      </c>
      <c r="J17" s="40">
        <f>J16</f>
        <v>170</v>
      </c>
      <c r="K17" s="48">
        <f>K16</f>
        <v>2.5</v>
      </c>
      <c r="L17" s="40">
        <f t="shared" ref="L17:S17" si="16">L$9</f>
        <v>80</v>
      </c>
      <c r="M17" s="48">
        <f t="shared" si="16"/>
        <v>2.9</v>
      </c>
      <c r="N17" s="40">
        <f t="shared" si="16"/>
        <v>0</v>
      </c>
      <c r="O17" s="48">
        <f t="shared" si="16"/>
        <v>0</v>
      </c>
      <c r="P17" s="40">
        <f t="shared" si="16"/>
        <v>610</v>
      </c>
      <c r="Q17" s="48">
        <f t="shared" si="16"/>
        <v>2.5</v>
      </c>
      <c r="R17" s="40">
        <f t="shared" si="16"/>
        <v>520</v>
      </c>
      <c r="S17" s="48">
        <f t="shared" si="16"/>
        <v>2.5</v>
      </c>
      <c r="T17" s="40">
        <f t="shared" ref="T17:Z17" si="17">T16</f>
        <v>30</v>
      </c>
      <c r="U17" s="48">
        <f>U16</f>
        <v>9</v>
      </c>
      <c r="V17" s="40">
        <f t="shared" si="17"/>
        <v>20</v>
      </c>
      <c r="W17" s="48">
        <f>W16</f>
        <v>13.6</v>
      </c>
      <c r="X17" s="40">
        <f t="shared" si="17"/>
        <v>10</v>
      </c>
      <c r="Y17" s="48">
        <f>Y16</f>
        <v>69.8</v>
      </c>
      <c r="Z17" s="40">
        <f t="shared" si="17"/>
        <v>2</v>
      </c>
      <c r="AA17" s="48">
        <f>AA16</f>
        <v>58.2</v>
      </c>
      <c r="AB17" s="40">
        <f t="shared" ref="AB17" si="18">AB16</f>
        <v>30</v>
      </c>
      <c r="AC17" s="48">
        <f>AC16</f>
        <v>10.3</v>
      </c>
      <c r="AD17" s="162"/>
      <c r="AE17" s="162">
        <f>AE16</f>
        <v>170</v>
      </c>
      <c r="AF17" s="162">
        <f>AF16</f>
        <v>2.5</v>
      </c>
      <c r="AG17" s="17"/>
      <c r="AH17" s="46" t="s">
        <v>226</v>
      </c>
      <c r="AI17" s="49"/>
      <c r="AJ17" s="35">
        <v>720</v>
      </c>
      <c r="AK17" s="36">
        <v>9.6999999999999993</v>
      </c>
    </row>
    <row r="18" spans="2:37" ht="15.75" customHeight="1">
      <c r="B18" s="21" t="s">
        <v>56</v>
      </c>
      <c r="C18" s="42" t="str">
        <f>C$8</f>
        <v>４歳以上児</v>
      </c>
      <c r="D18" s="154" t="s">
        <v>172</v>
      </c>
      <c r="E18" s="151" t="str">
        <f>E$8</f>
        <v>a</v>
      </c>
      <c r="F18" s="137" t="str">
        <f>D18&amp;E18</f>
        <v>Fa</v>
      </c>
      <c r="G18" s="27">
        <v>420</v>
      </c>
      <c r="H18" s="43">
        <v>2.6</v>
      </c>
      <c r="I18" s="53">
        <v>20</v>
      </c>
      <c r="J18" s="53">
        <v>140</v>
      </c>
      <c r="K18" s="54">
        <v>2.6</v>
      </c>
      <c r="L18" s="152">
        <f t="shared" ref="L18:S18" si="19">L$8</f>
        <v>0</v>
      </c>
      <c r="M18" s="153">
        <f t="shared" si="19"/>
        <v>0</v>
      </c>
      <c r="N18" s="152">
        <f t="shared" si="19"/>
        <v>30</v>
      </c>
      <c r="O18" s="153">
        <f t="shared" si="19"/>
        <v>3.9</v>
      </c>
      <c r="P18" s="152">
        <f t="shared" si="19"/>
        <v>0</v>
      </c>
      <c r="Q18" s="153">
        <f t="shared" si="19"/>
        <v>0</v>
      </c>
      <c r="R18" s="152">
        <f t="shared" si="19"/>
        <v>0</v>
      </c>
      <c r="S18" s="153">
        <f t="shared" si="19"/>
        <v>0</v>
      </c>
      <c r="T18" s="53">
        <v>20</v>
      </c>
      <c r="U18" s="54">
        <v>11.6</v>
      </c>
      <c r="V18" s="53">
        <v>20</v>
      </c>
      <c r="W18" s="54">
        <v>11.6</v>
      </c>
      <c r="X18" s="53">
        <v>10</v>
      </c>
      <c r="Y18" s="54">
        <v>59.8</v>
      </c>
      <c r="Z18" s="53">
        <v>2</v>
      </c>
      <c r="AA18" s="54">
        <v>49.8</v>
      </c>
      <c r="AB18" s="53">
        <v>30</v>
      </c>
      <c r="AC18" s="54">
        <v>8.9</v>
      </c>
      <c r="AD18" s="162"/>
      <c r="AE18" s="162">
        <v>140</v>
      </c>
      <c r="AF18" s="162">
        <v>2.6</v>
      </c>
      <c r="AG18" s="17"/>
      <c r="AH18" s="46" t="s">
        <v>177</v>
      </c>
      <c r="AI18" s="49"/>
      <c r="AJ18" s="17"/>
      <c r="AK18" s="17"/>
    </row>
    <row r="19" spans="2:37" ht="15.75" customHeight="1">
      <c r="B19" s="37"/>
      <c r="C19" s="47" t="str">
        <f>C$9</f>
        <v>３歳児</v>
      </c>
      <c r="D19" s="38" t="str">
        <f>D18</f>
        <v>F</v>
      </c>
      <c r="E19" s="41" t="str">
        <f>E$9</f>
        <v>b</v>
      </c>
      <c r="F19" s="143" t="str">
        <f>D19&amp;E19</f>
        <v>Fb</v>
      </c>
      <c r="G19" s="35">
        <v>510</v>
      </c>
      <c r="H19" s="36">
        <v>2.6</v>
      </c>
      <c r="I19" s="40">
        <f>I18</f>
        <v>20</v>
      </c>
      <c r="J19" s="40">
        <f>J18</f>
        <v>140</v>
      </c>
      <c r="K19" s="48">
        <f>K18</f>
        <v>2.6</v>
      </c>
      <c r="L19" s="40">
        <f t="shared" ref="L19:S19" si="20">L$9</f>
        <v>80</v>
      </c>
      <c r="M19" s="48">
        <f t="shared" si="20"/>
        <v>2.9</v>
      </c>
      <c r="N19" s="40">
        <f t="shared" si="20"/>
        <v>0</v>
      </c>
      <c r="O19" s="48">
        <f t="shared" si="20"/>
        <v>0</v>
      </c>
      <c r="P19" s="40">
        <f t="shared" si="20"/>
        <v>610</v>
      </c>
      <c r="Q19" s="48">
        <f t="shared" si="20"/>
        <v>2.5</v>
      </c>
      <c r="R19" s="40">
        <f t="shared" si="20"/>
        <v>520</v>
      </c>
      <c r="S19" s="48">
        <f t="shared" si="20"/>
        <v>2.5</v>
      </c>
      <c r="T19" s="40">
        <f t="shared" ref="T19:Z19" si="21">T18</f>
        <v>20</v>
      </c>
      <c r="U19" s="48">
        <f>U18</f>
        <v>11.6</v>
      </c>
      <c r="V19" s="40">
        <f t="shared" si="21"/>
        <v>20</v>
      </c>
      <c r="W19" s="48">
        <f>W18</f>
        <v>11.6</v>
      </c>
      <c r="X19" s="40">
        <f t="shared" si="21"/>
        <v>10</v>
      </c>
      <c r="Y19" s="48">
        <f>Y18</f>
        <v>59.8</v>
      </c>
      <c r="Z19" s="40">
        <f t="shared" si="21"/>
        <v>2</v>
      </c>
      <c r="AA19" s="48">
        <f>AA18</f>
        <v>49.8</v>
      </c>
      <c r="AB19" s="40">
        <f t="shared" ref="AB19" si="22">AB18</f>
        <v>30</v>
      </c>
      <c r="AC19" s="48">
        <f>AC18</f>
        <v>8.9</v>
      </c>
      <c r="AD19" s="162"/>
      <c r="AE19" s="162">
        <f>AE18</f>
        <v>140</v>
      </c>
      <c r="AF19" s="162">
        <f>AF18</f>
        <v>2.6</v>
      </c>
      <c r="AG19" s="17"/>
      <c r="AH19" s="46" t="s">
        <v>181</v>
      </c>
      <c r="AI19" s="49"/>
    </row>
    <row r="20" spans="2:37" ht="15.75" customHeight="1">
      <c r="B20" s="21" t="s">
        <v>57</v>
      </c>
      <c r="C20" s="42" t="str">
        <f>C$8</f>
        <v>４歳以上児</v>
      </c>
      <c r="D20" s="22" t="s">
        <v>174</v>
      </c>
      <c r="E20" s="151" t="str">
        <f>E$8</f>
        <v>a</v>
      </c>
      <c r="F20" s="137" t="str">
        <f t="shared" si="0"/>
        <v>Ga</v>
      </c>
      <c r="G20" s="27">
        <v>390</v>
      </c>
      <c r="H20" s="43">
        <v>2.6</v>
      </c>
      <c r="I20" s="53">
        <v>20</v>
      </c>
      <c r="J20" s="53">
        <v>130</v>
      </c>
      <c r="K20" s="54">
        <v>2.5</v>
      </c>
      <c r="L20" s="152">
        <f t="shared" ref="L20:S20" si="23">L$8</f>
        <v>0</v>
      </c>
      <c r="M20" s="153">
        <f t="shared" si="23"/>
        <v>0</v>
      </c>
      <c r="N20" s="152">
        <f t="shared" si="23"/>
        <v>30</v>
      </c>
      <c r="O20" s="153">
        <f t="shared" si="23"/>
        <v>3.9</v>
      </c>
      <c r="P20" s="152">
        <f t="shared" si="23"/>
        <v>0</v>
      </c>
      <c r="Q20" s="153">
        <f t="shared" si="23"/>
        <v>0</v>
      </c>
      <c r="R20" s="152">
        <f t="shared" si="23"/>
        <v>0</v>
      </c>
      <c r="S20" s="153">
        <f t="shared" si="23"/>
        <v>0</v>
      </c>
      <c r="T20" s="27">
        <v>0</v>
      </c>
      <c r="U20" s="54">
        <v>0</v>
      </c>
      <c r="V20" s="53">
        <v>10</v>
      </c>
      <c r="W20" s="54">
        <v>20.399999999999999</v>
      </c>
      <c r="X20" s="53">
        <v>10</v>
      </c>
      <c r="Y20" s="54">
        <v>52.3</v>
      </c>
      <c r="Z20" s="53">
        <v>1</v>
      </c>
      <c r="AA20" s="54">
        <v>87.2</v>
      </c>
      <c r="AB20" s="53">
        <v>20</v>
      </c>
      <c r="AC20" s="54">
        <v>11.6</v>
      </c>
      <c r="AD20" s="162"/>
      <c r="AE20" s="162">
        <v>130</v>
      </c>
      <c r="AF20" s="162">
        <v>2.5</v>
      </c>
      <c r="AG20" s="17"/>
      <c r="AH20" s="46" t="s">
        <v>49</v>
      </c>
      <c r="AI20" s="49"/>
    </row>
    <row r="21" spans="2:37" ht="15.75" customHeight="1">
      <c r="B21" s="37"/>
      <c r="C21" s="47" t="str">
        <f>C$9</f>
        <v>３歳児</v>
      </c>
      <c r="D21" s="38" t="str">
        <f>D20</f>
        <v>G</v>
      </c>
      <c r="E21" s="41" t="str">
        <f>E$9</f>
        <v>b</v>
      </c>
      <c r="F21" s="143" t="str">
        <f t="shared" si="0"/>
        <v>Gb</v>
      </c>
      <c r="G21" s="35">
        <v>480</v>
      </c>
      <c r="H21" s="36">
        <v>2.6</v>
      </c>
      <c r="I21" s="40">
        <f>I20</f>
        <v>20</v>
      </c>
      <c r="J21" s="40">
        <f>J20</f>
        <v>130</v>
      </c>
      <c r="K21" s="48">
        <f>K20</f>
        <v>2.5</v>
      </c>
      <c r="L21" s="40">
        <f t="shared" ref="L21:S21" si="24">L$9</f>
        <v>80</v>
      </c>
      <c r="M21" s="48">
        <f t="shared" si="24"/>
        <v>2.9</v>
      </c>
      <c r="N21" s="40">
        <f t="shared" si="24"/>
        <v>0</v>
      </c>
      <c r="O21" s="48">
        <f t="shared" si="24"/>
        <v>0</v>
      </c>
      <c r="P21" s="40">
        <f t="shared" si="24"/>
        <v>610</v>
      </c>
      <c r="Q21" s="48">
        <f t="shared" si="24"/>
        <v>2.5</v>
      </c>
      <c r="R21" s="40">
        <f t="shared" si="24"/>
        <v>520</v>
      </c>
      <c r="S21" s="48">
        <f t="shared" si="24"/>
        <v>2.5</v>
      </c>
      <c r="T21" s="40">
        <f t="shared" ref="T21:Z21" si="25">T20</f>
        <v>0</v>
      </c>
      <c r="U21" s="48">
        <f>U20</f>
        <v>0</v>
      </c>
      <c r="V21" s="40">
        <f t="shared" si="25"/>
        <v>10</v>
      </c>
      <c r="W21" s="48">
        <f>W20</f>
        <v>20.399999999999999</v>
      </c>
      <c r="X21" s="40">
        <f t="shared" si="25"/>
        <v>10</v>
      </c>
      <c r="Y21" s="48">
        <f>Y20</f>
        <v>52.3</v>
      </c>
      <c r="Z21" s="40">
        <f t="shared" si="25"/>
        <v>1</v>
      </c>
      <c r="AA21" s="48">
        <f>AA20</f>
        <v>87.2</v>
      </c>
      <c r="AB21" s="40">
        <f t="shared" ref="AB21" si="26">AB20</f>
        <v>20</v>
      </c>
      <c r="AC21" s="48">
        <f>AC20</f>
        <v>11.6</v>
      </c>
      <c r="AD21" s="162"/>
      <c r="AE21" s="162">
        <f>AE20</f>
        <v>130</v>
      </c>
      <c r="AF21" s="162">
        <f>AF20</f>
        <v>2.5</v>
      </c>
      <c r="AG21" s="17"/>
      <c r="AH21" s="46" t="s">
        <v>52</v>
      </c>
      <c r="AI21" s="49"/>
    </row>
    <row r="22" spans="2:37" ht="15.75" customHeight="1">
      <c r="B22" s="21" t="s">
        <v>58</v>
      </c>
      <c r="C22" s="42" t="str">
        <f>C$8</f>
        <v>４歳以上児</v>
      </c>
      <c r="D22" s="22" t="s">
        <v>176</v>
      </c>
      <c r="E22" s="151" t="str">
        <f>E$8</f>
        <v>a</v>
      </c>
      <c r="F22" s="137" t="str">
        <f>D22&amp;E22</f>
        <v>Ha</v>
      </c>
      <c r="G22" s="27">
        <v>370</v>
      </c>
      <c r="H22" s="43">
        <v>2.5</v>
      </c>
      <c r="I22" s="53">
        <v>10</v>
      </c>
      <c r="J22" s="53">
        <v>110</v>
      </c>
      <c r="K22" s="54">
        <v>2.6</v>
      </c>
      <c r="L22" s="152">
        <f t="shared" ref="L22:S22" si="27">L$8</f>
        <v>0</v>
      </c>
      <c r="M22" s="153">
        <f t="shared" si="27"/>
        <v>0</v>
      </c>
      <c r="N22" s="152">
        <f t="shared" si="27"/>
        <v>30</v>
      </c>
      <c r="O22" s="153">
        <f t="shared" si="27"/>
        <v>3.9</v>
      </c>
      <c r="P22" s="152">
        <f t="shared" si="27"/>
        <v>0</v>
      </c>
      <c r="Q22" s="153">
        <f t="shared" si="27"/>
        <v>0</v>
      </c>
      <c r="R22" s="152">
        <f t="shared" si="27"/>
        <v>0</v>
      </c>
      <c r="S22" s="153">
        <f t="shared" si="27"/>
        <v>0</v>
      </c>
      <c r="T22" s="27">
        <v>0</v>
      </c>
      <c r="U22" s="54">
        <v>0</v>
      </c>
      <c r="V22" s="53">
        <v>10</v>
      </c>
      <c r="W22" s="54">
        <v>18.100000000000001</v>
      </c>
      <c r="X22" s="53">
        <v>9</v>
      </c>
      <c r="Y22" s="54">
        <v>51.7</v>
      </c>
      <c r="Z22" s="53">
        <v>1</v>
      </c>
      <c r="AA22" s="54">
        <v>77.5</v>
      </c>
      <c r="AB22" s="53">
        <v>20</v>
      </c>
      <c r="AC22" s="54">
        <v>10.3</v>
      </c>
      <c r="AD22" s="162"/>
      <c r="AE22" s="162">
        <v>110</v>
      </c>
      <c r="AF22" s="162">
        <v>2.6</v>
      </c>
      <c r="AG22" s="17"/>
      <c r="AH22" s="46" t="s">
        <v>54</v>
      </c>
      <c r="AI22" s="49"/>
    </row>
    <row r="23" spans="2:37" ht="15.75" customHeight="1">
      <c r="B23" s="37"/>
      <c r="C23" s="47" t="str">
        <f>C$9</f>
        <v>３歳児</v>
      </c>
      <c r="D23" s="38" t="str">
        <f>D22</f>
        <v>H</v>
      </c>
      <c r="E23" s="41" t="str">
        <f>E$9</f>
        <v>b</v>
      </c>
      <c r="F23" s="143" t="str">
        <f>D23&amp;E23</f>
        <v>Hb</v>
      </c>
      <c r="G23" s="35">
        <v>460</v>
      </c>
      <c r="H23" s="36">
        <v>2.6</v>
      </c>
      <c r="I23" s="40">
        <f>I22</f>
        <v>10</v>
      </c>
      <c r="J23" s="40">
        <f>J22</f>
        <v>110</v>
      </c>
      <c r="K23" s="48">
        <f>K22</f>
        <v>2.6</v>
      </c>
      <c r="L23" s="40">
        <f t="shared" ref="L23:S23" si="28">L$9</f>
        <v>80</v>
      </c>
      <c r="M23" s="48">
        <f t="shared" si="28"/>
        <v>2.9</v>
      </c>
      <c r="N23" s="40">
        <f t="shared" si="28"/>
        <v>0</v>
      </c>
      <c r="O23" s="48">
        <f t="shared" si="28"/>
        <v>0</v>
      </c>
      <c r="P23" s="40">
        <f t="shared" si="28"/>
        <v>610</v>
      </c>
      <c r="Q23" s="48">
        <f t="shared" si="28"/>
        <v>2.5</v>
      </c>
      <c r="R23" s="40">
        <f t="shared" si="28"/>
        <v>520</v>
      </c>
      <c r="S23" s="48">
        <f t="shared" si="28"/>
        <v>2.5</v>
      </c>
      <c r="T23" s="40">
        <f t="shared" ref="T23:Z23" si="29">T22</f>
        <v>0</v>
      </c>
      <c r="U23" s="48">
        <f>U22</f>
        <v>0</v>
      </c>
      <c r="V23" s="40">
        <f t="shared" si="29"/>
        <v>10</v>
      </c>
      <c r="W23" s="48">
        <f>W22</f>
        <v>18.100000000000001</v>
      </c>
      <c r="X23" s="40">
        <f t="shared" si="29"/>
        <v>9</v>
      </c>
      <c r="Y23" s="48">
        <f>Y22</f>
        <v>51.7</v>
      </c>
      <c r="Z23" s="40">
        <f t="shared" si="29"/>
        <v>1</v>
      </c>
      <c r="AA23" s="48">
        <f>AA22</f>
        <v>77.5</v>
      </c>
      <c r="AB23" s="40">
        <f t="shared" ref="AB23" si="30">AB22</f>
        <v>20</v>
      </c>
      <c r="AC23" s="48">
        <f>AC22</f>
        <v>10.3</v>
      </c>
      <c r="AD23" s="162"/>
      <c r="AE23" s="162">
        <f>AE22</f>
        <v>110</v>
      </c>
      <c r="AF23" s="162">
        <f>AF22</f>
        <v>2.6</v>
      </c>
      <c r="AG23" s="17"/>
    </row>
    <row r="24" spans="2:37" ht="15.75" customHeight="1">
      <c r="B24" s="21" t="s">
        <v>59</v>
      </c>
      <c r="C24" s="42" t="str">
        <f>C$8</f>
        <v>４歳以上児</v>
      </c>
      <c r="D24" s="154" t="s">
        <v>180</v>
      </c>
      <c r="E24" s="151" t="str">
        <f>E$8</f>
        <v>a</v>
      </c>
      <c r="F24" s="137" t="str">
        <f t="shared" si="0"/>
        <v>Ia</v>
      </c>
      <c r="G24" s="27">
        <v>350</v>
      </c>
      <c r="H24" s="43">
        <v>2.5</v>
      </c>
      <c r="I24" s="53">
        <v>10</v>
      </c>
      <c r="J24" s="53">
        <v>100</v>
      </c>
      <c r="K24" s="54">
        <v>2.6</v>
      </c>
      <c r="L24" s="152">
        <f t="shared" ref="L24:S24" si="31">L$8</f>
        <v>0</v>
      </c>
      <c r="M24" s="153">
        <f t="shared" si="31"/>
        <v>0</v>
      </c>
      <c r="N24" s="152">
        <f t="shared" si="31"/>
        <v>30</v>
      </c>
      <c r="O24" s="153">
        <f t="shared" si="31"/>
        <v>3.9</v>
      </c>
      <c r="P24" s="152">
        <f t="shared" si="31"/>
        <v>0</v>
      </c>
      <c r="Q24" s="153">
        <f t="shared" si="31"/>
        <v>0</v>
      </c>
      <c r="R24" s="152">
        <f t="shared" si="31"/>
        <v>0</v>
      </c>
      <c r="S24" s="153">
        <f t="shared" si="31"/>
        <v>0</v>
      </c>
      <c r="T24" s="27">
        <v>0</v>
      </c>
      <c r="U24" s="54">
        <v>0</v>
      </c>
      <c r="V24" s="53">
        <v>10</v>
      </c>
      <c r="W24" s="54">
        <v>16.3</v>
      </c>
      <c r="X24" s="53">
        <v>8</v>
      </c>
      <c r="Y24" s="54">
        <v>52.3</v>
      </c>
      <c r="Z24" s="53">
        <v>1</v>
      </c>
      <c r="AA24" s="54">
        <v>69.8</v>
      </c>
      <c r="AB24" s="53">
        <v>20</v>
      </c>
      <c r="AC24" s="54">
        <v>9.3000000000000007</v>
      </c>
      <c r="AD24" s="162"/>
      <c r="AE24" s="162">
        <v>100</v>
      </c>
      <c r="AF24" s="162">
        <v>2.6</v>
      </c>
      <c r="AG24" s="17"/>
    </row>
    <row r="25" spans="2:37" ht="15.75" customHeight="1">
      <c r="B25" s="37"/>
      <c r="C25" s="47" t="str">
        <f>C$9</f>
        <v>３歳児</v>
      </c>
      <c r="D25" s="38" t="str">
        <f>D24</f>
        <v>I</v>
      </c>
      <c r="E25" s="41" t="str">
        <f>E$9</f>
        <v>b</v>
      </c>
      <c r="F25" s="143" t="str">
        <f t="shared" si="0"/>
        <v>Ib</v>
      </c>
      <c r="G25" s="35">
        <v>440</v>
      </c>
      <c r="H25" s="36">
        <v>2.6</v>
      </c>
      <c r="I25" s="40">
        <f>I24</f>
        <v>10</v>
      </c>
      <c r="J25" s="40">
        <f>J24</f>
        <v>100</v>
      </c>
      <c r="K25" s="48">
        <f>K24</f>
        <v>2.6</v>
      </c>
      <c r="L25" s="40">
        <f t="shared" ref="L25:S25" si="32">L$9</f>
        <v>80</v>
      </c>
      <c r="M25" s="48">
        <f t="shared" si="32"/>
        <v>2.9</v>
      </c>
      <c r="N25" s="40">
        <f t="shared" si="32"/>
        <v>0</v>
      </c>
      <c r="O25" s="48">
        <f t="shared" si="32"/>
        <v>0</v>
      </c>
      <c r="P25" s="40">
        <f t="shared" si="32"/>
        <v>610</v>
      </c>
      <c r="Q25" s="48">
        <f t="shared" si="32"/>
        <v>2.5</v>
      </c>
      <c r="R25" s="40">
        <f t="shared" si="32"/>
        <v>520</v>
      </c>
      <c r="S25" s="48">
        <f t="shared" si="32"/>
        <v>2.5</v>
      </c>
      <c r="T25" s="40">
        <f t="shared" ref="T25:Z25" si="33">T24</f>
        <v>0</v>
      </c>
      <c r="U25" s="48">
        <f>U24</f>
        <v>0</v>
      </c>
      <c r="V25" s="40">
        <f t="shared" si="33"/>
        <v>10</v>
      </c>
      <c r="W25" s="48">
        <f>W24</f>
        <v>16.3</v>
      </c>
      <c r="X25" s="40">
        <f t="shared" si="33"/>
        <v>8</v>
      </c>
      <c r="Y25" s="48">
        <f>Y24</f>
        <v>52.3</v>
      </c>
      <c r="Z25" s="40">
        <f t="shared" si="33"/>
        <v>1</v>
      </c>
      <c r="AA25" s="48">
        <f>AA24</f>
        <v>69.8</v>
      </c>
      <c r="AB25" s="40">
        <f t="shared" ref="AB25" si="34">AB24</f>
        <v>20</v>
      </c>
      <c r="AC25" s="48">
        <f>AC24</f>
        <v>9.3000000000000007</v>
      </c>
      <c r="AD25" s="162"/>
      <c r="AE25" s="162">
        <f>AE24</f>
        <v>100</v>
      </c>
      <c r="AF25" s="162">
        <f>AF24</f>
        <v>2.6</v>
      </c>
      <c r="AG25" s="17"/>
    </row>
    <row r="26" spans="2:37" ht="15.75" customHeight="1">
      <c r="B26" s="21" t="s">
        <v>60</v>
      </c>
      <c r="C26" s="42" t="str">
        <f>C$8</f>
        <v>４歳以上児</v>
      </c>
      <c r="D26" s="154" t="s">
        <v>183</v>
      </c>
      <c r="E26" s="151" t="str">
        <f>E$8</f>
        <v>a</v>
      </c>
      <c r="F26" s="137" t="str">
        <f t="shared" si="0"/>
        <v>Ja</v>
      </c>
      <c r="G26" s="27">
        <v>340</v>
      </c>
      <c r="H26" s="43">
        <v>2.5</v>
      </c>
      <c r="I26" s="53">
        <v>10</v>
      </c>
      <c r="J26" s="53">
        <v>90</v>
      </c>
      <c r="K26" s="54">
        <v>2.6</v>
      </c>
      <c r="L26" s="152">
        <f t="shared" ref="L26:S26" si="35">L$8</f>
        <v>0</v>
      </c>
      <c r="M26" s="153">
        <f t="shared" si="35"/>
        <v>0</v>
      </c>
      <c r="N26" s="152">
        <f t="shared" si="35"/>
        <v>30</v>
      </c>
      <c r="O26" s="153">
        <f t="shared" si="35"/>
        <v>3.9</v>
      </c>
      <c r="P26" s="152">
        <f t="shared" si="35"/>
        <v>0</v>
      </c>
      <c r="Q26" s="153">
        <f t="shared" si="35"/>
        <v>0</v>
      </c>
      <c r="R26" s="152">
        <f t="shared" si="35"/>
        <v>0</v>
      </c>
      <c r="S26" s="153">
        <f t="shared" si="35"/>
        <v>0</v>
      </c>
      <c r="T26" s="27">
        <v>0</v>
      </c>
      <c r="U26" s="54">
        <v>0</v>
      </c>
      <c r="V26" s="53">
        <v>10</v>
      </c>
      <c r="W26" s="54">
        <v>14.8</v>
      </c>
      <c r="X26" s="53">
        <v>7</v>
      </c>
      <c r="Y26" s="54">
        <v>54.4</v>
      </c>
      <c r="Z26" s="53">
        <v>1</v>
      </c>
      <c r="AA26" s="54">
        <v>63.4</v>
      </c>
      <c r="AB26" s="53">
        <v>20</v>
      </c>
      <c r="AC26" s="54">
        <v>8.5</v>
      </c>
      <c r="AD26" s="162"/>
      <c r="AE26" s="162">
        <v>90</v>
      </c>
      <c r="AF26" s="162">
        <v>2.6</v>
      </c>
      <c r="AG26" s="17"/>
      <c r="AH26" s="2" t="s">
        <v>243</v>
      </c>
    </row>
    <row r="27" spans="2:37" ht="15.75" customHeight="1">
      <c r="B27" s="37"/>
      <c r="C27" s="47" t="str">
        <f>C$9</f>
        <v>３歳児</v>
      </c>
      <c r="D27" s="38" t="str">
        <f>D26</f>
        <v>J</v>
      </c>
      <c r="E27" s="41" t="str">
        <f>E$9</f>
        <v>b</v>
      </c>
      <c r="F27" s="143" t="str">
        <f t="shared" si="0"/>
        <v>Jb</v>
      </c>
      <c r="G27" s="35">
        <v>420</v>
      </c>
      <c r="H27" s="36">
        <v>2.6</v>
      </c>
      <c r="I27" s="40">
        <f>I26</f>
        <v>10</v>
      </c>
      <c r="J27" s="40">
        <f>J26</f>
        <v>90</v>
      </c>
      <c r="K27" s="48">
        <f>K26</f>
        <v>2.6</v>
      </c>
      <c r="L27" s="40">
        <f t="shared" ref="L27:S27" si="36">L$9</f>
        <v>80</v>
      </c>
      <c r="M27" s="48">
        <f t="shared" si="36"/>
        <v>2.9</v>
      </c>
      <c r="N27" s="40">
        <f t="shared" si="36"/>
        <v>0</v>
      </c>
      <c r="O27" s="48">
        <f t="shared" si="36"/>
        <v>0</v>
      </c>
      <c r="P27" s="40">
        <f t="shared" si="36"/>
        <v>610</v>
      </c>
      <c r="Q27" s="48">
        <f t="shared" si="36"/>
        <v>2.5</v>
      </c>
      <c r="R27" s="40">
        <f t="shared" si="36"/>
        <v>520</v>
      </c>
      <c r="S27" s="48">
        <f t="shared" si="36"/>
        <v>2.5</v>
      </c>
      <c r="T27" s="40">
        <f t="shared" ref="T27:Z27" si="37">T26</f>
        <v>0</v>
      </c>
      <c r="U27" s="48">
        <f>U26</f>
        <v>0</v>
      </c>
      <c r="V27" s="40">
        <f t="shared" si="37"/>
        <v>10</v>
      </c>
      <c r="W27" s="48">
        <f>W26</f>
        <v>14.8</v>
      </c>
      <c r="X27" s="40">
        <f t="shared" si="37"/>
        <v>7</v>
      </c>
      <c r="Y27" s="48">
        <f>Y26</f>
        <v>54.4</v>
      </c>
      <c r="Z27" s="40">
        <f t="shared" si="37"/>
        <v>1</v>
      </c>
      <c r="AA27" s="48">
        <f>AA26</f>
        <v>63.4</v>
      </c>
      <c r="AB27" s="40">
        <f t="shared" ref="AB27" si="38">AB26</f>
        <v>20</v>
      </c>
      <c r="AC27" s="48">
        <f>AC26</f>
        <v>8.5</v>
      </c>
      <c r="AD27" s="162"/>
      <c r="AE27" s="162">
        <f>AE26</f>
        <v>90</v>
      </c>
      <c r="AF27" s="162">
        <f>AF26</f>
        <v>2.6</v>
      </c>
      <c r="AG27" s="17"/>
    </row>
    <row r="28" spans="2:37" ht="15.75" customHeight="1">
      <c r="B28" s="21" t="s">
        <v>61</v>
      </c>
      <c r="C28" s="42" t="str">
        <f>C$8</f>
        <v>４歳以上児</v>
      </c>
      <c r="D28" s="154" t="s">
        <v>185</v>
      </c>
      <c r="E28" s="151" t="str">
        <f>E$8</f>
        <v>a</v>
      </c>
      <c r="F28" s="137" t="str">
        <f t="shared" si="0"/>
        <v>Ka</v>
      </c>
      <c r="G28" s="27">
        <v>330</v>
      </c>
      <c r="H28" s="43">
        <v>2.5</v>
      </c>
      <c r="I28" s="53">
        <v>10</v>
      </c>
      <c r="J28" s="53">
        <v>80</v>
      </c>
      <c r="K28" s="54">
        <v>2.7</v>
      </c>
      <c r="L28" s="152">
        <f t="shared" ref="L28:S28" si="39">L$8</f>
        <v>0</v>
      </c>
      <c r="M28" s="153">
        <f t="shared" si="39"/>
        <v>0</v>
      </c>
      <c r="N28" s="152">
        <f t="shared" si="39"/>
        <v>30</v>
      </c>
      <c r="O28" s="153">
        <f t="shared" si="39"/>
        <v>3.9</v>
      </c>
      <c r="P28" s="152">
        <f t="shared" si="39"/>
        <v>0</v>
      </c>
      <c r="Q28" s="153">
        <f t="shared" si="39"/>
        <v>0</v>
      </c>
      <c r="R28" s="152">
        <f t="shared" si="39"/>
        <v>0</v>
      </c>
      <c r="S28" s="153">
        <f t="shared" si="39"/>
        <v>0</v>
      </c>
      <c r="T28" s="27">
        <v>0</v>
      </c>
      <c r="U28" s="54">
        <v>0</v>
      </c>
      <c r="V28" s="53">
        <v>10</v>
      </c>
      <c r="W28" s="54">
        <v>13.6</v>
      </c>
      <c r="X28" s="53">
        <v>7</v>
      </c>
      <c r="Y28" s="54">
        <v>49.8</v>
      </c>
      <c r="Z28" s="53">
        <v>1</v>
      </c>
      <c r="AA28" s="54">
        <v>58.2</v>
      </c>
      <c r="AB28" s="53">
        <v>10</v>
      </c>
      <c r="AC28" s="54">
        <v>15.5</v>
      </c>
      <c r="AD28" s="162"/>
      <c r="AE28" s="162">
        <v>80</v>
      </c>
      <c r="AF28" s="162">
        <v>2.7</v>
      </c>
      <c r="AG28" s="17"/>
    </row>
    <row r="29" spans="2:37" ht="15.75" customHeight="1">
      <c r="B29" s="37"/>
      <c r="C29" s="47" t="str">
        <f>C$9</f>
        <v>３歳児</v>
      </c>
      <c r="D29" s="38" t="str">
        <f>D28</f>
        <v>K</v>
      </c>
      <c r="E29" s="41" t="str">
        <f>E$9</f>
        <v>b</v>
      </c>
      <c r="F29" s="143" t="str">
        <f t="shared" si="0"/>
        <v>Kb</v>
      </c>
      <c r="G29" s="35">
        <v>410</v>
      </c>
      <c r="H29" s="36">
        <v>2.6</v>
      </c>
      <c r="I29" s="40">
        <f>I28</f>
        <v>10</v>
      </c>
      <c r="J29" s="40">
        <f>J28</f>
        <v>80</v>
      </c>
      <c r="K29" s="48">
        <f>K28</f>
        <v>2.7</v>
      </c>
      <c r="L29" s="40">
        <f t="shared" ref="L29:S29" si="40">L$9</f>
        <v>80</v>
      </c>
      <c r="M29" s="48">
        <f t="shared" si="40"/>
        <v>2.9</v>
      </c>
      <c r="N29" s="40">
        <f t="shared" si="40"/>
        <v>0</v>
      </c>
      <c r="O29" s="48">
        <f t="shared" si="40"/>
        <v>0</v>
      </c>
      <c r="P29" s="40">
        <f t="shared" si="40"/>
        <v>610</v>
      </c>
      <c r="Q29" s="48">
        <f t="shared" si="40"/>
        <v>2.5</v>
      </c>
      <c r="R29" s="40">
        <f t="shared" si="40"/>
        <v>520</v>
      </c>
      <c r="S29" s="48">
        <f t="shared" si="40"/>
        <v>2.5</v>
      </c>
      <c r="T29" s="40">
        <f t="shared" ref="T29:Z29" si="41">T28</f>
        <v>0</v>
      </c>
      <c r="U29" s="48">
        <f>U28</f>
        <v>0</v>
      </c>
      <c r="V29" s="40">
        <f t="shared" si="41"/>
        <v>10</v>
      </c>
      <c r="W29" s="48">
        <f>W28</f>
        <v>13.6</v>
      </c>
      <c r="X29" s="40">
        <f t="shared" si="41"/>
        <v>7</v>
      </c>
      <c r="Y29" s="48">
        <f>Y28</f>
        <v>49.8</v>
      </c>
      <c r="Z29" s="40">
        <f t="shared" si="41"/>
        <v>1</v>
      </c>
      <c r="AA29" s="48">
        <f>AA28</f>
        <v>58.2</v>
      </c>
      <c r="AB29" s="40">
        <f t="shared" ref="AB29" si="42">AB28</f>
        <v>10</v>
      </c>
      <c r="AC29" s="48">
        <f>AC28</f>
        <v>15.5</v>
      </c>
      <c r="AD29" s="162"/>
      <c r="AE29" s="162">
        <f>AE28</f>
        <v>80</v>
      </c>
      <c r="AF29" s="162">
        <f>AF28</f>
        <v>2.7</v>
      </c>
      <c r="AG29" s="17"/>
    </row>
    <row r="30" spans="2:37" ht="15.75" customHeight="1">
      <c r="B30" s="21" t="s">
        <v>227</v>
      </c>
      <c r="C30" s="42" t="str">
        <f>C$8</f>
        <v>４歳以上児</v>
      </c>
      <c r="D30" s="22" t="s">
        <v>187</v>
      </c>
      <c r="E30" s="151" t="str">
        <f>E$8</f>
        <v>a</v>
      </c>
      <c r="F30" s="137" t="str">
        <f t="shared" si="0"/>
        <v>La</v>
      </c>
      <c r="G30" s="27">
        <v>300</v>
      </c>
      <c r="H30" s="43">
        <v>2.5</v>
      </c>
      <c r="I30" s="53">
        <v>10</v>
      </c>
      <c r="J30" s="53">
        <v>60</v>
      </c>
      <c r="K30" s="54">
        <v>2.8</v>
      </c>
      <c r="L30" s="152">
        <f t="shared" ref="L30:S30" si="43">L$8</f>
        <v>0</v>
      </c>
      <c r="M30" s="153">
        <f t="shared" si="43"/>
        <v>0</v>
      </c>
      <c r="N30" s="152">
        <f t="shared" si="43"/>
        <v>30</v>
      </c>
      <c r="O30" s="153">
        <f t="shared" si="43"/>
        <v>3.9</v>
      </c>
      <c r="P30" s="152">
        <f t="shared" si="43"/>
        <v>0</v>
      </c>
      <c r="Q30" s="153">
        <f t="shared" si="43"/>
        <v>0</v>
      </c>
      <c r="R30" s="152">
        <f t="shared" si="43"/>
        <v>0</v>
      </c>
      <c r="S30" s="153">
        <f t="shared" si="43"/>
        <v>0</v>
      </c>
      <c r="T30" s="27">
        <v>0</v>
      </c>
      <c r="U30" s="54">
        <v>0</v>
      </c>
      <c r="V30" s="53">
        <v>10</v>
      </c>
      <c r="W30" s="54">
        <v>10.9</v>
      </c>
      <c r="X30" s="53">
        <v>5</v>
      </c>
      <c r="Y30" s="54">
        <v>55.8</v>
      </c>
      <c r="Z30" s="53">
        <v>1</v>
      </c>
      <c r="AA30" s="54">
        <v>46.5</v>
      </c>
      <c r="AB30" s="53">
        <v>10</v>
      </c>
      <c r="AC30" s="54">
        <v>12.4</v>
      </c>
      <c r="AD30" s="162"/>
      <c r="AE30" s="162">
        <v>60</v>
      </c>
      <c r="AF30" s="162">
        <v>2.8</v>
      </c>
      <c r="AG30" s="17"/>
    </row>
    <row r="31" spans="2:37" ht="15.75" customHeight="1">
      <c r="B31" s="56"/>
      <c r="C31" s="47" t="str">
        <f>C$9</f>
        <v>３歳児</v>
      </c>
      <c r="D31" s="38" t="str">
        <f>D30</f>
        <v>L</v>
      </c>
      <c r="E31" s="41" t="str">
        <f>E$9</f>
        <v>b</v>
      </c>
      <c r="F31" s="143" t="str">
        <f t="shared" si="0"/>
        <v>Lb</v>
      </c>
      <c r="G31" s="35">
        <v>390</v>
      </c>
      <c r="H31" s="36">
        <v>2.5</v>
      </c>
      <c r="I31" s="40">
        <f>I30</f>
        <v>10</v>
      </c>
      <c r="J31" s="40">
        <f>J30</f>
        <v>60</v>
      </c>
      <c r="K31" s="48">
        <f>K30</f>
        <v>2.8</v>
      </c>
      <c r="L31" s="40">
        <f t="shared" ref="L31:S31" si="44">L$9</f>
        <v>80</v>
      </c>
      <c r="M31" s="48">
        <f t="shared" si="44"/>
        <v>2.9</v>
      </c>
      <c r="N31" s="40">
        <f t="shared" si="44"/>
        <v>0</v>
      </c>
      <c r="O31" s="48">
        <f t="shared" si="44"/>
        <v>0</v>
      </c>
      <c r="P31" s="40">
        <f t="shared" si="44"/>
        <v>610</v>
      </c>
      <c r="Q31" s="48">
        <f t="shared" si="44"/>
        <v>2.5</v>
      </c>
      <c r="R31" s="40">
        <f t="shared" si="44"/>
        <v>520</v>
      </c>
      <c r="S31" s="48">
        <f t="shared" si="44"/>
        <v>2.5</v>
      </c>
      <c r="T31" s="40">
        <f t="shared" ref="T31:Z31" si="45">T30</f>
        <v>0</v>
      </c>
      <c r="U31" s="48">
        <f>U30</f>
        <v>0</v>
      </c>
      <c r="V31" s="40">
        <f t="shared" si="45"/>
        <v>10</v>
      </c>
      <c r="W31" s="48">
        <f>W30</f>
        <v>10.9</v>
      </c>
      <c r="X31" s="40">
        <f t="shared" si="45"/>
        <v>5</v>
      </c>
      <c r="Y31" s="48">
        <f>Y30</f>
        <v>55.8</v>
      </c>
      <c r="Z31" s="40">
        <f t="shared" si="45"/>
        <v>1</v>
      </c>
      <c r="AA31" s="48">
        <f>AA30</f>
        <v>46.5</v>
      </c>
      <c r="AB31" s="40">
        <f t="shared" ref="AB31" si="46">AB30</f>
        <v>10</v>
      </c>
      <c r="AC31" s="48">
        <f>AC30</f>
        <v>12.4</v>
      </c>
      <c r="AD31" s="162"/>
      <c r="AE31" s="162">
        <f>AE30</f>
        <v>60</v>
      </c>
      <c r="AF31" s="162">
        <f>AF30</f>
        <v>2.8</v>
      </c>
      <c r="AG31" s="17"/>
    </row>
    <row r="32" spans="2:37" ht="15.75" customHeight="1">
      <c r="B32" s="21" t="s">
        <v>228</v>
      </c>
      <c r="C32" s="42" t="str">
        <f>C$8</f>
        <v>４歳以上児</v>
      </c>
      <c r="D32" s="154" t="s">
        <v>189</v>
      </c>
      <c r="E32" s="151" t="str">
        <f>E$8</f>
        <v>a</v>
      </c>
      <c r="F32" s="137" t="str">
        <f t="shared" si="0"/>
        <v>Ma</v>
      </c>
      <c r="G32" s="27">
        <v>280</v>
      </c>
      <c r="H32" s="43">
        <v>2.4</v>
      </c>
      <c r="I32" s="53">
        <v>9</v>
      </c>
      <c r="J32" s="53">
        <v>50</v>
      </c>
      <c r="K32" s="54">
        <v>2.8</v>
      </c>
      <c r="L32" s="152">
        <f t="shared" ref="L32:S32" si="47">L$8</f>
        <v>0</v>
      </c>
      <c r="M32" s="153">
        <f t="shared" si="47"/>
        <v>0</v>
      </c>
      <c r="N32" s="152">
        <f t="shared" si="47"/>
        <v>30</v>
      </c>
      <c r="O32" s="153">
        <f t="shared" si="47"/>
        <v>3.9</v>
      </c>
      <c r="P32" s="152">
        <f t="shared" si="47"/>
        <v>0</v>
      </c>
      <c r="Q32" s="153">
        <f t="shared" si="47"/>
        <v>0</v>
      </c>
      <c r="R32" s="152">
        <f t="shared" si="47"/>
        <v>0</v>
      </c>
      <c r="S32" s="153">
        <f t="shared" si="47"/>
        <v>0</v>
      </c>
      <c r="T32" s="27">
        <v>0</v>
      </c>
      <c r="U32" s="54">
        <v>0</v>
      </c>
      <c r="V32" s="53">
        <v>9</v>
      </c>
      <c r="W32" s="54">
        <v>10.1</v>
      </c>
      <c r="X32" s="53">
        <v>5</v>
      </c>
      <c r="Y32" s="54">
        <v>46.5</v>
      </c>
      <c r="Z32" s="53">
        <v>1</v>
      </c>
      <c r="AA32" s="54">
        <v>38.799999999999997</v>
      </c>
      <c r="AB32" s="53">
        <v>10</v>
      </c>
      <c r="AC32" s="54">
        <v>10.3</v>
      </c>
      <c r="AD32" s="162"/>
      <c r="AE32" s="162">
        <v>50</v>
      </c>
      <c r="AF32" s="162">
        <v>2.8</v>
      </c>
      <c r="AG32" s="17"/>
    </row>
    <row r="33" spans="2:33" ht="15.75" customHeight="1">
      <c r="B33" s="37"/>
      <c r="C33" s="47" t="str">
        <f>C$9</f>
        <v>３歳児</v>
      </c>
      <c r="D33" s="38" t="str">
        <f>D32</f>
        <v>M</v>
      </c>
      <c r="E33" s="41" t="str">
        <f>E$9</f>
        <v>b</v>
      </c>
      <c r="F33" s="143" t="str">
        <f t="shared" si="0"/>
        <v>Mb</v>
      </c>
      <c r="G33" s="35">
        <v>370</v>
      </c>
      <c r="H33" s="36">
        <v>2.5</v>
      </c>
      <c r="I33" s="40">
        <f>I32</f>
        <v>9</v>
      </c>
      <c r="J33" s="40">
        <f>J32</f>
        <v>50</v>
      </c>
      <c r="K33" s="48">
        <f>K32</f>
        <v>2.8</v>
      </c>
      <c r="L33" s="40">
        <f t="shared" ref="L33:S33" si="48">L$9</f>
        <v>80</v>
      </c>
      <c r="M33" s="48">
        <f t="shared" si="48"/>
        <v>2.9</v>
      </c>
      <c r="N33" s="40">
        <f t="shared" si="48"/>
        <v>0</v>
      </c>
      <c r="O33" s="48">
        <f t="shared" si="48"/>
        <v>0</v>
      </c>
      <c r="P33" s="40">
        <f t="shared" si="48"/>
        <v>610</v>
      </c>
      <c r="Q33" s="48">
        <f t="shared" si="48"/>
        <v>2.5</v>
      </c>
      <c r="R33" s="40">
        <f t="shared" si="48"/>
        <v>520</v>
      </c>
      <c r="S33" s="48">
        <f t="shared" si="48"/>
        <v>2.5</v>
      </c>
      <c r="T33" s="40">
        <f t="shared" ref="T33:Z33" si="49">T32</f>
        <v>0</v>
      </c>
      <c r="U33" s="48">
        <f>U32</f>
        <v>0</v>
      </c>
      <c r="V33" s="40">
        <f t="shared" si="49"/>
        <v>9</v>
      </c>
      <c r="W33" s="48">
        <f>W32</f>
        <v>10.1</v>
      </c>
      <c r="X33" s="40">
        <f t="shared" si="49"/>
        <v>5</v>
      </c>
      <c r="Y33" s="48">
        <f>Y32</f>
        <v>46.5</v>
      </c>
      <c r="Z33" s="40">
        <f t="shared" si="49"/>
        <v>1</v>
      </c>
      <c r="AA33" s="48">
        <f>AA32</f>
        <v>38.799999999999997</v>
      </c>
      <c r="AB33" s="40">
        <f t="shared" ref="AB33" si="50">AB32</f>
        <v>10</v>
      </c>
      <c r="AC33" s="48">
        <f>AC32</f>
        <v>10.3</v>
      </c>
      <c r="AD33" s="162"/>
      <c r="AE33" s="162">
        <f>AE32</f>
        <v>50</v>
      </c>
      <c r="AF33" s="162">
        <f>AF32</f>
        <v>2.8</v>
      </c>
      <c r="AG33" s="17"/>
    </row>
    <row r="34" spans="2:33" ht="15.75" customHeight="1">
      <c r="B34" s="21" t="s">
        <v>229</v>
      </c>
      <c r="C34" s="42" t="str">
        <f>C$8</f>
        <v>４歳以上児</v>
      </c>
      <c r="D34" s="22" t="s">
        <v>191</v>
      </c>
      <c r="E34" s="151" t="str">
        <f>E$8</f>
        <v>a</v>
      </c>
      <c r="F34" s="137" t="str">
        <f t="shared" si="0"/>
        <v>Na</v>
      </c>
      <c r="G34" s="27">
        <v>280</v>
      </c>
      <c r="H34" s="43">
        <v>2.6</v>
      </c>
      <c r="I34" s="53">
        <v>8</v>
      </c>
      <c r="J34" s="53">
        <v>40</v>
      </c>
      <c r="K34" s="54">
        <v>3</v>
      </c>
      <c r="L34" s="152">
        <f t="shared" ref="L34:S34" si="51">L$8</f>
        <v>0</v>
      </c>
      <c r="M34" s="153">
        <f t="shared" si="51"/>
        <v>0</v>
      </c>
      <c r="N34" s="152">
        <f t="shared" si="51"/>
        <v>30</v>
      </c>
      <c r="O34" s="153">
        <f t="shared" si="51"/>
        <v>3.9</v>
      </c>
      <c r="P34" s="152">
        <f t="shared" si="51"/>
        <v>0</v>
      </c>
      <c r="Q34" s="153">
        <f t="shared" si="51"/>
        <v>0</v>
      </c>
      <c r="R34" s="152">
        <f t="shared" si="51"/>
        <v>0</v>
      </c>
      <c r="S34" s="153">
        <f t="shared" si="51"/>
        <v>0</v>
      </c>
      <c r="T34" s="27">
        <v>0</v>
      </c>
      <c r="U34" s="54">
        <v>0</v>
      </c>
      <c r="V34" s="53">
        <v>7</v>
      </c>
      <c r="W34" s="54">
        <v>11.1</v>
      </c>
      <c r="X34" s="53">
        <v>4</v>
      </c>
      <c r="Y34" s="54">
        <v>49.8</v>
      </c>
      <c r="Z34" s="53">
        <v>1</v>
      </c>
      <c r="AA34" s="54">
        <v>33.200000000000003</v>
      </c>
      <c r="AB34" s="53">
        <v>10</v>
      </c>
      <c r="AC34" s="54">
        <v>8.9</v>
      </c>
      <c r="AD34" s="162"/>
      <c r="AE34" s="162">
        <v>40</v>
      </c>
      <c r="AF34" s="162">
        <v>3</v>
      </c>
      <c r="AG34" s="17"/>
    </row>
    <row r="35" spans="2:33" ht="15.75" customHeight="1">
      <c r="B35" s="56"/>
      <c r="C35" s="47" t="str">
        <f>C$9</f>
        <v>３歳児</v>
      </c>
      <c r="D35" s="38" t="str">
        <f>D34</f>
        <v>N</v>
      </c>
      <c r="E35" s="41" t="str">
        <f>E$9</f>
        <v>b</v>
      </c>
      <c r="F35" s="143" t="str">
        <f t="shared" si="0"/>
        <v>Nb</v>
      </c>
      <c r="G35" s="35">
        <v>360</v>
      </c>
      <c r="H35" s="36">
        <v>2.7</v>
      </c>
      <c r="I35" s="40">
        <f>I34</f>
        <v>8</v>
      </c>
      <c r="J35" s="40">
        <f>J34</f>
        <v>40</v>
      </c>
      <c r="K35" s="48">
        <f>K34</f>
        <v>3</v>
      </c>
      <c r="L35" s="40">
        <f t="shared" ref="L35:S35" si="52">L$9</f>
        <v>80</v>
      </c>
      <c r="M35" s="48">
        <f t="shared" si="52"/>
        <v>2.9</v>
      </c>
      <c r="N35" s="40">
        <f t="shared" si="52"/>
        <v>0</v>
      </c>
      <c r="O35" s="48">
        <f t="shared" si="52"/>
        <v>0</v>
      </c>
      <c r="P35" s="40">
        <f t="shared" si="52"/>
        <v>610</v>
      </c>
      <c r="Q35" s="48">
        <f t="shared" si="52"/>
        <v>2.5</v>
      </c>
      <c r="R35" s="40">
        <f t="shared" si="52"/>
        <v>520</v>
      </c>
      <c r="S35" s="48">
        <f t="shared" si="52"/>
        <v>2.5</v>
      </c>
      <c r="T35" s="40">
        <f t="shared" ref="T35:Z35" si="53">T34</f>
        <v>0</v>
      </c>
      <c r="U35" s="48">
        <f>U34</f>
        <v>0</v>
      </c>
      <c r="V35" s="40">
        <f t="shared" si="53"/>
        <v>7</v>
      </c>
      <c r="W35" s="48">
        <f>W34</f>
        <v>11.1</v>
      </c>
      <c r="X35" s="40">
        <f t="shared" si="53"/>
        <v>4</v>
      </c>
      <c r="Y35" s="48">
        <f>Y34</f>
        <v>49.8</v>
      </c>
      <c r="Z35" s="40">
        <f t="shared" si="53"/>
        <v>1</v>
      </c>
      <c r="AA35" s="48">
        <f>AA34</f>
        <v>33.200000000000003</v>
      </c>
      <c r="AB35" s="40">
        <f t="shared" ref="AB35" si="54">AB34</f>
        <v>10</v>
      </c>
      <c r="AC35" s="48">
        <f>AC34</f>
        <v>8.9</v>
      </c>
      <c r="AD35" s="162"/>
      <c r="AE35" s="162">
        <f>AE34</f>
        <v>40</v>
      </c>
      <c r="AF35" s="162">
        <f>AF34</f>
        <v>3</v>
      </c>
      <c r="AG35" s="17"/>
    </row>
    <row r="36" spans="2:33" ht="15.75" customHeight="1">
      <c r="B36" s="21" t="s">
        <v>230</v>
      </c>
      <c r="C36" s="42" t="str">
        <f>C$8</f>
        <v>４歳以上児</v>
      </c>
      <c r="D36" s="154" t="s">
        <v>193</v>
      </c>
      <c r="E36" s="151" t="str">
        <f>E$8</f>
        <v>a</v>
      </c>
      <c r="F36" s="137" t="str">
        <f t="shared" si="0"/>
        <v>Oa</v>
      </c>
      <c r="G36" s="27">
        <v>270</v>
      </c>
      <c r="H36" s="43">
        <v>2.5</v>
      </c>
      <c r="I36" s="53">
        <v>7</v>
      </c>
      <c r="J36" s="53">
        <v>40</v>
      </c>
      <c r="K36" s="54">
        <v>2.7</v>
      </c>
      <c r="L36" s="152">
        <f t="shared" ref="L36:S36" si="55">L$8</f>
        <v>0</v>
      </c>
      <c r="M36" s="153">
        <f t="shared" si="55"/>
        <v>0</v>
      </c>
      <c r="N36" s="152">
        <f t="shared" si="55"/>
        <v>30</v>
      </c>
      <c r="O36" s="153">
        <f t="shared" si="55"/>
        <v>3.9</v>
      </c>
      <c r="P36" s="152">
        <f t="shared" si="55"/>
        <v>0</v>
      </c>
      <c r="Q36" s="153">
        <f t="shared" si="55"/>
        <v>0</v>
      </c>
      <c r="R36" s="152">
        <f t="shared" si="55"/>
        <v>0</v>
      </c>
      <c r="S36" s="153">
        <f t="shared" si="55"/>
        <v>0</v>
      </c>
      <c r="T36" s="27">
        <v>0</v>
      </c>
      <c r="U36" s="54">
        <v>0</v>
      </c>
      <c r="V36" s="53">
        <v>6</v>
      </c>
      <c r="W36" s="54">
        <v>11.3</v>
      </c>
      <c r="X36" s="53">
        <v>4</v>
      </c>
      <c r="Y36" s="54">
        <v>43.6</v>
      </c>
      <c r="Z36" s="53">
        <v>1</v>
      </c>
      <c r="AA36" s="54">
        <v>29.1</v>
      </c>
      <c r="AB36" s="53">
        <v>10</v>
      </c>
      <c r="AC36" s="54">
        <v>7.8</v>
      </c>
      <c r="AD36" s="162"/>
      <c r="AE36" s="162">
        <v>40</v>
      </c>
      <c r="AF36" s="162">
        <v>2.7</v>
      </c>
      <c r="AG36" s="17"/>
    </row>
    <row r="37" spans="2:33" ht="15.75" customHeight="1">
      <c r="B37" s="37"/>
      <c r="C37" s="47" t="str">
        <f>C$9</f>
        <v>３歳児</v>
      </c>
      <c r="D37" s="38" t="str">
        <f>D36</f>
        <v>O</v>
      </c>
      <c r="E37" s="41" t="str">
        <f>E$9</f>
        <v>b</v>
      </c>
      <c r="F37" s="143" t="str">
        <f t="shared" si="0"/>
        <v>Ob</v>
      </c>
      <c r="G37" s="35">
        <v>350</v>
      </c>
      <c r="H37" s="36">
        <v>2.6</v>
      </c>
      <c r="I37" s="40">
        <f>I36</f>
        <v>7</v>
      </c>
      <c r="J37" s="40">
        <f>J36</f>
        <v>40</v>
      </c>
      <c r="K37" s="48">
        <f>K36</f>
        <v>2.7</v>
      </c>
      <c r="L37" s="40">
        <f t="shared" ref="L37:S37" si="56">L$9</f>
        <v>80</v>
      </c>
      <c r="M37" s="48">
        <f t="shared" si="56"/>
        <v>2.9</v>
      </c>
      <c r="N37" s="40">
        <f t="shared" si="56"/>
        <v>0</v>
      </c>
      <c r="O37" s="48">
        <f t="shared" si="56"/>
        <v>0</v>
      </c>
      <c r="P37" s="40">
        <f t="shared" si="56"/>
        <v>610</v>
      </c>
      <c r="Q37" s="48">
        <f t="shared" si="56"/>
        <v>2.5</v>
      </c>
      <c r="R37" s="40">
        <f t="shared" si="56"/>
        <v>520</v>
      </c>
      <c r="S37" s="48">
        <f t="shared" si="56"/>
        <v>2.5</v>
      </c>
      <c r="T37" s="40">
        <f t="shared" ref="T37:Z37" si="57">T36</f>
        <v>0</v>
      </c>
      <c r="U37" s="48">
        <f>U36</f>
        <v>0</v>
      </c>
      <c r="V37" s="40">
        <f t="shared" si="57"/>
        <v>6</v>
      </c>
      <c r="W37" s="48">
        <f>W36</f>
        <v>11.3</v>
      </c>
      <c r="X37" s="40">
        <f t="shared" si="57"/>
        <v>4</v>
      </c>
      <c r="Y37" s="48">
        <f>Y36</f>
        <v>43.6</v>
      </c>
      <c r="Z37" s="40">
        <f t="shared" si="57"/>
        <v>1</v>
      </c>
      <c r="AA37" s="48">
        <f>AA36</f>
        <v>29.1</v>
      </c>
      <c r="AB37" s="40">
        <f t="shared" ref="AB37" si="58">AB36</f>
        <v>10</v>
      </c>
      <c r="AC37" s="48">
        <f>AC36</f>
        <v>7.8</v>
      </c>
      <c r="AD37" s="162"/>
      <c r="AE37" s="162">
        <f>AE36</f>
        <v>40</v>
      </c>
      <c r="AF37" s="162">
        <f>AF36</f>
        <v>2.7</v>
      </c>
      <c r="AG37" s="17"/>
    </row>
    <row r="38" spans="2:33" ht="15.75" customHeight="1">
      <c r="B38" s="21" t="s">
        <v>231</v>
      </c>
      <c r="C38" s="42" t="str">
        <f>C$8</f>
        <v>４歳以上児</v>
      </c>
      <c r="D38" s="22" t="s">
        <v>195</v>
      </c>
      <c r="E38" s="151" t="str">
        <f>E$8</f>
        <v>a</v>
      </c>
      <c r="F38" s="137" t="str">
        <f t="shared" si="0"/>
        <v>Pa</v>
      </c>
      <c r="G38" s="27">
        <v>260</v>
      </c>
      <c r="H38" s="43">
        <v>2.5</v>
      </c>
      <c r="I38" s="53">
        <v>6</v>
      </c>
      <c r="J38" s="53">
        <v>30</v>
      </c>
      <c r="K38" s="54">
        <v>3.2</v>
      </c>
      <c r="L38" s="152">
        <f t="shared" ref="L38:S38" si="59">L$8</f>
        <v>0</v>
      </c>
      <c r="M38" s="153">
        <f t="shared" si="59"/>
        <v>0</v>
      </c>
      <c r="N38" s="152">
        <f t="shared" si="59"/>
        <v>30</v>
      </c>
      <c r="O38" s="153">
        <f t="shared" si="59"/>
        <v>3.9</v>
      </c>
      <c r="P38" s="152">
        <f t="shared" si="59"/>
        <v>0</v>
      </c>
      <c r="Q38" s="153">
        <f t="shared" si="59"/>
        <v>0</v>
      </c>
      <c r="R38" s="152">
        <f t="shared" si="59"/>
        <v>0</v>
      </c>
      <c r="S38" s="153">
        <f t="shared" si="59"/>
        <v>0</v>
      </c>
      <c r="T38" s="53">
        <v>6</v>
      </c>
      <c r="U38" s="54">
        <v>10.1</v>
      </c>
      <c r="V38" s="53">
        <v>6</v>
      </c>
      <c r="W38" s="54">
        <v>10.1</v>
      </c>
      <c r="X38" s="53">
        <v>3</v>
      </c>
      <c r="Y38" s="54">
        <v>51.7</v>
      </c>
      <c r="Z38" s="53">
        <v>1</v>
      </c>
      <c r="AA38" s="54">
        <v>25.8</v>
      </c>
      <c r="AB38" s="53">
        <v>9</v>
      </c>
      <c r="AC38" s="54">
        <v>7.7</v>
      </c>
      <c r="AD38" s="162"/>
      <c r="AE38" s="162">
        <v>30</v>
      </c>
      <c r="AF38" s="162">
        <v>3.2</v>
      </c>
      <c r="AG38" s="17"/>
    </row>
    <row r="39" spans="2:33" ht="15.75" customHeight="1">
      <c r="B39" s="56"/>
      <c r="C39" s="47" t="str">
        <f>C$9</f>
        <v>３歳児</v>
      </c>
      <c r="D39" s="38" t="str">
        <f>D38</f>
        <v>P</v>
      </c>
      <c r="E39" s="41" t="str">
        <f>E$9</f>
        <v>b</v>
      </c>
      <c r="F39" s="143" t="str">
        <f t="shared" si="0"/>
        <v>Pb</v>
      </c>
      <c r="G39" s="35">
        <v>350</v>
      </c>
      <c r="H39" s="36">
        <v>2.5</v>
      </c>
      <c r="I39" s="40">
        <f>I38</f>
        <v>6</v>
      </c>
      <c r="J39" s="40">
        <f>J38</f>
        <v>30</v>
      </c>
      <c r="K39" s="48">
        <f>K38</f>
        <v>3.2</v>
      </c>
      <c r="L39" s="40">
        <f t="shared" ref="L39:S39" si="60">L$9</f>
        <v>80</v>
      </c>
      <c r="M39" s="48">
        <f t="shared" si="60"/>
        <v>2.9</v>
      </c>
      <c r="N39" s="40">
        <f t="shared" si="60"/>
        <v>0</v>
      </c>
      <c r="O39" s="48">
        <f t="shared" si="60"/>
        <v>0</v>
      </c>
      <c r="P39" s="40">
        <f t="shared" si="60"/>
        <v>610</v>
      </c>
      <c r="Q39" s="48">
        <f t="shared" si="60"/>
        <v>2.5</v>
      </c>
      <c r="R39" s="40">
        <f t="shared" si="60"/>
        <v>520</v>
      </c>
      <c r="S39" s="48">
        <f t="shared" si="60"/>
        <v>2.5</v>
      </c>
      <c r="T39" s="40">
        <f t="shared" ref="T39:Z39" si="61">T38</f>
        <v>6</v>
      </c>
      <c r="U39" s="48">
        <f>U38</f>
        <v>10.1</v>
      </c>
      <c r="V39" s="40">
        <f t="shared" si="61"/>
        <v>6</v>
      </c>
      <c r="W39" s="48">
        <f>W38</f>
        <v>10.1</v>
      </c>
      <c r="X39" s="40">
        <f t="shared" si="61"/>
        <v>3</v>
      </c>
      <c r="Y39" s="48">
        <f>Y38</f>
        <v>51.7</v>
      </c>
      <c r="Z39" s="40">
        <f t="shared" si="61"/>
        <v>1</v>
      </c>
      <c r="AA39" s="48">
        <f>AA38</f>
        <v>25.8</v>
      </c>
      <c r="AB39" s="40">
        <f t="shared" ref="AB39" si="62">AB38</f>
        <v>9</v>
      </c>
      <c r="AC39" s="48">
        <f>AC38</f>
        <v>7.7</v>
      </c>
      <c r="AD39" s="162"/>
      <c r="AE39" s="162">
        <f>AE38</f>
        <v>30</v>
      </c>
      <c r="AF39" s="162">
        <f>AF38</f>
        <v>3.2</v>
      </c>
      <c r="AG39" s="17"/>
    </row>
    <row r="40" spans="2:33" ht="15.75" customHeight="1">
      <c r="B40" s="21" t="s">
        <v>232</v>
      </c>
      <c r="C40" s="42" t="str">
        <f>C$8</f>
        <v>４歳以上児</v>
      </c>
      <c r="D40" s="154" t="s">
        <v>197</v>
      </c>
      <c r="E40" s="151" t="str">
        <f>E$8</f>
        <v>a</v>
      </c>
      <c r="F40" s="137" t="str">
        <f t="shared" si="0"/>
        <v>Qa</v>
      </c>
      <c r="G40" s="27">
        <v>250</v>
      </c>
      <c r="H40" s="43">
        <v>2.5</v>
      </c>
      <c r="I40" s="53">
        <v>5</v>
      </c>
      <c r="J40" s="53">
        <v>30</v>
      </c>
      <c r="K40" s="54">
        <v>2.8</v>
      </c>
      <c r="L40" s="152">
        <f t="shared" ref="L40:S40" si="63">L$8</f>
        <v>0</v>
      </c>
      <c r="M40" s="153">
        <f t="shared" si="63"/>
        <v>0</v>
      </c>
      <c r="N40" s="152">
        <f t="shared" si="63"/>
        <v>30</v>
      </c>
      <c r="O40" s="153">
        <f t="shared" si="63"/>
        <v>3.9</v>
      </c>
      <c r="P40" s="152">
        <f t="shared" si="63"/>
        <v>0</v>
      </c>
      <c r="Q40" s="153">
        <f t="shared" si="63"/>
        <v>0</v>
      </c>
      <c r="R40" s="152">
        <f t="shared" si="63"/>
        <v>0</v>
      </c>
      <c r="S40" s="153">
        <f t="shared" si="63"/>
        <v>0</v>
      </c>
      <c r="T40" s="53">
        <v>6</v>
      </c>
      <c r="U40" s="54">
        <v>9</v>
      </c>
      <c r="V40" s="53">
        <v>5</v>
      </c>
      <c r="W40" s="54">
        <v>10.9</v>
      </c>
      <c r="X40" s="53">
        <v>3</v>
      </c>
      <c r="Y40" s="54">
        <v>46.5</v>
      </c>
      <c r="Z40" s="53">
        <v>1</v>
      </c>
      <c r="AA40" s="54">
        <v>23.3</v>
      </c>
      <c r="AB40" s="53">
        <v>8</v>
      </c>
      <c r="AC40" s="54">
        <v>7.8</v>
      </c>
      <c r="AD40" s="162"/>
      <c r="AE40" s="162">
        <v>30</v>
      </c>
      <c r="AF40" s="162">
        <v>2.8</v>
      </c>
      <c r="AG40" s="17"/>
    </row>
    <row r="41" spans="2:33" ht="15.75" customHeight="1">
      <c r="B41" s="37"/>
      <c r="C41" s="47" t="str">
        <f>C$9</f>
        <v>３歳児</v>
      </c>
      <c r="D41" s="38" t="str">
        <f>D40</f>
        <v>Q</v>
      </c>
      <c r="E41" s="41" t="str">
        <f>E$9</f>
        <v>b</v>
      </c>
      <c r="F41" s="143" t="str">
        <f t="shared" si="0"/>
        <v>Qb</v>
      </c>
      <c r="G41" s="35">
        <v>340</v>
      </c>
      <c r="H41" s="36">
        <v>2.6</v>
      </c>
      <c r="I41" s="40">
        <f>I40</f>
        <v>5</v>
      </c>
      <c r="J41" s="40">
        <f>J40</f>
        <v>30</v>
      </c>
      <c r="K41" s="48">
        <f>K40</f>
        <v>2.8</v>
      </c>
      <c r="L41" s="40">
        <f t="shared" ref="L41:S41" si="64">L$9</f>
        <v>80</v>
      </c>
      <c r="M41" s="48">
        <f t="shared" si="64"/>
        <v>2.9</v>
      </c>
      <c r="N41" s="40">
        <f t="shared" si="64"/>
        <v>0</v>
      </c>
      <c r="O41" s="48">
        <f t="shared" si="64"/>
        <v>0</v>
      </c>
      <c r="P41" s="40">
        <f t="shared" si="64"/>
        <v>610</v>
      </c>
      <c r="Q41" s="48">
        <f t="shared" si="64"/>
        <v>2.5</v>
      </c>
      <c r="R41" s="40">
        <f t="shared" si="64"/>
        <v>520</v>
      </c>
      <c r="S41" s="48">
        <f t="shared" si="64"/>
        <v>2.5</v>
      </c>
      <c r="T41" s="40">
        <f t="shared" ref="T41:Z41" si="65">T40</f>
        <v>6</v>
      </c>
      <c r="U41" s="48">
        <f>U40</f>
        <v>9</v>
      </c>
      <c r="V41" s="40">
        <f t="shared" si="65"/>
        <v>5</v>
      </c>
      <c r="W41" s="48">
        <f>W40</f>
        <v>10.9</v>
      </c>
      <c r="X41" s="40">
        <f t="shared" si="65"/>
        <v>3</v>
      </c>
      <c r="Y41" s="48">
        <f>Y40</f>
        <v>46.5</v>
      </c>
      <c r="Z41" s="40">
        <f t="shared" si="65"/>
        <v>1</v>
      </c>
      <c r="AA41" s="48">
        <f>AA40</f>
        <v>23.3</v>
      </c>
      <c r="AB41" s="40">
        <f t="shared" ref="AB41" si="66">AB40</f>
        <v>8</v>
      </c>
      <c r="AC41" s="48">
        <f>AC40</f>
        <v>7.8</v>
      </c>
      <c r="AD41" s="162"/>
      <c r="AE41" s="162">
        <f>AE40</f>
        <v>30</v>
      </c>
      <c r="AF41" s="162">
        <f>AF40</f>
        <v>2.8</v>
      </c>
      <c r="AG41" s="17"/>
    </row>
    <row r="42" spans="2:33" ht="15.75" customHeight="1">
      <c r="B42" s="21" t="s">
        <v>233</v>
      </c>
      <c r="C42" s="42" t="str">
        <f>C$8</f>
        <v>４歳以上児</v>
      </c>
      <c r="D42" s="22" t="s">
        <v>199</v>
      </c>
      <c r="E42" s="151" t="str">
        <f>E$8</f>
        <v>a</v>
      </c>
      <c r="F42" s="137" t="str">
        <f t="shared" si="0"/>
        <v>Ra</v>
      </c>
      <c r="G42" s="27">
        <v>240</v>
      </c>
      <c r="H42" s="43">
        <v>2.5</v>
      </c>
      <c r="I42" s="53">
        <v>4</v>
      </c>
      <c r="J42" s="53">
        <v>20</v>
      </c>
      <c r="K42" s="54">
        <v>3.6</v>
      </c>
      <c r="L42" s="152">
        <f t="shared" ref="L42:S42" si="67">L$8</f>
        <v>0</v>
      </c>
      <c r="M42" s="153">
        <f t="shared" si="67"/>
        <v>0</v>
      </c>
      <c r="N42" s="152">
        <f t="shared" si="67"/>
        <v>30</v>
      </c>
      <c r="O42" s="153">
        <f t="shared" si="67"/>
        <v>3.9</v>
      </c>
      <c r="P42" s="152">
        <f t="shared" si="67"/>
        <v>0</v>
      </c>
      <c r="Q42" s="153">
        <f t="shared" si="67"/>
        <v>0</v>
      </c>
      <c r="R42" s="152">
        <f t="shared" si="67"/>
        <v>0</v>
      </c>
      <c r="S42" s="153">
        <f t="shared" si="67"/>
        <v>0</v>
      </c>
      <c r="T42" s="53">
        <v>5</v>
      </c>
      <c r="U42" s="54">
        <v>9</v>
      </c>
      <c r="V42" s="53">
        <v>5</v>
      </c>
      <c r="W42" s="54">
        <v>16.8</v>
      </c>
      <c r="X42" s="53">
        <v>3</v>
      </c>
      <c r="Y42" s="54">
        <v>58.2</v>
      </c>
      <c r="Z42" s="53">
        <v>1</v>
      </c>
      <c r="AA42" s="54">
        <v>32.299999999999997</v>
      </c>
      <c r="AB42" s="53">
        <v>6</v>
      </c>
      <c r="AC42" s="54">
        <v>8.6</v>
      </c>
      <c r="AD42" s="162"/>
      <c r="AE42" s="162">
        <v>20</v>
      </c>
      <c r="AF42" s="162">
        <v>3.6</v>
      </c>
    </row>
    <row r="43" spans="2:33" ht="15.75" customHeight="1">
      <c r="B43" s="56"/>
      <c r="C43" s="47" t="str">
        <f>C$9</f>
        <v>３歳児</v>
      </c>
      <c r="D43" s="38" t="str">
        <f>D42</f>
        <v>R</v>
      </c>
      <c r="E43" s="41" t="str">
        <f>E$9</f>
        <v>b</v>
      </c>
      <c r="F43" s="143" t="str">
        <f t="shared" si="0"/>
        <v>Rb</v>
      </c>
      <c r="G43" s="35">
        <v>330</v>
      </c>
      <c r="H43" s="36">
        <v>2.5</v>
      </c>
      <c r="I43" s="40">
        <f>I42</f>
        <v>4</v>
      </c>
      <c r="J43" s="40">
        <f>J42</f>
        <v>20</v>
      </c>
      <c r="K43" s="48">
        <f>K42</f>
        <v>3.6</v>
      </c>
      <c r="L43" s="40">
        <f t="shared" ref="L43:S43" si="68">L$9</f>
        <v>80</v>
      </c>
      <c r="M43" s="48">
        <f t="shared" si="68"/>
        <v>2.9</v>
      </c>
      <c r="N43" s="40">
        <f t="shared" si="68"/>
        <v>0</v>
      </c>
      <c r="O43" s="48">
        <f t="shared" si="68"/>
        <v>0</v>
      </c>
      <c r="P43" s="40">
        <f t="shared" si="68"/>
        <v>610</v>
      </c>
      <c r="Q43" s="48">
        <f t="shared" si="68"/>
        <v>2.5</v>
      </c>
      <c r="R43" s="40">
        <f t="shared" si="68"/>
        <v>520</v>
      </c>
      <c r="S43" s="48">
        <f t="shared" si="68"/>
        <v>2.5</v>
      </c>
      <c r="T43" s="40">
        <f t="shared" ref="T43:Z43" si="69">T42</f>
        <v>5</v>
      </c>
      <c r="U43" s="48">
        <f>U42</f>
        <v>9</v>
      </c>
      <c r="V43" s="40">
        <f t="shared" si="69"/>
        <v>5</v>
      </c>
      <c r="W43" s="48">
        <f>W42</f>
        <v>16.8</v>
      </c>
      <c r="X43" s="40">
        <f t="shared" si="69"/>
        <v>3</v>
      </c>
      <c r="Y43" s="48">
        <f>Y42</f>
        <v>58.2</v>
      </c>
      <c r="Z43" s="40">
        <f t="shared" si="69"/>
        <v>1</v>
      </c>
      <c r="AA43" s="48">
        <f>AA42</f>
        <v>32.299999999999997</v>
      </c>
      <c r="AB43" s="40">
        <f t="shared" ref="AB43" si="70">AB42</f>
        <v>6</v>
      </c>
      <c r="AC43" s="48">
        <f>AC42</f>
        <v>8.6</v>
      </c>
      <c r="AD43" s="162"/>
      <c r="AE43" s="162">
        <f>AE42</f>
        <v>20</v>
      </c>
      <c r="AF43" s="162">
        <f>AF42</f>
        <v>3.6</v>
      </c>
    </row>
    <row r="44" spans="2:33" ht="15.75" customHeight="1">
      <c r="B44" s="21" t="s">
        <v>234</v>
      </c>
      <c r="C44" s="42" t="str">
        <f>C$8</f>
        <v>４歳以上児</v>
      </c>
      <c r="D44" s="154" t="s">
        <v>201</v>
      </c>
      <c r="E44" s="151" t="str">
        <f>E$8</f>
        <v>a</v>
      </c>
      <c r="F44" s="137" t="str">
        <f t="shared" si="0"/>
        <v>Sa</v>
      </c>
      <c r="G44" s="27">
        <v>240</v>
      </c>
      <c r="H44" s="43">
        <v>2.4</v>
      </c>
      <c r="I44" s="53">
        <v>4</v>
      </c>
      <c r="J44" s="53">
        <v>20</v>
      </c>
      <c r="K44" s="54">
        <v>3</v>
      </c>
      <c r="L44" s="152">
        <f t="shared" ref="L44:S44" si="71">L$8</f>
        <v>0</v>
      </c>
      <c r="M44" s="153">
        <f t="shared" si="71"/>
        <v>0</v>
      </c>
      <c r="N44" s="152">
        <f t="shared" si="71"/>
        <v>30</v>
      </c>
      <c r="O44" s="153">
        <f t="shared" si="71"/>
        <v>3.9</v>
      </c>
      <c r="P44" s="152">
        <f t="shared" si="71"/>
        <v>0</v>
      </c>
      <c r="Q44" s="153">
        <f t="shared" si="71"/>
        <v>0</v>
      </c>
      <c r="R44" s="152">
        <f t="shared" si="71"/>
        <v>0</v>
      </c>
      <c r="S44" s="153">
        <f t="shared" si="71"/>
        <v>0</v>
      </c>
      <c r="T44" s="53">
        <v>4</v>
      </c>
      <c r="U44" s="54">
        <v>9.6999999999999993</v>
      </c>
      <c r="V44" s="53">
        <v>5</v>
      </c>
      <c r="W44" s="54">
        <v>14.4</v>
      </c>
      <c r="X44" s="53">
        <v>2</v>
      </c>
      <c r="Y44" s="54">
        <v>74.8</v>
      </c>
      <c r="Z44" s="53">
        <v>1</v>
      </c>
      <c r="AA44" s="54">
        <v>27.7</v>
      </c>
      <c r="AB44" s="53">
        <v>6</v>
      </c>
      <c r="AC44" s="54">
        <v>7.4</v>
      </c>
      <c r="AD44" s="162"/>
      <c r="AE44" s="162">
        <v>20</v>
      </c>
      <c r="AF44" s="162">
        <v>3</v>
      </c>
    </row>
    <row r="45" spans="2:33" ht="15.75" customHeight="1">
      <c r="B45" s="37"/>
      <c r="C45" s="47" t="str">
        <f>C$9</f>
        <v>３歳児</v>
      </c>
      <c r="D45" s="38" t="str">
        <f>D44</f>
        <v>S</v>
      </c>
      <c r="E45" s="41" t="str">
        <f>E$9</f>
        <v>b</v>
      </c>
      <c r="F45" s="143" t="str">
        <f t="shared" si="0"/>
        <v>Sb</v>
      </c>
      <c r="G45" s="35">
        <v>320</v>
      </c>
      <c r="H45" s="36">
        <v>2.5</v>
      </c>
      <c r="I45" s="40">
        <f>I44</f>
        <v>4</v>
      </c>
      <c r="J45" s="40">
        <f>J44</f>
        <v>20</v>
      </c>
      <c r="K45" s="48">
        <f>K44</f>
        <v>3</v>
      </c>
      <c r="L45" s="40">
        <f t="shared" ref="L45:S45" si="72">L$9</f>
        <v>80</v>
      </c>
      <c r="M45" s="48">
        <f t="shared" si="72"/>
        <v>2.9</v>
      </c>
      <c r="N45" s="40">
        <f t="shared" si="72"/>
        <v>0</v>
      </c>
      <c r="O45" s="48">
        <f t="shared" si="72"/>
        <v>0</v>
      </c>
      <c r="P45" s="40">
        <f t="shared" si="72"/>
        <v>610</v>
      </c>
      <c r="Q45" s="48">
        <f t="shared" si="72"/>
        <v>2.5</v>
      </c>
      <c r="R45" s="40">
        <f t="shared" si="72"/>
        <v>520</v>
      </c>
      <c r="S45" s="48">
        <f t="shared" si="72"/>
        <v>2.5</v>
      </c>
      <c r="T45" s="40">
        <f t="shared" ref="T45:Z45" si="73">T44</f>
        <v>4</v>
      </c>
      <c r="U45" s="48">
        <f>U44</f>
        <v>9.6999999999999993</v>
      </c>
      <c r="V45" s="40">
        <f t="shared" si="73"/>
        <v>5</v>
      </c>
      <c r="W45" s="48">
        <f>W44</f>
        <v>14.4</v>
      </c>
      <c r="X45" s="40">
        <f t="shared" si="73"/>
        <v>2</v>
      </c>
      <c r="Y45" s="48">
        <f>Y44</f>
        <v>74.8</v>
      </c>
      <c r="Z45" s="40">
        <f t="shared" si="73"/>
        <v>1</v>
      </c>
      <c r="AA45" s="48">
        <f>AA44</f>
        <v>27.7</v>
      </c>
      <c r="AB45" s="40">
        <f t="shared" ref="AB45" si="74">AB44</f>
        <v>6</v>
      </c>
      <c r="AC45" s="48">
        <f>AC44</f>
        <v>7.4</v>
      </c>
      <c r="AD45" s="162"/>
      <c r="AE45" s="162">
        <f>AE44</f>
        <v>20</v>
      </c>
      <c r="AF45" s="162">
        <f>AF44</f>
        <v>3</v>
      </c>
    </row>
    <row r="46" spans="2:33" ht="15.75" customHeight="1">
      <c r="B46" s="21" t="s">
        <v>235</v>
      </c>
      <c r="C46" s="42" t="str">
        <f>C$8</f>
        <v>４歳以上児</v>
      </c>
      <c r="D46" s="22" t="s">
        <v>203</v>
      </c>
      <c r="E46" s="151" t="str">
        <f>E$8</f>
        <v>a</v>
      </c>
      <c r="F46" s="137" t="str">
        <f t="shared" si="0"/>
        <v>Ta</v>
      </c>
      <c r="G46" s="27">
        <v>230</v>
      </c>
      <c r="H46" s="43">
        <v>2.4</v>
      </c>
      <c r="I46" s="53">
        <v>3</v>
      </c>
      <c r="J46" s="53">
        <v>20</v>
      </c>
      <c r="K46" s="54">
        <v>2.7</v>
      </c>
      <c r="L46" s="152">
        <f t="shared" ref="L46:S46" si="75">L$8</f>
        <v>0</v>
      </c>
      <c r="M46" s="153">
        <f t="shared" si="75"/>
        <v>0</v>
      </c>
      <c r="N46" s="152">
        <f t="shared" si="75"/>
        <v>30</v>
      </c>
      <c r="O46" s="153">
        <f t="shared" si="75"/>
        <v>3.9</v>
      </c>
      <c r="P46" s="152">
        <f t="shared" si="75"/>
        <v>0</v>
      </c>
      <c r="Q46" s="153">
        <f t="shared" si="75"/>
        <v>0</v>
      </c>
      <c r="R46" s="152">
        <f t="shared" si="75"/>
        <v>0</v>
      </c>
      <c r="S46" s="153">
        <f t="shared" si="75"/>
        <v>0</v>
      </c>
      <c r="T46" s="53">
        <v>3</v>
      </c>
      <c r="U46" s="54">
        <v>11.3</v>
      </c>
      <c r="V46" s="53">
        <v>5</v>
      </c>
      <c r="W46" s="54">
        <v>12.6</v>
      </c>
      <c r="X46" s="53">
        <v>2</v>
      </c>
      <c r="Y46" s="54">
        <v>65.400000000000006</v>
      </c>
      <c r="Z46" s="53">
        <v>1</v>
      </c>
      <c r="AA46" s="54">
        <v>24.2</v>
      </c>
      <c r="AB46" s="53">
        <v>5</v>
      </c>
      <c r="AC46" s="54">
        <v>7.8</v>
      </c>
      <c r="AD46" s="162"/>
      <c r="AE46" s="162">
        <v>20</v>
      </c>
      <c r="AF46" s="162">
        <v>2.7</v>
      </c>
    </row>
    <row r="47" spans="2:33" ht="15.75" customHeight="1">
      <c r="B47" s="56"/>
      <c r="C47" s="47" t="str">
        <f>C$9</f>
        <v>３歳児</v>
      </c>
      <c r="D47" s="38" t="str">
        <f>D46</f>
        <v>T</v>
      </c>
      <c r="E47" s="41" t="str">
        <f>E$9</f>
        <v>b</v>
      </c>
      <c r="F47" s="143" t="str">
        <f t="shared" si="0"/>
        <v>Tb</v>
      </c>
      <c r="G47" s="35">
        <v>320</v>
      </c>
      <c r="H47" s="36">
        <v>2.5</v>
      </c>
      <c r="I47" s="40">
        <f>I46</f>
        <v>3</v>
      </c>
      <c r="J47" s="40">
        <f>J46</f>
        <v>20</v>
      </c>
      <c r="K47" s="48">
        <f>K46</f>
        <v>2.7</v>
      </c>
      <c r="L47" s="40">
        <f t="shared" ref="L47:S47" si="76">L$9</f>
        <v>80</v>
      </c>
      <c r="M47" s="48">
        <f t="shared" si="76"/>
        <v>2.9</v>
      </c>
      <c r="N47" s="40">
        <f t="shared" si="76"/>
        <v>0</v>
      </c>
      <c r="O47" s="48">
        <f t="shared" si="76"/>
        <v>0</v>
      </c>
      <c r="P47" s="40">
        <f t="shared" si="76"/>
        <v>610</v>
      </c>
      <c r="Q47" s="48">
        <f t="shared" si="76"/>
        <v>2.5</v>
      </c>
      <c r="R47" s="40">
        <f t="shared" si="76"/>
        <v>520</v>
      </c>
      <c r="S47" s="48">
        <f t="shared" si="76"/>
        <v>2.5</v>
      </c>
      <c r="T47" s="40">
        <f t="shared" ref="T47:Z47" si="77">T46</f>
        <v>3</v>
      </c>
      <c r="U47" s="48">
        <f>U46</f>
        <v>11.3</v>
      </c>
      <c r="V47" s="40">
        <f t="shared" si="77"/>
        <v>5</v>
      </c>
      <c r="W47" s="48">
        <f>W46</f>
        <v>12.6</v>
      </c>
      <c r="X47" s="40">
        <f t="shared" si="77"/>
        <v>2</v>
      </c>
      <c r="Y47" s="48">
        <f>Y46</f>
        <v>65.400000000000006</v>
      </c>
      <c r="Z47" s="40">
        <f t="shared" si="77"/>
        <v>1</v>
      </c>
      <c r="AA47" s="48">
        <f>AA46</f>
        <v>24.2</v>
      </c>
      <c r="AB47" s="40">
        <f t="shared" ref="AB47" si="78">AB46</f>
        <v>5</v>
      </c>
      <c r="AC47" s="48">
        <f>AC46</f>
        <v>7.8</v>
      </c>
      <c r="AD47" s="162"/>
      <c r="AE47" s="162">
        <f>AE46</f>
        <v>20</v>
      </c>
      <c r="AF47" s="162">
        <f>AF46</f>
        <v>2.7</v>
      </c>
    </row>
    <row r="48" spans="2:33" ht="15.75" customHeight="1">
      <c r="B48" s="21" t="s">
        <v>236</v>
      </c>
      <c r="C48" s="42" t="str">
        <f>C$8</f>
        <v>４歳以上児</v>
      </c>
      <c r="D48" s="154" t="s">
        <v>205</v>
      </c>
      <c r="E48" s="151" t="str">
        <f>E$8</f>
        <v>a</v>
      </c>
      <c r="F48" s="137" t="str">
        <f t="shared" si="0"/>
        <v>Ua</v>
      </c>
      <c r="G48" s="27">
        <v>230</v>
      </c>
      <c r="H48" s="43">
        <v>2.4</v>
      </c>
      <c r="I48" s="53">
        <v>3</v>
      </c>
      <c r="J48" s="53">
        <v>10</v>
      </c>
      <c r="K48" s="54">
        <v>4.7</v>
      </c>
      <c r="L48" s="152">
        <f t="shared" ref="L48:S48" si="79">L$8</f>
        <v>0</v>
      </c>
      <c r="M48" s="153">
        <f t="shared" si="79"/>
        <v>0</v>
      </c>
      <c r="N48" s="152">
        <f t="shared" si="79"/>
        <v>30</v>
      </c>
      <c r="O48" s="153">
        <f t="shared" si="79"/>
        <v>3.9</v>
      </c>
      <c r="P48" s="152">
        <f t="shared" si="79"/>
        <v>0</v>
      </c>
      <c r="Q48" s="153">
        <f t="shared" si="79"/>
        <v>0</v>
      </c>
      <c r="R48" s="152">
        <f t="shared" si="79"/>
        <v>0</v>
      </c>
      <c r="S48" s="153">
        <f t="shared" si="79"/>
        <v>0</v>
      </c>
      <c r="T48" s="53">
        <v>3</v>
      </c>
      <c r="U48" s="54">
        <v>10.1</v>
      </c>
      <c r="V48" s="53">
        <v>5</v>
      </c>
      <c r="W48" s="54">
        <v>11.2</v>
      </c>
      <c r="X48" s="53">
        <v>2</v>
      </c>
      <c r="Y48" s="54">
        <v>58.2</v>
      </c>
      <c r="Z48" s="53">
        <v>1</v>
      </c>
      <c r="AA48" s="54">
        <v>21.5</v>
      </c>
      <c r="AB48" s="53">
        <v>4</v>
      </c>
      <c r="AC48" s="54">
        <v>8.6</v>
      </c>
      <c r="AD48" s="162"/>
      <c r="AE48" s="162">
        <v>10</v>
      </c>
      <c r="AF48" s="162">
        <v>4.7</v>
      </c>
    </row>
    <row r="49" spans="2:32" ht="15.75" customHeight="1">
      <c r="B49" s="37"/>
      <c r="C49" s="47" t="str">
        <f>C$9</f>
        <v>３歳児</v>
      </c>
      <c r="D49" s="38" t="str">
        <f>D48</f>
        <v>U</v>
      </c>
      <c r="E49" s="41" t="str">
        <f>E$9</f>
        <v>b</v>
      </c>
      <c r="F49" s="143" t="str">
        <f t="shared" si="0"/>
        <v>Ub</v>
      </c>
      <c r="G49" s="35">
        <v>310</v>
      </c>
      <c r="H49" s="36">
        <v>2.5</v>
      </c>
      <c r="I49" s="40">
        <f>I48</f>
        <v>3</v>
      </c>
      <c r="J49" s="40">
        <f>J48</f>
        <v>10</v>
      </c>
      <c r="K49" s="48">
        <f>K48</f>
        <v>4.7</v>
      </c>
      <c r="L49" s="40">
        <f t="shared" ref="L49:S49" si="80">L$9</f>
        <v>80</v>
      </c>
      <c r="M49" s="48">
        <f t="shared" si="80"/>
        <v>2.9</v>
      </c>
      <c r="N49" s="40">
        <f t="shared" si="80"/>
        <v>0</v>
      </c>
      <c r="O49" s="48">
        <f t="shared" si="80"/>
        <v>0</v>
      </c>
      <c r="P49" s="40">
        <f t="shared" si="80"/>
        <v>610</v>
      </c>
      <c r="Q49" s="48">
        <f t="shared" si="80"/>
        <v>2.5</v>
      </c>
      <c r="R49" s="40">
        <f t="shared" si="80"/>
        <v>520</v>
      </c>
      <c r="S49" s="48">
        <f t="shared" si="80"/>
        <v>2.5</v>
      </c>
      <c r="T49" s="40">
        <f t="shared" ref="T49:Z49" si="81">T48</f>
        <v>3</v>
      </c>
      <c r="U49" s="48">
        <f>U48</f>
        <v>10.1</v>
      </c>
      <c r="V49" s="40">
        <f t="shared" si="81"/>
        <v>5</v>
      </c>
      <c r="W49" s="48">
        <f>W48</f>
        <v>11.2</v>
      </c>
      <c r="X49" s="40">
        <f t="shared" si="81"/>
        <v>2</v>
      </c>
      <c r="Y49" s="48">
        <f>Y48</f>
        <v>58.2</v>
      </c>
      <c r="Z49" s="40">
        <f t="shared" si="81"/>
        <v>1</v>
      </c>
      <c r="AA49" s="48">
        <f>AA48</f>
        <v>21.5</v>
      </c>
      <c r="AB49" s="40">
        <f t="shared" ref="AB49" si="82">AB48</f>
        <v>4</v>
      </c>
      <c r="AC49" s="48">
        <f>AC48</f>
        <v>8.6</v>
      </c>
      <c r="AD49" s="162"/>
      <c r="AE49" s="162">
        <f>AE48</f>
        <v>10</v>
      </c>
      <c r="AF49" s="162">
        <f>AF48</f>
        <v>4.7</v>
      </c>
    </row>
    <row r="50" spans="2:32" ht="15.75" customHeight="1">
      <c r="B50" s="21" t="s">
        <v>237</v>
      </c>
      <c r="C50" s="42" t="str">
        <f>C$8</f>
        <v>４歳以上児</v>
      </c>
      <c r="D50" s="22" t="s">
        <v>207</v>
      </c>
      <c r="E50" s="151" t="str">
        <f>E$8</f>
        <v>a</v>
      </c>
      <c r="F50" s="137" t="str">
        <f t="shared" si="0"/>
        <v>Va</v>
      </c>
      <c r="G50" s="27">
        <v>220</v>
      </c>
      <c r="H50" s="43">
        <v>2.4</v>
      </c>
      <c r="I50" s="53">
        <v>2</v>
      </c>
      <c r="J50" s="53">
        <v>10</v>
      </c>
      <c r="K50" s="54">
        <v>4.3</v>
      </c>
      <c r="L50" s="152">
        <f t="shared" ref="L50:S50" si="83">L$8</f>
        <v>0</v>
      </c>
      <c r="M50" s="153">
        <f t="shared" si="83"/>
        <v>0</v>
      </c>
      <c r="N50" s="152">
        <f t="shared" si="83"/>
        <v>30</v>
      </c>
      <c r="O50" s="153">
        <f t="shared" si="83"/>
        <v>3.9</v>
      </c>
      <c r="P50" s="152">
        <f t="shared" si="83"/>
        <v>0</v>
      </c>
      <c r="Q50" s="153">
        <f t="shared" si="83"/>
        <v>0</v>
      </c>
      <c r="R50" s="152">
        <f t="shared" si="83"/>
        <v>0</v>
      </c>
      <c r="S50" s="153">
        <f t="shared" si="83"/>
        <v>0</v>
      </c>
      <c r="T50" s="53">
        <v>3</v>
      </c>
      <c r="U50" s="54">
        <v>9</v>
      </c>
      <c r="V50" s="53">
        <v>5</v>
      </c>
      <c r="W50" s="54">
        <v>10.1</v>
      </c>
      <c r="X50" s="53">
        <v>2</v>
      </c>
      <c r="Y50" s="54">
        <v>52.3</v>
      </c>
      <c r="Z50" s="53">
        <v>1</v>
      </c>
      <c r="AA50" s="54">
        <v>19.399999999999999</v>
      </c>
      <c r="AB50" s="53">
        <v>4</v>
      </c>
      <c r="AC50" s="54">
        <v>7.8</v>
      </c>
      <c r="AD50" s="162"/>
      <c r="AE50" s="162">
        <v>10</v>
      </c>
      <c r="AF50" s="162">
        <v>4.3</v>
      </c>
    </row>
    <row r="51" spans="2:32" ht="15.75" customHeight="1">
      <c r="B51" s="56"/>
      <c r="C51" s="47" t="str">
        <f>C$9</f>
        <v>３歳児</v>
      </c>
      <c r="D51" s="38" t="str">
        <f>D50</f>
        <v>V</v>
      </c>
      <c r="E51" s="41" t="str">
        <f>E$9</f>
        <v>b</v>
      </c>
      <c r="F51" s="143" t="str">
        <f t="shared" si="0"/>
        <v>Vb</v>
      </c>
      <c r="G51" s="35">
        <v>310</v>
      </c>
      <c r="H51" s="36">
        <v>2.5</v>
      </c>
      <c r="I51" s="40">
        <f>I50</f>
        <v>2</v>
      </c>
      <c r="J51" s="40">
        <f>J50</f>
        <v>10</v>
      </c>
      <c r="K51" s="48">
        <f>K50</f>
        <v>4.3</v>
      </c>
      <c r="L51" s="40">
        <f t="shared" ref="L51:S51" si="84">L$9</f>
        <v>80</v>
      </c>
      <c r="M51" s="48">
        <f t="shared" si="84"/>
        <v>2.9</v>
      </c>
      <c r="N51" s="40">
        <f t="shared" si="84"/>
        <v>0</v>
      </c>
      <c r="O51" s="48">
        <f t="shared" si="84"/>
        <v>0</v>
      </c>
      <c r="P51" s="40">
        <f t="shared" si="84"/>
        <v>610</v>
      </c>
      <c r="Q51" s="48">
        <f t="shared" si="84"/>
        <v>2.5</v>
      </c>
      <c r="R51" s="40">
        <f t="shared" si="84"/>
        <v>520</v>
      </c>
      <c r="S51" s="48">
        <f t="shared" si="84"/>
        <v>2.5</v>
      </c>
      <c r="T51" s="40">
        <f t="shared" ref="T51:Z51" si="85">T50</f>
        <v>3</v>
      </c>
      <c r="U51" s="48">
        <f>U50</f>
        <v>9</v>
      </c>
      <c r="V51" s="40">
        <f t="shared" si="85"/>
        <v>5</v>
      </c>
      <c r="W51" s="48">
        <f>W50</f>
        <v>10.1</v>
      </c>
      <c r="X51" s="40">
        <f t="shared" si="85"/>
        <v>2</v>
      </c>
      <c r="Y51" s="48">
        <f>Y50</f>
        <v>52.3</v>
      </c>
      <c r="Z51" s="40">
        <f t="shared" si="85"/>
        <v>1</v>
      </c>
      <c r="AA51" s="48">
        <f>AA50</f>
        <v>19.399999999999999</v>
      </c>
      <c r="AB51" s="40">
        <f t="shared" ref="AB51" si="86">AB50</f>
        <v>4</v>
      </c>
      <c r="AC51" s="48">
        <f>AC50</f>
        <v>7.8</v>
      </c>
      <c r="AD51" s="162"/>
      <c r="AE51" s="162">
        <f>AE50</f>
        <v>10</v>
      </c>
      <c r="AF51" s="162">
        <f>AF50</f>
        <v>4.3</v>
      </c>
    </row>
    <row r="52" spans="2:32" ht="15.75" customHeight="1">
      <c r="B52" s="21" t="s">
        <v>238</v>
      </c>
      <c r="C52" s="42" t="str">
        <f>C$8</f>
        <v>４歳以上児</v>
      </c>
      <c r="D52" s="154" t="s">
        <v>209</v>
      </c>
      <c r="E52" s="151" t="str">
        <f>E$8</f>
        <v>a</v>
      </c>
      <c r="F52" s="137" t="str">
        <f t="shared" si="0"/>
        <v>Wa</v>
      </c>
      <c r="G52" s="27">
        <v>220</v>
      </c>
      <c r="H52" s="43">
        <v>2.4</v>
      </c>
      <c r="I52" s="53">
        <v>2</v>
      </c>
      <c r="J52" s="53">
        <v>0</v>
      </c>
      <c r="K52" s="54">
        <v>0</v>
      </c>
      <c r="L52" s="152">
        <f t="shared" ref="L52:S52" si="87">L$8</f>
        <v>0</v>
      </c>
      <c r="M52" s="153">
        <f t="shared" si="87"/>
        <v>0</v>
      </c>
      <c r="N52" s="152">
        <f t="shared" si="87"/>
        <v>30</v>
      </c>
      <c r="O52" s="153">
        <f t="shared" si="87"/>
        <v>3.9</v>
      </c>
      <c r="P52" s="152">
        <f t="shared" si="87"/>
        <v>0</v>
      </c>
      <c r="Q52" s="153">
        <f t="shared" si="87"/>
        <v>0</v>
      </c>
      <c r="R52" s="152">
        <f t="shared" si="87"/>
        <v>0</v>
      </c>
      <c r="S52" s="153">
        <f t="shared" si="87"/>
        <v>0</v>
      </c>
      <c r="T52" s="53">
        <v>2</v>
      </c>
      <c r="U52" s="54">
        <v>12.3</v>
      </c>
      <c r="V52" s="53">
        <v>5</v>
      </c>
      <c r="W52" s="54">
        <v>9.1999999999999993</v>
      </c>
      <c r="X52" s="53">
        <v>1</v>
      </c>
      <c r="Y52" s="54">
        <v>95.2</v>
      </c>
      <c r="Z52" s="53">
        <v>1</v>
      </c>
      <c r="AA52" s="54">
        <v>17.600000000000001</v>
      </c>
      <c r="AB52" s="53">
        <v>4</v>
      </c>
      <c r="AC52" s="54">
        <v>7</v>
      </c>
      <c r="AD52" s="162"/>
      <c r="AE52" s="162">
        <v>10</v>
      </c>
      <c r="AF52" s="162">
        <v>3.9</v>
      </c>
    </row>
    <row r="53" spans="2:32" ht="15.75" customHeight="1">
      <c r="B53" s="37"/>
      <c r="C53" s="47" t="str">
        <f>C$9</f>
        <v>３歳児</v>
      </c>
      <c r="D53" s="38" t="str">
        <f>D52</f>
        <v>W</v>
      </c>
      <c r="E53" s="41" t="str">
        <f>E$9</f>
        <v>b</v>
      </c>
      <c r="F53" s="161" t="str">
        <f t="shared" si="0"/>
        <v>Wb</v>
      </c>
      <c r="G53" s="57">
        <v>310</v>
      </c>
      <c r="H53" s="58">
        <v>2.4</v>
      </c>
      <c r="I53" s="59">
        <f>I52</f>
        <v>2</v>
      </c>
      <c r="J53" s="59">
        <f>J52</f>
        <v>0</v>
      </c>
      <c r="K53" s="60">
        <f>K52</f>
        <v>0</v>
      </c>
      <c r="L53" s="59">
        <f t="shared" ref="L53:S53" si="88">L$9</f>
        <v>80</v>
      </c>
      <c r="M53" s="60">
        <f t="shared" si="88"/>
        <v>2.9</v>
      </c>
      <c r="N53" s="59">
        <f t="shared" si="88"/>
        <v>0</v>
      </c>
      <c r="O53" s="60">
        <f t="shared" si="88"/>
        <v>0</v>
      </c>
      <c r="P53" s="59">
        <f t="shared" si="88"/>
        <v>610</v>
      </c>
      <c r="Q53" s="60">
        <f t="shared" si="88"/>
        <v>2.5</v>
      </c>
      <c r="R53" s="59">
        <f t="shared" si="88"/>
        <v>520</v>
      </c>
      <c r="S53" s="60">
        <f t="shared" si="88"/>
        <v>2.5</v>
      </c>
      <c r="T53" s="59">
        <f t="shared" ref="T53:Z53" si="89">T52</f>
        <v>2</v>
      </c>
      <c r="U53" s="60">
        <f>U52</f>
        <v>12.3</v>
      </c>
      <c r="V53" s="59">
        <f t="shared" si="89"/>
        <v>5</v>
      </c>
      <c r="W53" s="60">
        <f>W52</f>
        <v>9.1999999999999993</v>
      </c>
      <c r="X53" s="59">
        <f t="shared" si="89"/>
        <v>1</v>
      </c>
      <c r="Y53" s="60">
        <f>Y52</f>
        <v>95.2</v>
      </c>
      <c r="Z53" s="59">
        <f t="shared" si="89"/>
        <v>1</v>
      </c>
      <c r="AA53" s="60">
        <f>AA52</f>
        <v>17.600000000000001</v>
      </c>
      <c r="AB53" s="59">
        <f t="shared" ref="AB53" si="90">AB52</f>
        <v>4</v>
      </c>
      <c r="AC53" s="60">
        <f>AC52</f>
        <v>7</v>
      </c>
      <c r="AD53" s="162"/>
      <c r="AE53" s="162">
        <f>AE52</f>
        <v>10</v>
      </c>
      <c r="AF53" s="162">
        <f>AF52</f>
        <v>3.9</v>
      </c>
    </row>
    <row r="54" spans="2:32" ht="15.75" customHeight="1"/>
    <row r="55" spans="2:32" ht="15.75" customHeight="1"/>
    <row r="56" spans="2:32" ht="15.75" customHeight="1"/>
    <row r="57" spans="2:32" ht="15.75" customHeight="1"/>
    <row r="58" spans="2:32" ht="15.75" customHeight="1"/>
    <row r="59" spans="2:32" ht="15.75" customHeight="1"/>
    <row r="60" spans="2:32" ht="15.75" customHeight="1"/>
    <row r="61" spans="2:32" ht="15.75" customHeight="1"/>
    <row r="62" spans="2:32" ht="15.75" customHeight="1"/>
    <row r="63" spans="2:32" ht="15.75" customHeight="1"/>
    <row r="64" spans="2:3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sheetData>
  <sheetProtection algorithmName="SHA-512" hashValue="JSnDOoo2BPPxKmFEBoPYT6UQ2N3aXqR/924qqj/mtzdTrFVUrmjh8Di71uXlvGy4B9FZRoZhZs4nq7XBmgXwSA==" saltValue="Wtf05UJqlN2YCRgQv2tGhQ==" spinCount="100000" sheet="1" objects="1" scenarios="1"/>
  <phoneticPr fontId="4"/>
  <pageMargins left="0.70866141732283472" right="0.70866141732283472" top="0.74803149606299213" bottom="0.74803149606299213" header="0.31496062992125984" footer="0.31496062992125984"/>
  <pageSetup paperSize="9" scale="46"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54B60-FE7F-4E44-9822-E4B57172C83C}">
  <sheetPr>
    <pageSetUpPr fitToPage="1"/>
  </sheetPr>
  <dimension ref="A1:Q98"/>
  <sheetViews>
    <sheetView view="pageBreakPreview" zoomScaleNormal="100" zoomScaleSheetLayoutView="100" workbookViewId="0">
      <selection activeCell="B48" sqref="B48:C48"/>
    </sheetView>
  </sheetViews>
  <sheetFormatPr defaultColWidth="9" defaultRowHeight="18.75"/>
  <cols>
    <col min="1" max="1" width="2.375" style="180" customWidth="1"/>
    <col min="2" max="2" width="1.625" style="180" customWidth="1"/>
    <col min="3" max="3" width="14.125" style="180" customWidth="1"/>
    <col min="4" max="4" width="6.875" style="180" customWidth="1"/>
    <col min="5" max="16" width="6.625" style="180" customWidth="1"/>
    <col min="17" max="17" width="7.5" style="180" customWidth="1"/>
    <col min="18" max="16384" width="9" style="180"/>
  </cols>
  <sheetData>
    <row r="1" spans="1:17" ht="40.5" customHeight="1">
      <c r="A1" s="912" t="s">
        <v>349</v>
      </c>
      <c r="B1" s="912"/>
      <c r="C1" s="912"/>
      <c r="D1" s="912"/>
      <c r="E1" s="912"/>
      <c r="F1" s="912"/>
      <c r="G1" s="912"/>
      <c r="H1" s="912"/>
      <c r="I1" s="912"/>
      <c r="J1" s="912"/>
      <c r="K1" s="912"/>
      <c r="L1" s="912"/>
      <c r="M1" s="912"/>
      <c r="N1" s="912"/>
      <c r="O1" s="912"/>
      <c r="P1" s="912"/>
      <c r="Q1" s="912"/>
    </row>
    <row r="2" spans="1:17" ht="18" customHeight="1" thickBot="1">
      <c r="B2" s="181"/>
      <c r="C2" s="181"/>
    </row>
    <row r="3" spans="1:17" ht="18" customHeight="1" thickBot="1">
      <c r="B3" s="181"/>
      <c r="C3" s="181"/>
      <c r="H3" s="913" t="s">
        <v>332</v>
      </c>
      <c r="I3" s="914"/>
      <c r="J3" s="914"/>
      <c r="K3" s="914"/>
      <c r="L3" s="915"/>
      <c r="M3" s="916">
        <f>'0_基本情報'!$D$4</f>
        <v>0</v>
      </c>
      <c r="N3" s="917"/>
      <c r="O3" s="917"/>
      <c r="P3" s="917"/>
      <c r="Q3" s="918"/>
    </row>
    <row r="4" spans="1:17" ht="18" customHeight="1">
      <c r="B4" s="181"/>
      <c r="C4" s="181"/>
      <c r="H4" s="182"/>
      <c r="I4" s="182"/>
      <c r="J4" s="182"/>
      <c r="K4" s="182"/>
      <c r="L4" s="182"/>
      <c r="M4" s="182"/>
      <c r="N4" s="182"/>
      <c r="O4" s="182"/>
      <c r="P4" s="182"/>
      <c r="Q4" s="182"/>
    </row>
    <row r="5" spans="1:17" ht="18" customHeight="1">
      <c r="B5" s="180" t="s">
        <v>352</v>
      </c>
      <c r="H5" s="182"/>
      <c r="I5" s="182"/>
      <c r="J5" s="182"/>
      <c r="K5" s="182"/>
      <c r="L5" s="182"/>
      <c r="M5" s="182"/>
      <c r="N5" s="182"/>
      <c r="O5" s="182"/>
      <c r="P5" s="182"/>
      <c r="Q5" s="182"/>
    </row>
    <row r="6" spans="1:17" ht="18" customHeight="1">
      <c r="B6" s="180" t="s">
        <v>333</v>
      </c>
      <c r="H6" s="182"/>
      <c r="I6" s="182"/>
      <c r="J6" s="182"/>
      <c r="K6" s="182"/>
      <c r="L6" s="182"/>
      <c r="M6" s="182"/>
      <c r="N6" s="182"/>
      <c r="O6" s="182"/>
      <c r="P6" s="182"/>
      <c r="Q6" s="182"/>
    </row>
    <row r="7" spans="1:17" ht="18" customHeight="1">
      <c r="B7" s="180" t="s">
        <v>334</v>
      </c>
      <c r="C7" s="183"/>
      <c r="H7" s="182"/>
      <c r="I7" s="182"/>
      <c r="J7" s="182"/>
      <c r="K7" s="182"/>
      <c r="L7" s="182"/>
      <c r="M7" s="182"/>
      <c r="N7" s="182"/>
      <c r="O7" s="182"/>
      <c r="P7" s="182"/>
      <c r="Q7" s="182"/>
    </row>
    <row r="8" spans="1:17" ht="18" customHeight="1">
      <c r="B8" s="183"/>
      <c r="C8" s="183"/>
      <c r="H8" s="182"/>
      <c r="I8" s="182"/>
      <c r="J8" s="182"/>
      <c r="K8" s="182"/>
      <c r="L8" s="182"/>
      <c r="M8" s="182"/>
      <c r="N8" s="182"/>
      <c r="O8" s="182"/>
      <c r="P8" s="182"/>
      <c r="Q8" s="182"/>
    </row>
    <row r="9" spans="1:17" ht="18" customHeight="1" thickBot="1">
      <c r="A9" s="184" t="s">
        <v>867</v>
      </c>
    </row>
    <row r="10" spans="1:17" ht="17.25" customHeight="1">
      <c r="B10" s="919" t="s">
        <v>343</v>
      </c>
      <c r="C10" s="920"/>
      <c r="D10" s="920"/>
      <c r="E10" s="185">
        <v>4</v>
      </c>
      <c r="F10" s="186">
        <v>5</v>
      </c>
      <c r="G10" s="186">
        <v>6</v>
      </c>
      <c r="H10" s="186">
        <v>7</v>
      </c>
      <c r="I10" s="186">
        <v>8</v>
      </c>
      <c r="J10" s="186">
        <v>9</v>
      </c>
      <c r="K10" s="186">
        <v>10</v>
      </c>
      <c r="L10" s="186">
        <v>11</v>
      </c>
      <c r="M10" s="186">
        <v>12</v>
      </c>
      <c r="N10" s="186">
        <v>1</v>
      </c>
      <c r="O10" s="186">
        <v>2</v>
      </c>
      <c r="P10" s="187">
        <v>3</v>
      </c>
      <c r="Q10" s="923" t="s">
        <v>335</v>
      </c>
    </row>
    <row r="11" spans="1:17" ht="17.25" customHeight="1">
      <c r="B11" s="921"/>
      <c r="C11" s="922"/>
      <c r="D11" s="922"/>
      <c r="E11" s="925" t="s">
        <v>336</v>
      </c>
      <c r="F11" s="926"/>
      <c r="G11" s="926"/>
      <c r="H11" s="926"/>
      <c r="I11" s="926"/>
      <c r="J11" s="926"/>
      <c r="K11" s="926"/>
      <c r="L11" s="926"/>
      <c r="M11" s="926"/>
      <c r="N11" s="926"/>
      <c r="O11" s="926"/>
      <c r="P11" s="927"/>
      <c r="Q11" s="924"/>
    </row>
    <row r="12" spans="1:17" ht="17.25" customHeight="1">
      <c r="B12" s="904" t="s">
        <v>353</v>
      </c>
      <c r="C12" s="908"/>
      <c r="D12" s="188" t="s">
        <v>337</v>
      </c>
      <c r="E12" s="171"/>
      <c r="F12" s="172"/>
      <c r="G12" s="172"/>
      <c r="H12" s="172"/>
      <c r="I12" s="172"/>
      <c r="J12" s="172"/>
      <c r="K12" s="172"/>
      <c r="L12" s="172"/>
      <c r="M12" s="172"/>
      <c r="N12" s="172"/>
      <c r="O12" s="172"/>
      <c r="P12" s="173"/>
      <c r="Q12" s="189">
        <f>ROUND(SUM(E12:P12)/12,0)</f>
        <v>0</v>
      </c>
    </row>
    <row r="13" spans="1:17" ht="17.25" customHeight="1">
      <c r="B13" s="909"/>
      <c r="C13" s="910"/>
      <c r="D13" s="190" t="s">
        <v>338</v>
      </c>
      <c r="E13" s="191"/>
      <c r="F13" s="192" t="str">
        <f>IFERROR(F12/$E12,"")</f>
        <v/>
      </c>
      <c r="G13" s="192" t="str">
        <f t="shared" ref="G13:P13" si="0">IFERROR(G12/$E12,"")</f>
        <v/>
      </c>
      <c r="H13" s="192" t="str">
        <f t="shared" si="0"/>
        <v/>
      </c>
      <c r="I13" s="192" t="str">
        <f t="shared" si="0"/>
        <v/>
      </c>
      <c r="J13" s="192" t="str">
        <f t="shared" si="0"/>
        <v/>
      </c>
      <c r="K13" s="192" t="str">
        <f t="shared" si="0"/>
        <v/>
      </c>
      <c r="L13" s="192" t="str">
        <f t="shared" si="0"/>
        <v/>
      </c>
      <c r="M13" s="192" t="str">
        <f t="shared" si="0"/>
        <v/>
      </c>
      <c r="N13" s="192" t="str">
        <f t="shared" si="0"/>
        <v/>
      </c>
      <c r="O13" s="192" t="str">
        <f t="shared" si="0"/>
        <v/>
      </c>
      <c r="P13" s="193" t="str">
        <f t="shared" si="0"/>
        <v/>
      </c>
      <c r="Q13" s="194" t="s">
        <v>339</v>
      </c>
    </row>
    <row r="14" spans="1:17" ht="17.25" customHeight="1">
      <c r="B14" s="904" t="s">
        <v>354</v>
      </c>
      <c r="C14" s="908"/>
      <c r="D14" s="188" t="s">
        <v>337</v>
      </c>
      <c r="E14" s="171"/>
      <c r="F14" s="172"/>
      <c r="G14" s="172"/>
      <c r="H14" s="172"/>
      <c r="I14" s="172"/>
      <c r="J14" s="172"/>
      <c r="K14" s="172"/>
      <c r="L14" s="172"/>
      <c r="M14" s="172"/>
      <c r="N14" s="172"/>
      <c r="O14" s="172"/>
      <c r="P14" s="173"/>
      <c r="Q14" s="189">
        <f>ROUND(SUM(E14:P14)/12,0)</f>
        <v>0</v>
      </c>
    </row>
    <row r="15" spans="1:17" ht="17.25" customHeight="1">
      <c r="B15" s="909"/>
      <c r="C15" s="910"/>
      <c r="D15" s="190" t="s">
        <v>338</v>
      </c>
      <c r="E15" s="191"/>
      <c r="F15" s="192" t="str">
        <f>IFERROR(F14/$E14,"")</f>
        <v/>
      </c>
      <c r="G15" s="192" t="str">
        <f t="shared" ref="G15" si="1">IFERROR(G14/$E14,"")</f>
        <v/>
      </c>
      <c r="H15" s="192" t="str">
        <f t="shared" ref="H15" si="2">IFERROR(H14/$E14,"")</f>
        <v/>
      </c>
      <c r="I15" s="192" t="str">
        <f t="shared" ref="I15" si="3">IFERROR(I14/$E14,"")</f>
        <v/>
      </c>
      <c r="J15" s="192" t="str">
        <f t="shared" ref="J15" si="4">IFERROR(J14/$E14,"")</f>
        <v/>
      </c>
      <c r="K15" s="192" t="str">
        <f t="shared" ref="K15" si="5">IFERROR(K14/$E14,"")</f>
        <v/>
      </c>
      <c r="L15" s="192" t="str">
        <f t="shared" ref="L15" si="6">IFERROR(L14/$E14,"")</f>
        <v/>
      </c>
      <c r="M15" s="192" t="str">
        <f t="shared" ref="M15" si="7">IFERROR(M14/$E14,"")</f>
        <v/>
      </c>
      <c r="N15" s="192" t="str">
        <f t="shared" ref="N15" si="8">IFERROR(N14/$E14,"")</f>
        <v/>
      </c>
      <c r="O15" s="192" t="str">
        <f t="shared" ref="O15" si="9">IFERROR(O14/$E14,"")</f>
        <v/>
      </c>
      <c r="P15" s="193" t="str">
        <f t="shared" ref="P15" si="10">IFERROR(P14/$E14,"")</f>
        <v/>
      </c>
      <c r="Q15" s="194" t="s">
        <v>339</v>
      </c>
    </row>
    <row r="16" spans="1:17" ht="17.25" customHeight="1">
      <c r="B16" s="899" t="s">
        <v>340</v>
      </c>
      <c r="C16" s="900"/>
      <c r="D16" s="188" t="s">
        <v>337</v>
      </c>
      <c r="E16" s="171"/>
      <c r="F16" s="172"/>
      <c r="G16" s="172"/>
      <c r="H16" s="172"/>
      <c r="I16" s="172"/>
      <c r="J16" s="172"/>
      <c r="K16" s="172"/>
      <c r="L16" s="172"/>
      <c r="M16" s="172"/>
      <c r="N16" s="172"/>
      <c r="O16" s="172"/>
      <c r="P16" s="173"/>
      <c r="Q16" s="189">
        <f>ROUND(SUM(E16:P16)/12,0)</f>
        <v>0</v>
      </c>
    </row>
    <row r="17" spans="1:17" ht="17.25" customHeight="1">
      <c r="B17" s="899"/>
      <c r="C17" s="900"/>
      <c r="D17" s="190" t="s">
        <v>338</v>
      </c>
      <c r="E17" s="191"/>
      <c r="F17" s="192" t="str">
        <f>IFERROR(F16/$E16,"")</f>
        <v/>
      </c>
      <c r="G17" s="192" t="str">
        <f t="shared" ref="G17" si="11">IFERROR(G16/$E16,"")</f>
        <v/>
      </c>
      <c r="H17" s="192" t="str">
        <f t="shared" ref="H17" si="12">IFERROR(H16/$E16,"")</f>
        <v/>
      </c>
      <c r="I17" s="192" t="str">
        <f t="shared" ref="I17" si="13">IFERROR(I16/$E16,"")</f>
        <v/>
      </c>
      <c r="J17" s="192" t="str">
        <f t="shared" ref="J17" si="14">IFERROR(J16/$E16,"")</f>
        <v/>
      </c>
      <c r="K17" s="192" t="str">
        <f t="shared" ref="K17" si="15">IFERROR(K16/$E16,"")</f>
        <v/>
      </c>
      <c r="L17" s="192" t="str">
        <f t="shared" ref="L17" si="16">IFERROR(L16/$E16,"")</f>
        <v/>
      </c>
      <c r="M17" s="192" t="str">
        <f t="shared" ref="M17" si="17">IFERROR(M16/$E16,"")</f>
        <v/>
      </c>
      <c r="N17" s="192" t="str">
        <f t="shared" ref="N17" si="18">IFERROR(N16/$E16,"")</f>
        <v/>
      </c>
      <c r="O17" s="192" t="str">
        <f t="shared" ref="O17" si="19">IFERROR(O16/$E16,"")</f>
        <v/>
      </c>
      <c r="P17" s="193" t="str">
        <f t="shared" ref="P17" si="20">IFERROR(P16/$E16,"")</f>
        <v/>
      </c>
      <c r="Q17" s="194"/>
    </row>
    <row r="18" spans="1:17" ht="17.25" customHeight="1">
      <c r="B18" s="928"/>
      <c r="C18" s="930" t="s">
        <v>350</v>
      </c>
      <c r="D18" s="188" t="s">
        <v>337</v>
      </c>
      <c r="E18" s="171"/>
      <c r="F18" s="172"/>
      <c r="G18" s="172"/>
      <c r="H18" s="172"/>
      <c r="I18" s="172"/>
      <c r="J18" s="172"/>
      <c r="K18" s="172"/>
      <c r="L18" s="172"/>
      <c r="M18" s="172"/>
      <c r="N18" s="172"/>
      <c r="O18" s="172"/>
      <c r="P18" s="173"/>
      <c r="Q18" s="189">
        <f>ROUND(SUM(E18:P18)/12,0)</f>
        <v>0</v>
      </c>
    </row>
    <row r="19" spans="1:17" ht="17.25" customHeight="1">
      <c r="B19" s="929"/>
      <c r="C19" s="931"/>
      <c r="D19" s="190" t="s">
        <v>338</v>
      </c>
      <c r="E19" s="191"/>
      <c r="F19" s="192" t="str">
        <f>IFERROR(F18/$E18,"")</f>
        <v/>
      </c>
      <c r="G19" s="192" t="str">
        <f t="shared" ref="G19" si="21">IFERROR(G18/$E18,"")</f>
        <v/>
      </c>
      <c r="H19" s="192" t="str">
        <f t="shared" ref="H19" si="22">IFERROR(H18/$E18,"")</f>
        <v/>
      </c>
      <c r="I19" s="192" t="str">
        <f t="shared" ref="I19" si="23">IFERROR(I18/$E18,"")</f>
        <v/>
      </c>
      <c r="J19" s="192" t="str">
        <f t="shared" ref="J19" si="24">IFERROR(J18/$E18,"")</f>
        <v/>
      </c>
      <c r="K19" s="192" t="str">
        <f t="shared" ref="K19" si="25">IFERROR(K18/$E18,"")</f>
        <v/>
      </c>
      <c r="L19" s="192" t="str">
        <f t="shared" ref="L19" si="26">IFERROR(L18/$E18,"")</f>
        <v/>
      </c>
      <c r="M19" s="192" t="str">
        <f t="shared" ref="M19" si="27">IFERROR(M18/$E18,"")</f>
        <v/>
      </c>
      <c r="N19" s="192" t="str">
        <f t="shared" ref="N19" si="28">IFERROR(N18/$E18,"")</f>
        <v/>
      </c>
      <c r="O19" s="192" t="str">
        <f t="shared" ref="O19" si="29">IFERROR(O18/$E18,"")</f>
        <v/>
      </c>
      <c r="P19" s="193" t="str">
        <f t="shared" ref="P19" si="30">IFERROR(P18/$E18,"")</f>
        <v/>
      </c>
      <c r="Q19" s="194"/>
    </row>
    <row r="20" spans="1:17" ht="17.25" customHeight="1">
      <c r="B20" s="904" t="s">
        <v>351</v>
      </c>
      <c r="C20" s="908"/>
      <c r="D20" s="188" t="s">
        <v>337</v>
      </c>
      <c r="E20" s="171"/>
      <c r="F20" s="172"/>
      <c r="G20" s="172"/>
      <c r="H20" s="172"/>
      <c r="I20" s="172"/>
      <c r="J20" s="172"/>
      <c r="K20" s="172"/>
      <c r="L20" s="172"/>
      <c r="M20" s="172"/>
      <c r="N20" s="172"/>
      <c r="O20" s="172"/>
      <c r="P20" s="173"/>
      <c r="Q20" s="189">
        <f>ROUND(SUM(E20:P20)/12,0)</f>
        <v>0</v>
      </c>
    </row>
    <row r="21" spans="1:17" ht="17.25" customHeight="1">
      <c r="B21" s="909"/>
      <c r="C21" s="911"/>
      <c r="D21" s="190" t="s">
        <v>338</v>
      </c>
      <c r="E21" s="191"/>
      <c r="F21" s="192" t="str">
        <f>IFERROR(F20/$E20,"")</f>
        <v/>
      </c>
      <c r="G21" s="192" t="str">
        <f t="shared" ref="G21" si="31">IFERROR(G20/$E20,"")</f>
        <v/>
      </c>
      <c r="H21" s="192" t="str">
        <f t="shared" ref="H21" si="32">IFERROR(H20/$E20,"")</f>
        <v/>
      </c>
      <c r="I21" s="192" t="str">
        <f t="shared" ref="I21" si="33">IFERROR(I20/$E20,"")</f>
        <v/>
      </c>
      <c r="J21" s="192" t="str">
        <f t="shared" ref="J21" si="34">IFERROR(J20/$E20,"")</f>
        <v/>
      </c>
      <c r="K21" s="192" t="str">
        <f t="shared" ref="K21" si="35">IFERROR(K20/$E20,"")</f>
        <v/>
      </c>
      <c r="L21" s="192" t="str">
        <f t="shared" ref="L21" si="36">IFERROR(L20/$E20,"")</f>
        <v/>
      </c>
      <c r="M21" s="192" t="str">
        <f t="shared" ref="M21" si="37">IFERROR(M20/$E20,"")</f>
        <v/>
      </c>
      <c r="N21" s="192" t="str">
        <f t="shared" ref="N21" si="38">IFERROR(N20/$E20,"")</f>
        <v/>
      </c>
      <c r="O21" s="192" t="str">
        <f t="shared" ref="O21" si="39">IFERROR(O20/$E20,"")</f>
        <v/>
      </c>
      <c r="P21" s="193" t="str">
        <f t="shared" ref="P21" si="40">IFERROR(P20/$E20,"")</f>
        <v/>
      </c>
      <c r="Q21" s="194"/>
    </row>
    <row r="22" spans="1:17" ht="17.25" customHeight="1">
      <c r="B22" s="904" t="s">
        <v>355</v>
      </c>
      <c r="C22" s="908"/>
      <c r="D22" s="188" t="s">
        <v>337</v>
      </c>
      <c r="E22" s="171"/>
      <c r="F22" s="172"/>
      <c r="G22" s="172"/>
      <c r="H22" s="172"/>
      <c r="I22" s="172"/>
      <c r="J22" s="172"/>
      <c r="K22" s="172"/>
      <c r="L22" s="172"/>
      <c r="M22" s="172"/>
      <c r="N22" s="172"/>
      <c r="O22" s="172"/>
      <c r="P22" s="173"/>
      <c r="Q22" s="189">
        <f>ROUND(SUM(E22:P22)/12,0)</f>
        <v>0</v>
      </c>
    </row>
    <row r="23" spans="1:17" ht="17.25" customHeight="1">
      <c r="B23" s="909"/>
      <c r="C23" s="911"/>
      <c r="D23" s="190" t="s">
        <v>338</v>
      </c>
      <c r="E23" s="191"/>
      <c r="F23" s="192" t="str">
        <f>IFERROR(F22/$E22,"")</f>
        <v/>
      </c>
      <c r="G23" s="192" t="str">
        <f t="shared" ref="G23" si="41">IFERROR(G22/$E22,"")</f>
        <v/>
      </c>
      <c r="H23" s="192" t="str">
        <f t="shared" ref="H23" si="42">IFERROR(H22/$E22,"")</f>
        <v/>
      </c>
      <c r="I23" s="192" t="str">
        <f t="shared" ref="I23" si="43">IFERROR(I22/$E22,"")</f>
        <v/>
      </c>
      <c r="J23" s="192" t="str">
        <f t="shared" ref="J23" si="44">IFERROR(J22/$E22,"")</f>
        <v/>
      </c>
      <c r="K23" s="192" t="str">
        <f t="shared" ref="K23" si="45">IFERROR(K22/$E22,"")</f>
        <v/>
      </c>
      <c r="L23" s="192" t="str">
        <f t="shared" ref="L23" si="46">IFERROR(L22/$E22,"")</f>
        <v/>
      </c>
      <c r="M23" s="192" t="str">
        <f t="shared" ref="M23" si="47">IFERROR(M22/$E22,"")</f>
        <v/>
      </c>
      <c r="N23" s="192" t="str">
        <f t="shared" ref="N23" si="48">IFERROR(N22/$E22,"")</f>
        <v/>
      </c>
      <c r="O23" s="192" t="str">
        <f t="shared" ref="O23" si="49">IFERROR(O22/$E22,"")</f>
        <v/>
      </c>
      <c r="P23" s="193" t="str">
        <f t="shared" ref="P23" si="50">IFERROR(P22/$E22,"")</f>
        <v/>
      </c>
      <c r="Q23" s="194"/>
    </row>
    <row r="24" spans="1:17" ht="17.25" customHeight="1">
      <c r="B24" s="904" t="s">
        <v>341</v>
      </c>
      <c r="C24" s="905"/>
      <c r="D24" s="188" t="s">
        <v>337</v>
      </c>
      <c r="E24" s="171"/>
      <c r="F24" s="172"/>
      <c r="G24" s="172"/>
      <c r="H24" s="172"/>
      <c r="I24" s="172"/>
      <c r="J24" s="172"/>
      <c r="K24" s="172"/>
      <c r="L24" s="172"/>
      <c r="M24" s="172"/>
      <c r="N24" s="172"/>
      <c r="O24" s="172"/>
      <c r="P24" s="173"/>
      <c r="Q24" s="189">
        <f>ROUND(SUM(E24:P24)/12,0)</f>
        <v>0</v>
      </c>
    </row>
    <row r="25" spans="1:17" ht="17.25" customHeight="1" thickBot="1">
      <c r="B25" s="906"/>
      <c r="C25" s="907"/>
      <c r="D25" s="195" t="s">
        <v>338</v>
      </c>
      <c r="E25" s="196"/>
      <c r="F25" s="197" t="str">
        <f>IFERROR(F24/$E24,"")</f>
        <v/>
      </c>
      <c r="G25" s="197" t="str">
        <f t="shared" ref="G25" si="51">IFERROR(G24/$E24,"")</f>
        <v/>
      </c>
      <c r="H25" s="197" t="str">
        <f t="shared" ref="H25" si="52">IFERROR(H24/$E24,"")</f>
        <v/>
      </c>
      <c r="I25" s="197" t="str">
        <f t="shared" ref="I25" si="53">IFERROR(I24/$E24,"")</f>
        <v/>
      </c>
      <c r="J25" s="197" t="str">
        <f t="shared" ref="J25" si="54">IFERROR(J24/$E24,"")</f>
        <v/>
      </c>
      <c r="K25" s="197" t="str">
        <f t="shared" ref="K25" si="55">IFERROR(K24/$E24,"")</f>
        <v/>
      </c>
      <c r="L25" s="197" t="str">
        <f t="shared" ref="L25" si="56">IFERROR(L24/$E24,"")</f>
        <v/>
      </c>
      <c r="M25" s="197" t="str">
        <f t="shared" ref="M25" si="57">IFERROR(M24/$E24,"")</f>
        <v/>
      </c>
      <c r="N25" s="197" t="str">
        <f t="shared" ref="N25" si="58">IFERROR(N24/$E24,"")</f>
        <v/>
      </c>
      <c r="O25" s="197" t="str">
        <f t="shared" ref="O25" si="59">IFERROR(O24/$E24,"")</f>
        <v/>
      </c>
      <c r="P25" s="198" t="str">
        <f t="shared" ref="P25" si="60">IFERROR(P24/$E24,"")</f>
        <v/>
      </c>
      <c r="Q25" s="199"/>
    </row>
    <row r="26" spans="1:17" ht="17.25" customHeight="1" thickTop="1" thickBot="1">
      <c r="B26" s="901" t="s">
        <v>342</v>
      </c>
      <c r="C26" s="902"/>
      <c r="D26" s="200"/>
      <c r="E26" s="201">
        <f>SUM(E12,E14,E16,E20,E22,E24)</f>
        <v>0</v>
      </c>
      <c r="F26" s="202">
        <f t="shared" ref="F26:P26" si="61">SUM(F12,F14,F16,F20,F22,F24)</f>
        <v>0</v>
      </c>
      <c r="G26" s="202">
        <f t="shared" si="61"/>
        <v>0</v>
      </c>
      <c r="H26" s="202">
        <f t="shared" si="61"/>
        <v>0</v>
      </c>
      <c r="I26" s="202">
        <f t="shared" si="61"/>
        <v>0</v>
      </c>
      <c r="J26" s="202">
        <f t="shared" si="61"/>
        <v>0</v>
      </c>
      <c r="K26" s="202">
        <f t="shared" si="61"/>
        <v>0</v>
      </c>
      <c r="L26" s="202">
        <f t="shared" si="61"/>
        <v>0</v>
      </c>
      <c r="M26" s="202">
        <f t="shared" si="61"/>
        <v>0</v>
      </c>
      <c r="N26" s="202">
        <f t="shared" si="61"/>
        <v>0</v>
      </c>
      <c r="O26" s="202">
        <f t="shared" si="61"/>
        <v>0</v>
      </c>
      <c r="P26" s="202">
        <f t="shared" si="61"/>
        <v>0</v>
      </c>
      <c r="Q26" s="203">
        <f>SUM(Q12,Q14,Q16,Q20,Q22,Q24)</f>
        <v>0</v>
      </c>
    </row>
    <row r="27" spans="1:17" ht="17.25" customHeight="1">
      <c r="B27" s="182"/>
      <c r="C27" s="182"/>
      <c r="D27" s="182"/>
      <c r="F27" s="204"/>
      <c r="G27" s="204"/>
      <c r="H27" s="204"/>
      <c r="I27" s="204"/>
      <c r="J27" s="204"/>
      <c r="K27" s="204"/>
      <c r="L27" s="204"/>
      <c r="M27" s="204"/>
      <c r="N27" s="204"/>
      <c r="O27" s="204"/>
      <c r="P27" s="204"/>
      <c r="Q27" s="205"/>
    </row>
    <row r="28" spans="1:17" ht="17.25" customHeight="1">
      <c r="B28" s="182"/>
      <c r="C28" s="182"/>
      <c r="D28" s="182"/>
      <c r="F28" s="204"/>
      <c r="G28" s="204"/>
      <c r="H28" s="204"/>
      <c r="I28" s="204"/>
      <c r="J28" s="204"/>
      <c r="K28" s="204"/>
      <c r="L28" s="204"/>
      <c r="M28" s="204"/>
      <c r="N28" s="204"/>
      <c r="O28" s="204"/>
      <c r="P28" s="204"/>
    </row>
    <row r="29" spans="1:17" ht="17.25" customHeight="1" thickBot="1">
      <c r="A29" s="184" t="s">
        <v>868</v>
      </c>
      <c r="E29" s="206"/>
    </row>
    <row r="30" spans="1:17" ht="17.25" customHeight="1">
      <c r="B30" s="885" t="s">
        <v>869</v>
      </c>
      <c r="C30" s="886"/>
      <c r="D30" s="887"/>
      <c r="E30" s="185">
        <v>4</v>
      </c>
      <c r="F30" s="207">
        <v>5</v>
      </c>
      <c r="G30" s="207">
        <v>6</v>
      </c>
      <c r="H30" s="187">
        <v>7</v>
      </c>
      <c r="I30" s="186">
        <v>8</v>
      </c>
      <c r="J30" s="186">
        <v>9</v>
      </c>
      <c r="K30" s="208">
        <v>10</v>
      </c>
      <c r="L30" s="186">
        <v>11</v>
      </c>
      <c r="M30" s="186">
        <v>12</v>
      </c>
      <c r="N30" s="186">
        <v>1</v>
      </c>
      <c r="O30" s="186">
        <v>2</v>
      </c>
      <c r="P30" s="187">
        <v>3</v>
      </c>
      <c r="Q30" s="891" t="s">
        <v>335</v>
      </c>
    </row>
    <row r="31" spans="1:17" ht="17.25" customHeight="1">
      <c r="B31" s="888"/>
      <c r="C31" s="889"/>
      <c r="D31" s="890"/>
      <c r="E31" s="893" t="s">
        <v>336</v>
      </c>
      <c r="F31" s="894"/>
      <c r="G31" s="894"/>
      <c r="H31" s="895"/>
      <c r="I31" s="896" t="s">
        <v>356</v>
      </c>
      <c r="J31" s="897"/>
      <c r="K31" s="897"/>
      <c r="L31" s="897"/>
      <c r="M31" s="897"/>
      <c r="N31" s="897"/>
      <c r="O31" s="897"/>
      <c r="P31" s="898"/>
      <c r="Q31" s="892"/>
    </row>
    <row r="32" spans="1:17" ht="18" customHeight="1">
      <c r="B32" s="879" t="str">
        <f>$B$12</f>
        <v>５歳児</v>
      </c>
      <c r="C32" s="880"/>
      <c r="D32" s="209" t="s">
        <v>337</v>
      </c>
      <c r="E32" s="441"/>
      <c r="F32" s="174"/>
      <c r="G32" s="174"/>
      <c r="H32" s="175"/>
      <c r="I32" s="243" t="str">
        <f t="shared" ref="I32:P32" si="62">IFERROR($E$32*I13,"")</f>
        <v/>
      </c>
      <c r="J32" s="243" t="str">
        <f t="shared" si="62"/>
        <v/>
      </c>
      <c r="K32" s="243" t="str">
        <f t="shared" si="62"/>
        <v/>
      </c>
      <c r="L32" s="243" t="str">
        <f t="shared" si="62"/>
        <v/>
      </c>
      <c r="M32" s="243" t="str">
        <f t="shared" si="62"/>
        <v/>
      </c>
      <c r="N32" s="243" t="str">
        <f t="shared" si="62"/>
        <v/>
      </c>
      <c r="O32" s="243" t="str">
        <f t="shared" si="62"/>
        <v/>
      </c>
      <c r="P32" s="244" t="str">
        <f t="shared" si="62"/>
        <v/>
      </c>
      <c r="Q32" s="210">
        <f t="shared" ref="Q32:Q38" si="63">ROUND(SUM(E32:P32)/12,0)</f>
        <v>0</v>
      </c>
    </row>
    <row r="33" spans="1:17" ht="18" customHeight="1">
      <c r="B33" s="879" t="str">
        <f>$B$14</f>
        <v>４歳児</v>
      </c>
      <c r="C33" s="880"/>
      <c r="D33" s="209" t="s">
        <v>337</v>
      </c>
      <c r="E33" s="441"/>
      <c r="F33" s="174"/>
      <c r="G33" s="174"/>
      <c r="H33" s="175"/>
      <c r="I33" s="243" t="str">
        <f>IFERROR($E$33*I15,"")</f>
        <v/>
      </c>
      <c r="J33" s="243" t="str">
        <f t="shared" ref="J33:P33" si="64">IFERROR($E$33*J15,"")</f>
        <v/>
      </c>
      <c r="K33" s="243" t="str">
        <f t="shared" si="64"/>
        <v/>
      </c>
      <c r="L33" s="243" t="str">
        <f t="shared" si="64"/>
        <v/>
      </c>
      <c r="M33" s="243" t="str">
        <f t="shared" si="64"/>
        <v/>
      </c>
      <c r="N33" s="243" t="str">
        <f t="shared" si="64"/>
        <v/>
      </c>
      <c r="O33" s="243" t="str">
        <f t="shared" si="64"/>
        <v/>
      </c>
      <c r="P33" s="244" t="str">
        <f t="shared" si="64"/>
        <v/>
      </c>
      <c r="Q33" s="210">
        <f t="shared" si="63"/>
        <v>0</v>
      </c>
    </row>
    <row r="34" spans="1:17" ht="18" customHeight="1">
      <c r="B34" s="899" t="str">
        <f>$B$16</f>
        <v>３歳児</v>
      </c>
      <c r="C34" s="903"/>
      <c r="D34" s="211" t="s">
        <v>337</v>
      </c>
      <c r="E34" s="441"/>
      <c r="F34" s="174"/>
      <c r="G34" s="174"/>
      <c r="H34" s="175"/>
      <c r="I34" s="243" t="str">
        <f t="shared" ref="I34:P34" si="65">IFERROR($E$34*I17,"")</f>
        <v/>
      </c>
      <c r="J34" s="243" t="str">
        <f t="shared" si="65"/>
        <v/>
      </c>
      <c r="K34" s="243" t="str">
        <f t="shared" si="65"/>
        <v/>
      </c>
      <c r="L34" s="243" t="str">
        <f t="shared" si="65"/>
        <v/>
      </c>
      <c r="M34" s="243" t="str">
        <f t="shared" si="65"/>
        <v/>
      </c>
      <c r="N34" s="243" t="str">
        <f t="shared" si="65"/>
        <v/>
      </c>
      <c r="O34" s="243" t="str">
        <f t="shared" si="65"/>
        <v/>
      </c>
      <c r="P34" s="244" t="str">
        <f t="shared" si="65"/>
        <v/>
      </c>
      <c r="Q34" s="210">
        <f t="shared" si="63"/>
        <v>0</v>
      </c>
    </row>
    <row r="35" spans="1:17" ht="18" customHeight="1">
      <c r="B35" s="212"/>
      <c r="C35" s="213" t="str">
        <f>$C$18</f>
        <v>うち満３歳児</v>
      </c>
      <c r="D35" s="209" t="s">
        <v>337</v>
      </c>
      <c r="E35" s="441"/>
      <c r="F35" s="174"/>
      <c r="G35" s="174"/>
      <c r="H35" s="175"/>
      <c r="I35" s="243" t="str">
        <f t="shared" ref="I35:P35" si="66">IFERROR($E$35*I19,"")</f>
        <v/>
      </c>
      <c r="J35" s="243" t="str">
        <f t="shared" si="66"/>
        <v/>
      </c>
      <c r="K35" s="243" t="str">
        <f t="shared" si="66"/>
        <v/>
      </c>
      <c r="L35" s="243" t="str">
        <f t="shared" si="66"/>
        <v/>
      </c>
      <c r="M35" s="243" t="str">
        <f t="shared" si="66"/>
        <v/>
      </c>
      <c r="N35" s="243" t="str">
        <f t="shared" si="66"/>
        <v/>
      </c>
      <c r="O35" s="243" t="str">
        <f t="shared" si="66"/>
        <v/>
      </c>
      <c r="P35" s="244" t="str">
        <f t="shared" si="66"/>
        <v/>
      </c>
      <c r="Q35" s="210">
        <f t="shared" si="63"/>
        <v>0</v>
      </c>
    </row>
    <row r="36" spans="1:17" ht="18" customHeight="1">
      <c r="B36" s="879" t="str">
        <f>$B$20</f>
        <v>２歳児</v>
      </c>
      <c r="C36" s="880"/>
      <c r="D36" s="209" t="s">
        <v>337</v>
      </c>
      <c r="E36" s="441"/>
      <c r="F36" s="178"/>
      <c r="G36" s="178"/>
      <c r="H36" s="175"/>
      <c r="I36" s="243" t="str">
        <f t="shared" ref="I36:P36" si="67">IFERROR($E$36*I21,"")</f>
        <v/>
      </c>
      <c r="J36" s="243" t="str">
        <f t="shared" si="67"/>
        <v/>
      </c>
      <c r="K36" s="243" t="str">
        <f t="shared" si="67"/>
        <v/>
      </c>
      <c r="L36" s="243" t="str">
        <f t="shared" si="67"/>
        <v/>
      </c>
      <c r="M36" s="243" t="str">
        <f t="shared" si="67"/>
        <v/>
      </c>
      <c r="N36" s="243" t="str">
        <f t="shared" si="67"/>
        <v/>
      </c>
      <c r="O36" s="243" t="str">
        <f t="shared" si="67"/>
        <v/>
      </c>
      <c r="P36" s="244" t="str">
        <f t="shared" si="67"/>
        <v/>
      </c>
      <c r="Q36" s="210">
        <f t="shared" si="63"/>
        <v>0</v>
      </c>
    </row>
    <row r="37" spans="1:17" ht="18" customHeight="1">
      <c r="B37" s="879" t="str">
        <f>$B$22</f>
        <v>１歳児</v>
      </c>
      <c r="C37" s="880"/>
      <c r="D37" s="209" t="s">
        <v>337</v>
      </c>
      <c r="E37" s="441"/>
      <c r="F37" s="178"/>
      <c r="G37" s="178"/>
      <c r="H37" s="175"/>
      <c r="I37" s="243" t="str">
        <f>IFERROR($E$37*I23,"")</f>
        <v/>
      </c>
      <c r="J37" s="243" t="str">
        <f t="shared" ref="J37:P37" si="68">IFERROR($E$37*J23,"")</f>
        <v/>
      </c>
      <c r="K37" s="243" t="str">
        <f t="shared" si="68"/>
        <v/>
      </c>
      <c r="L37" s="243" t="str">
        <f t="shared" si="68"/>
        <v/>
      </c>
      <c r="M37" s="243" t="str">
        <f t="shared" si="68"/>
        <v/>
      </c>
      <c r="N37" s="243" t="str">
        <f t="shared" si="68"/>
        <v/>
      </c>
      <c r="O37" s="243" t="str">
        <f t="shared" si="68"/>
        <v/>
      </c>
      <c r="P37" s="244" t="str">
        <f t="shared" si="68"/>
        <v/>
      </c>
      <c r="Q37" s="210">
        <f t="shared" si="63"/>
        <v>0</v>
      </c>
    </row>
    <row r="38" spans="1:17" ht="18" customHeight="1" thickBot="1">
      <c r="B38" s="881" t="str">
        <f>$B$24</f>
        <v>０歳児</v>
      </c>
      <c r="C38" s="882"/>
      <c r="D38" s="214" t="s">
        <v>337</v>
      </c>
      <c r="E38" s="442"/>
      <c r="F38" s="179"/>
      <c r="G38" s="179"/>
      <c r="H38" s="177"/>
      <c r="I38" s="245" t="str">
        <f t="shared" ref="I38:P38" si="69">IFERROR($E$38*I25,"")</f>
        <v/>
      </c>
      <c r="J38" s="245" t="str">
        <f t="shared" si="69"/>
        <v/>
      </c>
      <c r="K38" s="245" t="str">
        <f t="shared" si="69"/>
        <v/>
      </c>
      <c r="L38" s="245" t="str">
        <f t="shared" si="69"/>
        <v/>
      </c>
      <c r="M38" s="245" t="str">
        <f t="shared" si="69"/>
        <v/>
      </c>
      <c r="N38" s="245" t="str">
        <f t="shared" si="69"/>
        <v/>
      </c>
      <c r="O38" s="245" t="str">
        <f t="shared" si="69"/>
        <v/>
      </c>
      <c r="P38" s="246" t="str">
        <f t="shared" si="69"/>
        <v/>
      </c>
      <c r="Q38" s="215">
        <f t="shared" si="63"/>
        <v>0</v>
      </c>
    </row>
    <row r="39" spans="1:17" ht="18" customHeight="1" thickTop="1" thickBot="1">
      <c r="B39" s="883" t="s">
        <v>342</v>
      </c>
      <c r="C39" s="884"/>
      <c r="D39" s="216"/>
      <c r="E39" s="217">
        <f>SUM(E32:E34,E36:E38)</f>
        <v>0</v>
      </c>
      <c r="F39" s="218">
        <f>SUM(F32:F34,F36:F38)</f>
        <v>0</v>
      </c>
      <c r="G39" s="219">
        <f>SUM(G32:G34,G36:G38)</f>
        <v>0</v>
      </c>
      <c r="H39" s="220">
        <f>SUM(H32:H34,H36:H38)</f>
        <v>0</v>
      </c>
      <c r="I39" s="220">
        <f t="shared" ref="I39:P39" si="70">SUM(I32:I34,I36:I38)</f>
        <v>0</v>
      </c>
      <c r="J39" s="220">
        <f t="shared" si="70"/>
        <v>0</v>
      </c>
      <c r="K39" s="220">
        <f t="shared" si="70"/>
        <v>0</v>
      </c>
      <c r="L39" s="220">
        <f t="shared" si="70"/>
        <v>0</v>
      </c>
      <c r="M39" s="220">
        <f t="shared" si="70"/>
        <v>0</v>
      </c>
      <c r="N39" s="220">
        <f t="shared" si="70"/>
        <v>0</v>
      </c>
      <c r="O39" s="220">
        <f t="shared" si="70"/>
        <v>0</v>
      </c>
      <c r="P39" s="220">
        <f t="shared" si="70"/>
        <v>0</v>
      </c>
      <c r="Q39" s="221">
        <f>SUM(Q32:Q34,Q36:Q38)</f>
        <v>0</v>
      </c>
    </row>
    <row r="40" spans="1:17" ht="17.25" customHeight="1">
      <c r="B40" s="222" t="s">
        <v>344</v>
      </c>
    </row>
    <row r="41" spans="1:17" ht="17.25" customHeight="1"/>
    <row r="42" spans="1:17" ht="17.25" customHeight="1"/>
    <row r="43" spans="1:17" ht="17.25" customHeight="1"/>
    <row r="44" spans="1:17" ht="17.25" customHeight="1"/>
    <row r="45" spans="1:17" ht="17.25" customHeight="1" thickBot="1">
      <c r="A45" s="184" t="s">
        <v>345</v>
      </c>
      <c r="E45" s="206"/>
    </row>
    <row r="46" spans="1:17" ht="17.25" customHeight="1">
      <c r="B46" s="885" t="s">
        <v>869</v>
      </c>
      <c r="C46" s="886"/>
      <c r="D46" s="887"/>
      <c r="E46" s="185">
        <v>4</v>
      </c>
      <c r="F46" s="207">
        <v>5</v>
      </c>
      <c r="G46" s="207">
        <v>6</v>
      </c>
      <c r="H46" s="187">
        <v>7</v>
      </c>
      <c r="I46" s="186">
        <v>8</v>
      </c>
      <c r="J46" s="186">
        <v>9</v>
      </c>
      <c r="K46" s="208">
        <v>10</v>
      </c>
      <c r="L46" s="186">
        <v>11</v>
      </c>
      <c r="M46" s="186">
        <v>12</v>
      </c>
      <c r="N46" s="186">
        <v>1</v>
      </c>
      <c r="O46" s="186">
        <v>2</v>
      </c>
      <c r="P46" s="187">
        <v>3</v>
      </c>
      <c r="Q46" s="891" t="s">
        <v>335</v>
      </c>
    </row>
    <row r="47" spans="1:17" ht="17.25" customHeight="1">
      <c r="B47" s="888"/>
      <c r="C47" s="889"/>
      <c r="D47" s="890"/>
      <c r="E47" s="893" t="s">
        <v>336</v>
      </c>
      <c r="F47" s="894"/>
      <c r="G47" s="894"/>
      <c r="H47" s="895"/>
      <c r="I47" s="896" t="s">
        <v>346</v>
      </c>
      <c r="J47" s="897"/>
      <c r="K47" s="897"/>
      <c r="L47" s="897"/>
      <c r="M47" s="897"/>
      <c r="N47" s="897"/>
      <c r="O47" s="897"/>
      <c r="P47" s="898"/>
      <c r="Q47" s="892"/>
    </row>
    <row r="48" spans="1:17" ht="18" customHeight="1">
      <c r="B48" s="879" t="str">
        <f>$B$12</f>
        <v>５歳児</v>
      </c>
      <c r="C48" s="880"/>
      <c r="D48" s="223" t="s">
        <v>337</v>
      </c>
      <c r="E48" s="224">
        <f t="shared" ref="E48:H54" si="71">E32</f>
        <v>0</v>
      </c>
      <c r="F48" s="225">
        <f t="shared" si="71"/>
        <v>0</v>
      </c>
      <c r="G48" s="225">
        <f t="shared" si="71"/>
        <v>0</v>
      </c>
      <c r="H48" s="226">
        <f t="shared" si="71"/>
        <v>0</v>
      </c>
      <c r="I48" s="174"/>
      <c r="J48" s="174"/>
      <c r="K48" s="174"/>
      <c r="L48" s="174"/>
      <c r="M48" s="174"/>
      <c r="N48" s="174"/>
      <c r="O48" s="174"/>
      <c r="P48" s="175"/>
      <c r="Q48" s="210">
        <f t="shared" ref="Q48:Q54" si="72">ROUND(SUM(E48:P48)/12,0)</f>
        <v>0</v>
      </c>
    </row>
    <row r="49" spans="2:17" ht="18" customHeight="1">
      <c r="B49" s="879" t="str">
        <f>$B$14</f>
        <v>４歳児</v>
      </c>
      <c r="C49" s="880"/>
      <c r="D49" s="223" t="s">
        <v>337</v>
      </c>
      <c r="E49" s="224">
        <f t="shared" si="71"/>
        <v>0</v>
      </c>
      <c r="F49" s="225">
        <f t="shared" si="71"/>
        <v>0</v>
      </c>
      <c r="G49" s="225">
        <f t="shared" si="71"/>
        <v>0</v>
      </c>
      <c r="H49" s="226">
        <f t="shared" si="71"/>
        <v>0</v>
      </c>
      <c r="I49" s="174"/>
      <c r="J49" s="174"/>
      <c r="K49" s="174"/>
      <c r="L49" s="174"/>
      <c r="M49" s="174"/>
      <c r="N49" s="174"/>
      <c r="O49" s="174"/>
      <c r="P49" s="175"/>
      <c r="Q49" s="210">
        <f t="shared" si="72"/>
        <v>0</v>
      </c>
    </row>
    <row r="50" spans="2:17" ht="18" customHeight="1">
      <c r="B50" s="899" t="str">
        <f>$B$16</f>
        <v>３歳児</v>
      </c>
      <c r="C50" s="900"/>
      <c r="D50" s="223" t="s">
        <v>337</v>
      </c>
      <c r="E50" s="224">
        <f t="shared" si="71"/>
        <v>0</v>
      </c>
      <c r="F50" s="225">
        <f t="shared" si="71"/>
        <v>0</v>
      </c>
      <c r="G50" s="225">
        <f t="shared" si="71"/>
        <v>0</v>
      </c>
      <c r="H50" s="226">
        <f t="shared" si="71"/>
        <v>0</v>
      </c>
      <c r="I50" s="174"/>
      <c r="J50" s="174"/>
      <c r="K50" s="174"/>
      <c r="L50" s="174"/>
      <c r="M50" s="174"/>
      <c r="N50" s="174"/>
      <c r="O50" s="174"/>
      <c r="P50" s="175"/>
      <c r="Q50" s="210">
        <f t="shared" si="72"/>
        <v>0</v>
      </c>
    </row>
    <row r="51" spans="2:17" ht="18" customHeight="1">
      <c r="B51" s="212"/>
      <c r="C51" s="213" t="str">
        <f>$C$18</f>
        <v>うち満３歳児</v>
      </c>
      <c r="D51" s="223" t="s">
        <v>337</v>
      </c>
      <c r="E51" s="224">
        <f t="shared" si="71"/>
        <v>0</v>
      </c>
      <c r="F51" s="225">
        <f t="shared" si="71"/>
        <v>0</v>
      </c>
      <c r="G51" s="225">
        <f t="shared" si="71"/>
        <v>0</v>
      </c>
      <c r="H51" s="226">
        <f t="shared" si="71"/>
        <v>0</v>
      </c>
      <c r="I51" s="174"/>
      <c r="J51" s="174"/>
      <c r="K51" s="174"/>
      <c r="L51" s="174"/>
      <c r="M51" s="174"/>
      <c r="N51" s="174"/>
      <c r="O51" s="174"/>
      <c r="P51" s="175"/>
      <c r="Q51" s="210">
        <f t="shared" si="72"/>
        <v>0</v>
      </c>
    </row>
    <row r="52" spans="2:17" ht="18" customHeight="1">
      <c r="B52" s="879" t="str">
        <f>$B$20</f>
        <v>２歳児</v>
      </c>
      <c r="C52" s="880"/>
      <c r="D52" s="223" t="s">
        <v>337</v>
      </c>
      <c r="E52" s="224">
        <f t="shared" si="71"/>
        <v>0</v>
      </c>
      <c r="F52" s="227">
        <f t="shared" si="71"/>
        <v>0</v>
      </c>
      <c r="G52" s="227">
        <f t="shared" si="71"/>
        <v>0</v>
      </c>
      <c r="H52" s="226">
        <f t="shared" si="71"/>
        <v>0</v>
      </c>
      <c r="I52" s="174"/>
      <c r="J52" s="174"/>
      <c r="K52" s="174"/>
      <c r="L52" s="174"/>
      <c r="M52" s="174"/>
      <c r="N52" s="174"/>
      <c r="O52" s="174"/>
      <c r="P52" s="175"/>
      <c r="Q52" s="210">
        <f t="shared" si="72"/>
        <v>0</v>
      </c>
    </row>
    <row r="53" spans="2:17" ht="18" customHeight="1">
      <c r="B53" s="879" t="str">
        <f>$B$22</f>
        <v>１歳児</v>
      </c>
      <c r="C53" s="880"/>
      <c r="D53" s="223" t="s">
        <v>337</v>
      </c>
      <c r="E53" s="224">
        <f t="shared" si="71"/>
        <v>0</v>
      </c>
      <c r="F53" s="227">
        <f t="shared" si="71"/>
        <v>0</v>
      </c>
      <c r="G53" s="227">
        <f t="shared" si="71"/>
        <v>0</v>
      </c>
      <c r="H53" s="226">
        <f t="shared" si="71"/>
        <v>0</v>
      </c>
      <c r="I53" s="174"/>
      <c r="J53" s="174"/>
      <c r="K53" s="174"/>
      <c r="L53" s="174"/>
      <c r="M53" s="174"/>
      <c r="N53" s="174"/>
      <c r="O53" s="174"/>
      <c r="P53" s="175"/>
      <c r="Q53" s="210">
        <f t="shared" si="72"/>
        <v>0</v>
      </c>
    </row>
    <row r="54" spans="2:17" ht="18" customHeight="1" thickBot="1">
      <c r="B54" s="881" t="str">
        <f>$B$24</f>
        <v>０歳児</v>
      </c>
      <c r="C54" s="882"/>
      <c r="D54" s="228" t="s">
        <v>337</v>
      </c>
      <c r="E54" s="229">
        <f t="shared" si="71"/>
        <v>0</v>
      </c>
      <c r="F54" s="230">
        <f t="shared" si="71"/>
        <v>0</v>
      </c>
      <c r="G54" s="230">
        <f t="shared" si="71"/>
        <v>0</v>
      </c>
      <c r="H54" s="231">
        <f t="shared" si="71"/>
        <v>0</v>
      </c>
      <c r="I54" s="176"/>
      <c r="J54" s="176"/>
      <c r="K54" s="176"/>
      <c r="L54" s="176"/>
      <c r="M54" s="176"/>
      <c r="N54" s="176"/>
      <c r="O54" s="176"/>
      <c r="P54" s="177"/>
      <c r="Q54" s="215">
        <f t="shared" si="72"/>
        <v>0</v>
      </c>
    </row>
    <row r="55" spans="2:17" ht="18" customHeight="1" thickTop="1" thickBot="1">
      <c r="B55" s="901" t="s">
        <v>342</v>
      </c>
      <c r="C55" s="902"/>
      <c r="D55" s="232"/>
      <c r="E55" s="217">
        <f>SUM(E48:E50,E52:E54)</f>
        <v>0</v>
      </c>
      <c r="F55" s="218">
        <f t="shared" ref="F55:P55" si="73">SUM(F48:F50,F52:F54)</f>
        <v>0</v>
      </c>
      <c r="G55" s="219">
        <f t="shared" si="73"/>
        <v>0</v>
      </c>
      <c r="H55" s="233">
        <f t="shared" si="73"/>
        <v>0</v>
      </c>
      <c r="I55" s="233">
        <f t="shared" si="73"/>
        <v>0</v>
      </c>
      <c r="J55" s="233">
        <f t="shared" si="73"/>
        <v>0</v>
      </c>
      <c r="K55" s="233">
        <f t="shared" si="73"/>
        <v>0</v>
      </c>
      <c r="L55" s="233">
        <f t="shared" si="73"/>
        <v>0</v>
      </c>
      <c r="M55" s="233">
        <f t="shared" si="73"/>
        <v>0</v>
      </c>
      <c r="N55" s="233">
        <f t="shared" si="73"/>
        <v>0</v>
      </c>
      <c r="O55" s="233">
        <f t="shared" si="73"/>
        <v>0</v>
      </c>
      <c r="P55" s="233">
        <f t="shared" si="73"/>
        <v>0</v>
      </c>
      <c r="Q55" s="221">
        <f>SUM(Q48:Q50,Q52:Q54)</f>
        <v>0</v>
      </c>
    </row>
    <row r="56" spans="2:17" ht="17.25" customHeight="1">
      <c r="B56" s="222" t="s">
        <v>344</v>
      </c>
      <c r="E56" s="234"/>
      <c r="F56" s="234"/>
      <c r="G56" s="234"/>
      <c r="H56" s="234"/>
      <c r="I56" s="234"/>
      <c r="J56" s="234"/>
      <c r="K56" s="234"/>
      <c r="L56" s="234"/>
      <c r="M56" s="234"/>
      <c r="N56" s="234"/>
      <c r="O56" s="234"/>
      <c r="P56" s="234"/>
      <c r="Q56" s="234"/>
    </row>
    <row r="57" spans="2:17" ht="17.25" customHeight="1">
      <c r="E57" s="234"/>
      <c r="F57" s="234"/>
      <c r="G57" s="234"/>
      <c r="H57" s="234"/>
      <c r="I57" s="234"/>
      <c r="J57" s="234"/>
      <c r="K57" s="234"/>
      <c r="L57" s="234"/>
      <c r="M57" s="234"/>
      <c r="N57" s="234"/>
      <c r="O57" s="234"/>
      <c r="P57" s="234"/>
      <c r="Q57" s="234"/>
    </row>
    <row r="58" spans="2:17" ht="17.25" customHeight="1" thickBot="1">
      <c r="B58" s="235" t="s">
        <v>347</v>
      </c>
      <c r="C58" s="236"/>
    </row>
    <row r="59" spans="2:17" ht="94.5" customHeight="1" thickBot="1">
      <c r="B59" s="876" t="s">
        <v>348</v>
      </c>
      <c r="C59" s="877"/>
      <c r="D59" s="877"/>
      <c r="E59" s="877"/>
      <c r="F59" s="877"/>
      <c r="G59" s="877"/>
      <c r="H59" s="877"/>
      <c r="I59" s="877"/>
      <c r="J59" s="877"/>
      <c r="K59" s="877"/>
      <c r="L59" s="877"/>
      <c r="M59" s="877"/>
      <c r="N59" s="877"/>
      <c r="O59" s="877"/>
      <c r="P59" s="877"/>
      <c r="Q59" s="878"/>
    </row>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sheetData>
  <mergeCells count="38">
    <mergeCell ref="B24:C25"/>
    <mergeCell ref="B14:C15"/>
    <mergeCell ref="B22:C23"/>
    <mergeCell ref="A1:Q1"/>
    <mergeCell ref="H3:L3"/>
    <mergeCell ref="M3:Q3"/>
    <mergeCell ref="B10:D11"/>
    <mergeCell ref="Q10:Q11"/>
    <mergeCell ref="E11:P11"/>
    <mergeCell ref="B12:C13"/>
    <mergeCell ref="B16:C17"/>
    <mergeCell ref="B18:B19"/>
    <mergeCell ref="C18:C19"/>
    <mergeCell ref="B20:C21"/>
    <mergeCell ref="B26:C26"/>
    <mergeCell ref="B30:D31"/>
    <mergeCell ref="Q30:Q31"/>
    <mergeCell ref="B32:C32"/>
    <mergeCell ref="B34:C34"/>
    <mergeCell ref="B33:C33"/>
    <mergeCell ref="E31:H31"/>
    <mergeCell ref="I31:P31"/>
    <mergeCell ref="B59:Q59"/>
    <mergeCell ref="B49:C49"/>
    <mergeCell ref="B53:C53"/>
    <mergeCell ref="B36:C36"/>
    <mergeCell ref="B38:C38"/>
    <mergeCell ref="B39:C39"/>
    <mergeCell ref="B46:D47"/>
    <mergeCell ref="Q46:Q47"/>
    <mergeCell ref="B37:C37"/>
    <mergeCell ref="E47:H47"/>
    <mergeCell ref="I47:P47"/>
    <mergeCell ref="B48:C48"/>
    <mergeCell ref="B50:C50"/>
    <mergeCell ref="B52:C52"/>
    <mergeCell ref="B54:C54"/>
    <mergeCell ref="B55:C55"/>
  </mergeCells>
  <phoneticPr fontId="4"/>
  <dataValidations count="1">
    <dataValidation type="whole" allowBlank="1" showInputMessage="1" showErrorMessage="1" sqref="E12:P12 E14:P14 E16:P16 E18:P18 E20:P20 E22:P22 E24:P24 E32:H38 I48:P54" xr:uid="{6C12939B-4BD3-4790-88A7-C970B34A5D76}">
      <formula1>0</formula1>
      <formula2>1000</formula2>
    </dataValidation>
  </dataValidations>
  <pageMargins left="0.61" right="0.27559055118110237" top="0.55118110236220474" bottom="0.19685039370078741" header="0.31496062992125984" footer="0.19685039370078741"/>
  <pageSetup paperSize="9" scale="71" orientation="portrait"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92D66-F137-4813-BAE7-84D5CC6643E4}">
  <sheetPr>
    <tabColor theme="2" tint="-9.9978637043366805E-2"/>
    <pageSetUpPr fitToPage="1"/>
  </sheetPr>
  <dimension ref="B1:AS99"/>
  <sheetViews>
    <sheetView view="pageBreakPreview" topLeftCell="AD1" zoomScaleNormal="85" zoomScaleSheetLayoutView="100" workbookViewId="0">
      <pane ySplit="7" topLeftCell="A8" activePane="bottomLeft" state="frozen"/>
      <selection pane="bottomLeft" activeCell="AR9" sqref="AR9"/>
    </sheetView>
  </sheetViews>
  <sheetFormatPr defaultColWidth="1.625" defaultRowHeight="15"/>
  <cols>
    <col min="1" max="1" width="1.625" style="2"/>
    <col min="2" max="2" width="15.875" style="2" customWidth="1"/>
    <col min="3" max="3" width="9" style="2" bestFit="1" customWidth="1"/>
    <col min="4" max="4" width="4" style="2" customWidth="1"/>
    <col min="5" max="5" width="5" style="2" customWidth="1"/>
    <col min="6" max="6" width="5.25" style="2" customWidth="1"/>
    <col min="7" max="24" width="7.375" style="2" customWidth="1"/>
    <col min="25" max="25" width="1.625" style="2"/>
    <col min="26" max="26" width="12.125" style="2" customWidth="1"/>
    <col min="27" max="27" width="5.25" style="2" customWidth="1"/>
    <col min="28" max="29" width="7.5" style="2" customWidth="1"/>
    <col min="30" max="30" width="1.625" style="2"/>
    <col min="31" max="31" width="12.125" style="2" customWidth="1"/>
    <col min="32" max="32" width="5.25" style="2" customWidth="1"/>
    <col min="33" max="34" width="7.5" style="2" customWidth="1"/>
    <col min="35" max="35" width="1.625" style="2"/>
    <col min="36" max="36" width="11.625" style="2" customWidth="1"/>
    <col min="37" max="37" width="5.25" style="2" customWidth="1"/>
    <col min="38" max="40" width="7.5" style="2" customWidth="1"/>
    <col min="41" max="41" width="1.625" style="2"/>
    <col min="42" max="42" width="11.625" style="2" customWidth="1"/>
    <col min="43" max="43" width="5.25" style="2" customWidth="1"/>
    <col min="44" max="45" width="7.5" style="2" customWidth="1"/>
    <col min="46" max="16384" width="1.625" style="2"/>
  </cols>
  <sheetData>
    <row r="1" spans="2:45">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X1" s="2">
        <f>COLUMNS($F:X)</f>
        <v>19</v>
      </c>
      <c r="Z1" s="2">
        <f>COLUMNS($Z:Z)</f>
        <v>1</v>
      </c>
      <c r="AA1" s="2">
        <f>COLUMNS($Z:AA)</f>
        <v>2</v>
      </c>
      <c r="AB1" s="2">
        <f>COLUMNS($Z:AB)</f>
        <v>3</v>
      </c>
      <c r="AC1" s="2">
        <f>COLUMNS($Z:AC)</f>
        <v>4</v>
      </c>
      <c r="AF1" s="2">
        <f>COLUMNS($AF:AF)</f>
        <v>1</v>
      </c>
      <c r="AG1" s="2">
        <f>COLUMNS($AF:AG)</f>
        <v>2</v>
      </c>
      <c r="AH1" s="2">
        <f>COLUMNS($AF:AH)</f>
        <v>3</v>
      </c>
      <c r="AK1" s="2">
        <f>COLUMNS($AK:AK)</f>
        <v>1</v>
      </c>
      <c r="AL1" s="2">
        <f>COLUMNS($AK:AL)</f>
        <v>2</v>
      </c>
      <c r="AM1" s="2">
        <f>COLUMNS($AK:AM)</f>
        <v>3</v>
      </c>
      <c r="AN1" s="2">
        <f>COLUMNS($AK:AN)</f>
        <v>4</v>
      </c>
      <c r="AQ1" s="2">
        <f>COLUMNS($AQ:AQ)</f>
        <v>1</v>
      </c>
      <c r="AR1" s="2">
        <f>COLUMNS($AQ:AR)</f>
        <v>2</v>
      </c>
      <c r="AS1" s="2">
        <f>COLUMNS($AQ:AS)</f>
        <v>3</v>
      </c>
    </row>
    <row r="2" spans="2:45">
      <c r="B2" s="1"/>
      <c r="F2" s="2" t="s">
        <v>251</v>
      </c>
      <c r="G2" s="2" t="s">
        <v>252</v>
      </c>
      <c r="H2" s="2" t="s">
        <v>253</v>
      </c>
      <c r="I2" s="2" t="s">
        <v>254</v>
      </c>
      <c r="J2" s="2" t="s">
        <v>255</v>
      </c>
      <c r="K2" s="2" t="s">
        <v>256</v>
      </c>
      <c r="L2" s="2" t="s">
        <v>257</v>
      </c>
      <c r="M2" s="2" t="s">
        <v>258</v>
      </c>
      <c r="N2" s="2" t="s">
        <v>259</v>
      </c>
      <c r="O2" s="2" t="s">
        <v>260</v>
      </c>
      <c r="P2" s="2" t="s">
        <v>261</v>
      </c>
      <c r="Q2" s="2" t="s">
        <v>262</v>
      </c>
      <c r="R2" s="2" t="s">
        <v>263</v>
      </c>
      <c r="S2" s="2" t="s">
        <v>268</v>
      </c>
      <c r="T2" s="2" t="s">
        <v>269</v>
      </c>
      <c r="U2" s="2" t="s">
        <v>270</v>
      </c>
      <c r="V2" s="2" t="s">
        <v>271</v>
      </c>
      <c r="W2" s="2" t="s">
        <v>272</v>
      </c>
      <c r="X2" s="2" t="s">
        <v>273</v>
      </c>
      <c r="Z2" s="2" t="s">
        <v>251</v>
      </c>
      <c r="AA2" s="2" t="s">
        <v>252</v>
      </c>
      <c r="AB2" s="2" t="s">
        <v>253</v>
      </c>
      <c r="AC2" s="2" t="s">
        <v>254</v>
      </c>
      <c r="AF2" s="2" t="s">
        <v>251</v>
      </c>
      <c r="AG2" s="2" t="s">
        <v>252</v>
      </c>
      <c r="AH2" s="2" t="s">
        <v>253</v>
      </c>
      <c r="AK2" s="2" t="s">
        <v>251</v>
      </c>
      <c r="AL2" s="2" t="s">
        <v>252</v>
      </c>
      <c r="AM2" s="2" t="s">
        <v>253</v>
      </c>
      <c r="AN2" s="2" t="s">
        <v>254</v>
      </c>
      <c r="AQ2" s="2" t="s">
        <v>251</v>
      </c>
      <c r="AR2" s="2" t="s">
        <v>252</v>
      </c>
      <c r="AS2" s="2" t="s">
        <v>253</v>
      </c>
    </row>
    <row r="3" spans="2:45">
      <c r="B3" s="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J3" s="4" t="s">
        <v>1</v>
      </c>
      <c r="AK3" s="4"/>
      <c r="AL3" s="4"/>
      <c r="AM3" s="4"/>
      <c r="AN3" s="4"/>
      <c r="AO3" s="4"/>
      <c r="AP3" s="4"/>
      <c r="AQ3" s="4"/>
      <c r="AR3" s="4"/>
      <c r="AS3" s="4"/>
    </row>
    <row r="4" spans="2:45">
      <c r="B4" s="2" t="s">
        <v>2</v>
      </c>
      <c r="Z4" s="2" t="s">
        <v>3</v>
      </c>
      <c r="AJ4" s="2" t="s">
        <v>4</v>
      </c>
    </row>
    <row r="5" spans="2:45" ht="30">
      <c r="B5" s="12"/>
      <c r="C5" s="6"/>
      <c r="D5" s="7" t="s">
        <v>5</v>
      </c>
      <c r="E5" s="8" t="s">
        <v>6</v>
      </c>
      <c r="F5" s="5" t="s">
        <v>7</v>
      </c>
      <c r="G5" s="11" t="s">
        <v>8</v>
      </c>
      <c r="H5" s="11"/>
      <c r="I5" s="11"/>
      <c r="J5" s="10"/>
      <c r="K5" s="9" t="s">
        <v>9</v>
      </c>
      <c r="L5" s="10"/>
      <c r="M5" s="9" t="s">
        <v>10</v>
      </c>
      <c r="N5" s="10"/>
      <c r="O5" s="9" t="s">
        <v>161</v>
      </c>
      <c r="P5" s="10"/>
      <c r="Q5" s="9" t="s">
        <v>11</v>
      </c>
      <c r="R5" s="10"/>
      <c r="S5" s="10" t="s">
        <v>244</v>
      </c>
      <c r="T5" s="10"/>
      <c r="U5" s="10"/>
      <c r="V5" s="10"/>
      <c r="W5" s="9" t="s">
        <v>249</v>
      </c>
      <c r="X5" s="10"/>
      <c r="Z5" s="12" t="s">
        <v>13</v>
      </c>
      <c r="AA5" s="6"/>
      <c r="AB5" s="13"/>
      <c r="AC5" s="14"/>
      <c r="AE5" s="12" t="s">
        <v>162</v>
      </c>
      <c r="AF5" s="6"/>
      <c r="AG5" s="13"/>
      <c r="AH5" s="14"/>
      <c r="AJ5" s="12" t="s">
        <v>14</v>
      </c>
      <c r="AK5" s="6"/>
      <c r="AL5" s="13"/>
      <c r="AM5" s="13"/>
      <c r="AN5" s="14"/>
      <c r="AP5" s="12" t="s">
        <v>15</v>
      </c>
      <c r="AQ5" s="6"/>
      <c r="AR5" s="13"/>
      <c r="AS5" s="14"/>
    </row>
    <row r="6" spans="2:45">
      <c r="B6" s="127"/>
      <c r="C6" s="128"/>
      <c r="D6" s="129" t="s">
        <v>16</v>
      </c>
      <c r="E6" s="130" t="s">
        <v>16</v>
      </c>
      <c r="F6" s="160"/>
      <c r="G6" s="16" t="s">
        <v>17</v>
      </c>
      <c r="H6" s="16" t="s">
        <v>19</v>
      </c>
      <c r="I6" s="16" t="s">
        <v>18</v>
      </c>
      <c r="J6" s="16" t="s">
        <v>19</v>
      </c>
      <c r="K6" s="16" t="s">
        <v>21</v>
      </c>
      <c r="L6" s="16" t="s">
        <v>19</v>
      </c>
      <c r="M6" s="16" t="s">
        <v>21</v>
      </c>
      <c r="N6" s="16" t="s">
        <v>19</v>
      </c>
      <c r="O6" s="16" t="s">
        <v>21</v>
      </c>
      <c r="P6" s="16" t="s">
        <v>19</v>
      </c>
      <c r="Q6" s="16" t="s">
        <v>21</v>
      </c>
      <c r="R6" s="16" t="s">
        <v>19</v>
      </c>
      <c r="S6" s="16" t="s">
        <v>245</v>
      </c>
      <c r="T6" s="16" t="s">
        <v>246</v>
      </c>
      <c r="U6" s="16" t="s">
        <v>247</v>
      </c>
      <c r="V6" s="16" t="s">
        <v>248</v>
      </c>
      <c r="W6" s="16" t="s">
        <v>21</v>
      </c>
      <c r="X6" s="16" t="s">
        <v>19</v>
      </c>
      <c r="Y6" s="17"/>
      <c r="Z6" s="15"/>
      <c r="AA6" s="18" t="s">
        <v>22</v>
      </c>
      <c r="AB6" s="16" t="s">
        <v>21</v>
      </c>
      <c r="AC6" s="16" t="s">
        <v>19</v>
      </c>
      <c r="AD6" s="17"/>
      <c r="AE6" s="15" t="s">
        <v>163</v>
      </c>
      <c r="AF6" s="18" t="s">
        <v>22</v>
      </c>
      <c r="AG6" s="16" t="s">
        <v>21</v>
      </c>
      <c r="AH6" s="16" t="s">
        <v>19</v>
      </c>
      <c r="AJ6" s="15"/>
      <c r="AK6" s="18" t="s">
        <v>22</v>
      </c>
      <c r="AL6" s="15" t="s">
        <v>20</v>
      </c>
      <c r="AM6" s="16" t="s">
        <v>21</v>
      </c>
      <c r="AN6" s="16" t="s">
        <v>19</v>
      </c>
      <c r="AO6" s="17"/>
      <c r="AP6" s="15"/>
      <c r="AQ6" s="18" t="s">
        <v>22</v>
      </c>
      <c r="AR6" s="16" t="s">
        <v>21</v>
      </c>
      <c r="AS6" s="16" t="s">
        <v>19</v>
      </c>
    </row>
    <row r="7" spans="2:45">
      <c r="B7" s="131"/>
      <c r="C7" s="132"/>
      <c r="D7" s="131"/>
      <c r="E7" s="133"/>
      <c r="F7" s="132"/>
      <c r="G7" s="134"/>
      <c r="H7" s="134"/>
      <c r="I7" s="134"/>
      <c r="J7" s="134"/>
      <c r="K7" s="134"/>
      <c r="L7" s="134"/>
      <c r="M7" s="134"/>
      <c r="N7" s="134"/>
      <c r="O7" s="134"/>
      <c r="P7" s="134"/>
      <c r="Q7" s="134"/>
      <c r="R7" s="134"/>
      <c r="S7" s="134"/>
      <c r="T7" s="134"/>
      <c r="U7" s="134"/>
      <c r="V7" s="134"/>
      <c r="W7" s="134"/>
      <c r="X7" s="134"/>
      <c r="Y7" s="17"/>
      <c r="Z7" s="20"/>
      <c r="AA7" s="20"/>
      <c r="AB7" s="20"/>
      <c r="AC7" s="20"/>
      <c r="AD7" s="17"/>
      <c r="AE7" s="20"/>
      <c r="AF7" s="20"/>
      <c r="AG7" s="20"/>
      <c r="AH7" s="20"/>
      <c r="AJ7" s="20"/>
      <c r="AK7" s="20"/>
      <c r="AL7" s="19"/>
      <c r="AM7" s="20"/>
      <c r="AN7" s="20"/>
      <c r="AO7" s="17"/>
      <c r="AP7" s="20"/>
      <c r="AQ7" s="20"/>
      <c r="AR7" s="20"/>
      <c r="AS7" s="20"/>
    </row>
    <row r="8" spans="2:45">
      <c r="B8" s="135" t="s">
        <v>164</v>
      </c>
      <c r="C8" s="136" t="s">
        <v>23</v>
      </c>
      <c r="D8" s="22">
        <v>0</v>
      </c>
      <c r="E8" s="23" t="s">
        <v>24</v>
      </c>
      <c r="F8" s="137" t="str">
        <f>D8&amp;E8</f>
        <v>0A</v>
      </c>
      <c r="G8" s="27">
        <v>2720</v>
      </c>
      <c r="H8" s="43">
        <v>3.1</v>
      </c>
      <c r="I8" s="27">
        <v>2130</v>
      </c>
      <c r="J8" s="43">
        <v>3.1</v>
      </c>
      <c r="K8" s="27">
        <v>0</v>
      </c>
      <c r="L8" s="43">
        <v>0</v>
      </c>
      <c r="M8" s="27">
        <v>30</v>
      </c>
      <c r="N8" s="43">
        <v>3.8</v>
      </c>
      <c r="O8" s="27">
        <v>0</v>
      </c>
      <c r="P8" s="43">
        <v>0</v>
      </c>
      <c r="Q8" s="27">
        <v>530</v>
      </c>
      <c r="R8" s="43">
        <v>5.8</v>
      </c>
      <c r="S8" s="155">
        <v>0.01</v>
      </c>
      <c r="T8" s="155">
        <v>0.02</v>
      </c>
      <c r="U8" s="155">
        <v>0.03</v>
      </c>
      <c r="V8" s="155">
        <v>0.04</v>
      </c>
      <c r="W8" s="27">
        <v>140</v>
      </c>
      <c r="X8" s="43">
        <v>4.9000000000000004</v>
      </c>
      <c r="Y8" s="17"/>
      <c r="Z8" s="26" t="s">
        <v>25</v>
      </c>
      <c r="AA8" s="26">
        <v>1</v>
      </c>
      <c r="AB8" s="26">
        <v>0</v>
      </c>
      <c r="AC8" s="138">
        <v>0</v>
      </c>
      <c r="AD8" s="17"/>
      <c r="AE8" s="26" t="s">
        <v>165</v>
      </c>
      <c r="AF8" s="26" t="s">
        <v>110</v>
      </c>
      <c r="AG8" s="27">
        <v>550</v>
      </c>
      <c r="AH8" s="43">
        <v>2.2999999999999998</v>
      </c>
      <c r="AJ8" s="26" t="s">
        <v>25</v>
      </c>
      <c r="AK8" s="26">
        <v>1</v>
      </c>
      <c r="AL8" s="26">
        <v>0</v>
      </c>
      <c r="AM8" s="26">
        <v>0</v>
      </c>
      <c r="AN8" s="138">
        <v>0</v>
      </c>
      <c r="AO8" s="17"/>
      <c r="AP8" s="26" t="s">
        <v>25</v>
      </c>
      <c r="AQ8" s="26">
        <v>0</v>
      </c>
      <c r="AR8" s="26">
        <v>0</v>
      </c>
      <c r="AS8" s="138">
        <v>0</v>
      </c>
    </row>
    <row r="9" spans="2:45" ht="15.75" customHeight="1">
      <c r="B9" s="21"/>
      <c r="C9" s="139" t="s">
        <v>26</v>
      </c>
      <c r="D9" s="28">
        <f>D8</f>
        <v>0</v>
      </c>
      <c r="E9" s="29" t="s">
        <v>27</v>
      </c>
      <c r="F9" s="140" t="str">
        <f t="shared" ref="F9:F92" si="0">D9&amp;E9</f>
        <v>0B</v>
      </c>
      <c r="G9" s="32">
        <v>2800</v>
      </c>
      <c r="H9" s="33">
        <v>3.1</v>
      </c>
      <c r="I9" s="32">
        <v>2210</v>
      </c>
      <c r="J9" s="33">
        <v>3.1</v>
      </c>
      <c r="K9" s="32">
        <v>80</v>
      </c>
      <c r="L9" s="33">
        <v>2.8</v>
      </c>
      <c r="M9" s="32">
        <v>0</v>
      </c>
      <c r="N9" s="33">
        <v>0</v>
      </c>
      <c r="O9" s="32">
        <v>0</v>
      </c>
      <c r="P9" s="33">
        <v>0</v>
      </c>
      <c r="Q9" s="30">
        <f>Q8</f>
        <v>530</v>
      </c>
      <c r="R9" s="45">
        <f>R8</f>
        <v>5.8</v>
      </c>
      <c r="S9" s="120">
        <f t="shared" ref="S9:X9" si="1">S8</f>
        <v>0.01</v>
      </c>
      <c r="T9" s="120">
        <f t="shared" si="1"/>
        <v>0.02</v>
      </c>
      <c r="U9" s="120">
        <f t="shared" si="1"/>
        <v>0.03</v>
      </c>
      <c r="V9" s="120">
        <f t="shared" si="1"/>
        <v>0.04</v>
      </c>
      <c r="W9" s="30">
        <f t="shared" si="1"/>
        <v>140</v>
      </c>
      <c r="X9" s="45">
        <f t="shared" si="1"/>
        <v>4.9000000000000004</v>
      </c>
      <c r="Y9" s="17"/>
      <c r="Z9" s="26" t="s">
        <v>28</v>
      </c>
      <c r="AA9" s="26">
        <v>2</v>
      </c>
      <c r="AB9" s="32">
        <v>2950</v>
      </c>
      <c r="AC9" s="33">
        <v>1.9</v>
      </c>
      <c r="AD9" s="17"/>
      <c r="AE9" s="26" t="s">
        <v>166</v>
      </c>
      <c r="AF9" s="26" t="s">
        <v>34</v>
      </c>
      <c r="AG9" s="32">
        <v>360</v>
      </c>
      <c r="AH9" s="33">
        <v>2.4</v>
      </c>
      <c r="AJ9" s="26" t="s">
        <v>29</v>
      </c>
      <c r="AK9" s="26">
        <v>2</v>
      </c>
      <c r="AL9" s="32">
        <v>26950</v>
      </c>
      <c r="AM9" s="32">
        <v>260</v>
      </c>
      <c r="AN9" s="33">
        <v>8.6999999999999993</v>
      </c>
      <c r="AO9" s="17"/>
      <c r="AP9" s="26" t="s">
        <v>30</v>
      </c>
      <c r="AQ9" s="26">
        <v>1</v>
      </c>
      <c r="AR9" s="32">
        <v>880</v>
      </c>
      <c r="AS9" s="33">
        <v>7.7</v>
      </c>
    </row>
    <row r="10" spans="2:45" ht="15.75" customHeight="1">
      <c r="B10" s="21"/>
      <c r="C10" s="139" t="s">
        <v>31</v>
      </c>
      <c r="D10" s="28">
        <f>D8</f>
        <v>0</v>
      </c>
      <c r="E10" s="29" t="s">
        <v>32</v>
      </c>
      <c r="F10" s="140" t="str">
        <f t="shared" si="0"/>
        <v>0C</v>
      </c>
      <c r="G10" s="32">
        <v>3420</v>
      </c>
      <c r="H10" s="33">
        <v>3.1</v>
      </c>
      <c r="I10" s="32">
        <v>2820</v>
      </c>
      <c r="J10" s="33">
        <v>3</v>
      </c>
      <c r="K10" s="32">
        <v>0</v>
      </c>
      <c r="L10" s="33">
        <v>0</v>
      </c>
      <c r="M10" s="32">
        <v>0</v>
      </c>
      <c r="N10" s="33">
        <v>0</v>
      </c>
      <c r="O10" s="32">
        <v>170</v>
      </c>
      <c r="P10" s="33">
        <v>2.7</v>
      </c>
      <c r="Q10" s="30">
        <f>Q8</f>
        <v>530</v>
      </c>
      <c r="R10" s="45">
        <f>R8</f>
        <v>5.8</v>
      </c>
      <c r="S10" s="120">
        <f t="shared" ref="S10:X10" si="2">S8</f>
        <v>0.01</v>
      </c>
      <c r="T10" s="120">
        <f t="shared" si="2"/>
        <v>0.02</v>
      </c>
      <c r="U10" s="120">
        <f t="shared" si="2"/>
        <v>0.03</v>
      </c>
      <c r="V10" s="120">
        <f t="shared" si="2"/>
        <v>0.04</v>
      </c>
      <c r="W10" s="30">
        <f t="shared" si="2"/>
        <v>140</v>
      </c>
      <c r="X10" s="45">
        <f t="shared" si="2"/>
        <v>4.9000000000000004</v>
      </c>
      <c r="Y10" s="17"/>
      <c r="Z10" s="26" t="s">
        <v>33</v>
      </c>
      <c r="AA10" s="26">
        <v>3</v>
      </c>
      <c r="AB10" s="32">
        <v>3160</v>
      </c>
      <c r="AC10" s="33">
        <v>1.8</v>
      </c>
      <c r="AD10" s="17"/>
      <c r="AE10" s="26" t="s">
        <v>167</v>
      </c>
      <c r="AF10" s="26" t="s">
        <v>109</v>
      </c>
      <c r="AG10" s="32">
        <v>270</v>
      </c>
      <c r="AH10" s="33">
        <v>2.4</v>
      </c>
      <c r="AJ10" s="34" t="s">
        <v>34</v>
      </c>
      <c r="AK10" s="66">
        <v>3</v>
      </c>
      <c r="AL10" s="57">
        <v>17960</v>
      </c>
      <c r="AM10" s="57">
        <v>170</v>
      </c>
      <c r="AN10" s="58">
        <v>10</v>
      </c>
      <c r="AO10" s="17"/>
      <c r="AP10" s="26" t="s">
        <v>35</v>
      </c>
      <c r="AQ10" s="26">
        <v>2</v>
      </c>
      <c r="AR10" s="32">
        <v>500</v>
      </c>
      <c r="AS10" s="33">
        <v>0</v>
      </c>
    </row>
    <row r="11" spans="2:45" ht="15.75" customHeight="1">
      <c r="B11" s="37"/>
      <c r="C11" s="142" t="s">
        <v>36</v>
      </c>
      <c r="D11" s="38">
        <f>D8</f>
        <v>0</v>
      </c>
      <c r="E11" s="39" t="s">
        <v>37</v>
      </c>
      <c r="F11" s="143" t="str">
        <f t="shared" si="0"/>
        <v>0D</v>
      </c>
      <c r="G11" s="35">
        <v>4310</v>
      </c>
      <c r="H11" s="36">
        <v>3</v>
      </c>
      <c r="I11" s="35">
        <v>3710</v>
      </c>
      <c r="J11" s="36">
        <v>3</v>
      </c>
      <c r="K11" s="35">
        <v>0</v>
      </c>
      <c r="L11" s="36">
        <v>0</v>
      </c>
      <c r="M11" s="35">
        <v>0</v>
      </c>
      <c r="N11" s="36">
        <v>0</v>
      </c>
      <c r="O11" s="35">
        <v>0</v>
      </c>
      <c r="P11" s="36">
        <v>0</v>
      </c>
      <c r="Q11" s="40">
        <f>Q8</f>
        <v>530</v>
      </c>
      <c r="R11" s="48">
        <f>R8</f>
        <v>5.8</v>
      </c>
      <c r="S11" s="156">
        <f t="shared" ref="S11:X11" si="3">S8</f>
        <v>0.01</v>
      </c>
      <c r="T11" s="156">
        <f t="shared" si="3"/>
        <v>0.02</v>
      </c>
      <c r="U11" s="156">
        <f t="shared" si="3"/>
        <v>0.03</v>
      </c>
      <c r="V11" s="156">
        <f t="shared" si="3"/>
        <v>0.04</v>
      </c>
      <c r="W11" s="40">
        <f t="shared" si="3"/>
        <v>140</v>
      </c>
      <c r="X11" s="48">
        <f t="shared" si="3"/>
        <v>4.9000000000000004</v>
      </c>
      <c r="Y11" s="17"/>
      <c r="Z11" s="26" t="s">
        <v>38</v>
      </c>
      <c r="AA11" s="26">
        <v>4</v>
      </c>
      <c r="AB11" s="32">
        <v>3590</v>
      </c>
      <c r="AC11" s="33">
        <v>1.9</v>
      </c>
      <c r="AD11" s="17"/>
      <c r="AE11" s="26" t="s">
        <v>168</v>
      </c>
      <c r="AF11" s="26" t="s">
        <v>108</v>
      </c>
      <c r="AG11" s="32">
        <v>220</v>
      </c>
      <c r="AH11" s="33">
        <v>2.2999999999999998</v>
      </c>
      <c r="AO11" s="17"/>
      <c r="AP11" s="34" t="s">
        <v>39</v>
      </c>
      <c r="AQ11" s="66">
        <v>3</v>
      </c>
      <c r="AR11" s="57">
        <v>0</v>
      </c>
      <c r="AS11" s="58">
        <v>0</v>
      </c>
    </row>
    <row r="12" spans="2:45" ht="15.75" customHeight="1">
      <c r="B12" s="21" t="s">
        <v>447</v>
      </c>
      <c r="C12" s="42" t="str">
        <f>C$8</f>
        <v>４歳以上児</v>
      </c>
      <c r="D12" s="22">
        <v>1</v>
      </c>
      <c r="E12" s="25" t="str">
        <f>E$8</f>
        <v>A</v>
      </c>
      <c r="F12" s="137" t="str">
        <f t="shared" si="0"/>
        <v>1A</v>
      </c>
      <c r="G12" s="27">
        <v>1880</v>
      </c>
      <c r="H12" s="43">
        <v>3.1</v>
      </c>
      <c r="I12" s="27">
        <v>1490</v>
      </c>
      <c r="J12" s="43">
        <v>3.1</v>
      </c>
      <c r="K12" s="24">
        <f t="shared" ref="K12:P12" si="4">K$8</f>
        <v>0</v>
      </c>
      <c r="L12" s="55">
        <f t="shared" si="4"/>
        <v>0</v>
      </c>
      <c r="M12" s="24">
        <f t="shared" si="4"/>
        <v>30</v>
      </c>
      <c r="N12" s="55">
        <f t="shared" si="4"/>
        <v>3.8</v>
      </c>
      <c r="O12" s="24">
        <f t="shared" si="4"/>
        <v>0</v>
      </c>
      <c r="P12" s="55">
        <f t="shared" si="4"/>
        <v>0</v>
      </c>
      <c r="Q12" s="27">
        <v>350</v>
      </c>
      <c r="R12" s="43">
        <v>5.8</v>
      </c>
      <c r="S12" s="155">
        <v>0.01</v>
      </c>
      <c r="T12" s="155">
        <v>0.02</v>
      </c>
      <c r="U12" s="155">
        <v>0.04</v>
      </c>
      <c r="V12" s="155">
        <v>0.05</v>
      </c>
      <c r="W12" s="27">
        <v>90</v>
      </c>
      <c r="X12" s="43">
        <v>5</v>
      </c>
      <c r="Y12" s="17"/>
      <c r="Z12" s="26" t="s">
        <v>40</v>
      </c>
      <c r="AA12" s="26">
        <v>5</v>
      </c>
      <c r="AB12" s="32">
        <v>4010</v>
      </c>
      <c r="AC12" s="33">
        <v>2</v>
      </c>
      <c r="AD12" s="17"/>
      <c r="AE12" s="26" t="s">
        <v>169</v>
      </c>
      <c r="AF12" s="26" t="s">
        <v>170</v>
      </c>
      <c r="AG12" s="32">
        <v>180</v>
      </c>
      <c r="AH12" s="33">
        <v>2.4</v>
      </c>
      <c r="AO12" s="17"/>
      <c r="AP12" s="17"/>
      <c r="AQ12" s="17"/>
      <c r="AR12" s="17"/>
      <c r="AS12" s="17"/>
    </row>
    <row r="13" spans="2:45" ht="15.75" customHeight="1">
      <c r="B13" s="21"/>
      <c r="C13" s="44" t="str">
        <f>C$9</f>
        <v>３歳児</v>
      </c>
      <c r="D13" s="28">
        <f>D12</f>
        <v>1</v>
      </c>
      <c r="E13" s="31" t="str">
        <f>E$9</f>
        <v>B</v>
      </c>
      <c r="F13" s="140" t="str">
        <f t="shared" si="0"/>
        <v>1B</v>
      </c>
      <c r="G13" s="32">
        <v>1960</v>
      </c>
      <c r="H13" s="33">
        <v>3.1</v>
      </c>
      <c r="I13" s="32">
        <v>1570</v>
      </c>
      <c r="J13" s="33">
        <v>3.1</v>
      </c>
      <c r="K13" s="30">
        <f t="shared" ref="K13:P13" si="5">K$9</f>
        <v>80</v>
      </c>
      <c r="L13" s="45">
        <f t="shared" si="5"/>
        <v>2.8</v>
      </c>
      <c r="M13" s="30">
        <f t="shared" si="5"/>
        <v>0</v>
      </c>
      <c r="N13" s="45">
        <f t="shared" si="5"/>
        <v>0</v>
      </c>
      <c r="O13" s="30">
        <f t="shared" si="5"/>
        <v>0</v>
      </c>
      <c r="P13" s="45">
        <f t="shared" si="5"/>
        <v>0</v>
      </c>
      <c r="Q13" s="30">
        <f>Q12</f>
        <v>350</v>
      </c>
      <c r="R13" s="45">
        <f>R12</f>
        <v>5.8</v>
      </c>
      <c r="S13" s="120">
        <f t="shared" ref="S13:X13" si="6">S12</f>
        <v>0.01</v>
      </c>
      <c r="T13" s="120">
        <f t="shared" si="6"/>
        <v>0.02</v>
      </c>
      <c r="U13" s="120">
        <f t="shared" si="6"/>
        <v>0.04</v>
      </c>
      <c r="V13" s="120">
        <f t="shared" si="6"/>
        <v>0.05</v>
      </c>
      <c r="W13" s="30">
        <f t="shared" si="6"/>
        <v>90</v>
      </c>
      <c r="X13" s="45">
        <f t="shared" si="6"/>
        <v>5</v>
      </c>
      <c r="Y13" s="17"/>
      <c r="Z13" s="26" t="s">
        <v>41</v>
      </c>
      <c r="AA13" s="26">
        <v>6</v>
      </c>
      <c r="AB13" s="32">
        <v>4440</v>
      </c>
      <c r="AC13" s="33">
        <v>2</v>
      </c>
      <c r="AD13" s="17"/>
      <c r="AE13" s="26" t="s">
        <v>171</v>
      </c>
      <c r="AF13" s="26" t="s">
        <v>172</v>
      </c>
      <c r="AG13" s="32">
        <v>150</v>
      </c>
      <c r="AH13" s="33">
        <v>2.4</v>
      </c>
      <c r="AJ13" s="17" t="s">
        <v>42</v>
      </c>
      <c r="AK13" s="17"/>
      <c r="AL13" s="17"/>
      <c r="AO13" s="17"/>
      <c r="AP13" s="17"/>
      <c r="AQ13" s="17"/>
      <c r="AR13" s="17"/>
      <c r="AS13" s="17"/>
    </row>
    <row r="14" spans="2:45" ht="15.75" customHeight="1">
      <c r="B14" s="21"/>
      <c r="C14" s="44" t="str">
        <f>C$10</f>
        <v>１、２歳児</v>
      </c>
      <c r="D14" s="28">
        <f>D12</f>
        <v>1</v>
      </c>
      <c r="E14" s="31" t="str">
        <f>E$10</f>
        <v>C</v>
      </c>
      <c r="F14" s="140" t="str">
        <f t="shared" si="0"/>
        <v>1C</v>
      </c>
      <c r="G14" s="32">
        <v>2580</v>
      </c>
      <c r="H14" s="33">
        <v>3</v>
      </c>
      <c r="I14" s="32">
        <v>2180</v>
      </c>
      <c r="J14" s="33">
        <v>3</v>
      </c>
      <c r="K14" s="30">
        <f t="shared" ref="K14:P14" si="7">K$10</f>
        <v>0</v>
      </c>
      <c r="L14" s="45">
        <f t="shared" si="7"/>
        <v>0</v>
      </c>
      <c r="M14" s="30">
        <f t="shared" si="7"/>
        <v>0</v>
      </c>
      <c r="N14" s="45">
        <f t="shared" si="7"/>
        <v>0</v>
      </c>
      <c r="O14" s="30">
        <f t="shared" si="7"/>
        <v>170</v>
      </c>
      <c r="P14" s="45">
        <f t="shared" si="7"/>
        <v>2.7</v>
      </c>
      <c r="Q14" s="30">
        <f>Q12</f>
        <v>350</v>
      </c>
      <c r="R14" s="45">
        <f>R12</f>
        <v>5.8</v>
      </c>
      <c r="S14" s="120">
        <f t="shared" ref="S14:X14" si="8">S12</f>
        <v>0.01</v>
      </c>
      <c r="T14" s="120">
        <f t="shared" si="8"/>
        <v>0.02</v>
      </c>
      <c r="U14" s="120">
        <f t="shared" si="8"/>
        <v>0.04</v>
      </c>
      <c r="V14" s="120">
        <f t="shared" si="8"/>
        <v>0.05</v>
      </c>
      <c r="W14" s="30">
        <f t="shared" si="8"/>
        <v>90</v>
      </c>
      <c r="X14" s="45">
        <f t="shared" si="8"/>
        <v>5</v>
      </c>
      <c r="Y14" s="17"/>
      <c r="Z14" s="26" t="s">
        <v>43</v>
      </c>
      <c r="AA14" s="26">
        <v>7</v>
      </c>
      <c r="AB14" s="32">
        <v>4870</v>
      </c>
      <c r="AC14" s="33">
        <v>1.9</v>
      </c>
      <c r="AD14" s="17"/>
      <c r="AE14" s="26" t="s">
        <v>173</v>
      </c>
      <c r="AF14" s="26" t="s">
        <v>174</v>
      </c>
      <c r="AG14" s="32">
        <v>130</v>
      </c>
      <c r="AH14" s="33">
        <v>2.5</v>
      </c>
      <c r="AJ14" s="17"/>
      <c r="AK14" s="17"/>
      <c r="AL14" s="18" t="s">
        <v>20</v>
      </c>
      <c r="AO14" s="17"/>
      <c r="AP14" s="17"/>
      <c r="AQ14" s="17"/>
      <c r="AR14" s="17"/>
      <c r="AS14" s="17"/>
    </row>
    <row r="15" spans="2:45" ht="15.75" customHeight="1">
      <c r="B15" s="37"/>
      <c r="C15" s="47" t="str">
        <f>C$11</f>
        <v>乳児</v>
      </c>
      <c r="D15" s="38">
        <f>D12</f>
        <v>1</v>
      </c>
      <c r="E15" s="41" t="str">
        <f>E$11</f>
        <v>D</v>
      </c>
      <c r="F15" s="143" t="str">
        <f t="shared" si="0"/>
        <v>1D</v>
      </c>
      <c r="G15" s="35">
        <v>3470</v>
      </c>
      <c r="H15" s="36">
        <v>3</v>
      </c>
      <c r="I15" s="35">
        <v>3070</v>
      </c>
      <c r="J15" s="36">
        <v>2.9</v>
      </c>
      <c r="K15" s="40">
        <f t="shared" ref="K15:P15" si="9">K$11</f>
        <v>0</v>
      </c>
      <c r="L15" s="48">
        <f t="shared" si="9"/>
        <v>0</v>
      </c>
      <c r="M15" s="40">
        <f t="shared" si="9"/>
        <v>0</v>
      </c>
      <c r="N15" s="48">
        <f t="shared" si="9"/>
        <v>0</v>
      </c>
      <c r="O15" s="40">
        <f t="shared" si="9"/>
        <v>0</v>
      </c>
      <c r="P15" s="48">
        <f t="shared" si="9"/>
        <v>0</v>
      </c>
      <c r="Q15" s="40">
        <f>Q12</f>
        <v>350</v>
      </c>
      <c r="R15" s="48">
        <f>R12</f>
        <v>5.8</v>
      </c>
      <c r="S15" s="156">
        <f t="shared" ref="S15:X15" si="10">S12</f>
        <v>0.01</v>
      </c>
      <c r="T15" s="156">
        <f t="shared" si="10"/>
        <v>0.02</v>
      </c>
      <c r="U15" s="156">
        <f t="shared" si="10"/>
        <v>0.04</v>
      </c>
      <c r="V15" s="156">
        <f t="shared" si="10"/>
        <v>0.05</v>
      </c>
      <c r="W15" s="40">
        <f t="shared" si="10"/>
        <v>90</v>
      </c>
      <c r="X15" s="48">
        <f t="shared" si="10"/>
        <v>5</v>
      </c>
      <c r="Y15" s="17"/>
      <c r="Z15" s="26" t="s">
        <v>44</v>
      </c>
      <c r="AA15" s="26">
        <v>8</v>
      </c>
      <c r="AB15" s="32">
        <v>5290</v>
      </c>
      <c r="AC15" s="33">
        <v>1.9</v>
      </c>
      <c r="AD15" s="17"/>
      <c r="AE15" s="26" t="s">
        <v>175</v>
      </c>
      <c r="AF15" s="26" t="s">
        <v>176</v>
      </c>
      <c r="AG15" s="32">
        <v>120</v>
      </c>
      <c r="AH15" s="33">
        <v>2.4</v>
      </c>
      <c r="AJ15" s="46" t="s">
        <v>177</v>
      </c>
      <c r="AK15" s="49"/>
      <c r="AL15" s="35">
        <v>50420</v>
      </c>
      <c r="AO15" s="17"/>
      <c r="AP15" s="17"/>
      <c r="AQ15" s="17"/>
      <c r="AR15" s="17"/>
      <c r="AS15" s="17"/>
    </row>
    <row r="16" spans="2:45" ht="15.75" customHeight="1">
      <c r="B16" s="21" t="s">
        <v>178</v>
      </c>
      <c r="C16" s="42" t="str">
        <f>C$8</f>
        <v>４歳以上児</v>
      </c>
      <c r="D16" s="22">
        <v>2</v>
      </c>
      <c r="E16" s="25" t="str">
        <f>E$8</f>
        <v>A</v>
      </c>
      <c r="F16" s="137" t="str">
        <f>D16&amp;E16</f>
        <v>2A</v>
      </c>
      <c r="G16" s="27">
        <v>1460</v>
      </c>
      <c r="H16" s="43">
        <v>3.1</v>
      </c>
      <c r="I16" s="27">
        <v>1170</v>
      </c>
      <c r="J16" s="43">
        <v>3</v>
      </c>
      <c r="K16" s="24">
        <f t="shared" ref="K16:P16" si="11">K$8</f>
        <v>0</v>
      </c>
      <c r="L16" s="55">
        <f t="shared" si="11"/>
        <v>0</v>
      </c>
      <c r="M16" s="24">
        <f t="shared" si="11"/>
        <v>30</v>
      </c>
      <c r="N16" s="55">
        <f t="shared" si="11"/>
        <v>3.8</v>
      </c>
      <c r="O16" s="24">
        <f t="shared" si="11"/>
        <v>0</v>
      </c>
      <c r="P16" s="55">
        <f t="shared" si="11"/>
        <v>0</v>
      </c>
      <c r="Q16" s="27">
        <v>260</v>
      </c>
      <c r="R16" s="43">
        <v>5.9</v>
      </c>
      <c r="S16" s="155">
        <v>0.01</v>
      </c>
      <c r="T16" s="155">
        <v>0.03</v>
      </c>
      <c r="U16" s="155">
        <v>0.04</v>
      </c>
      <c r="V16" s="155">
        <v>0.05</v>
      </c>
      <c r="W16" s="27">
        <v>70</v>
      </c>
      <c r="X16" s="43">
        <v>4.9000000000000004</v>
      </c>
      <c r="Y16" s="17"/>
      <c r="Z16" s="26" t="s">
        <v>46</v>
      </c>
      <c r="AA16" s="26">
        <v>9</v>
      </c>
      <c r="AB16" s="32">
        <v>5720</v>
      </c>
      <c r="AC16" s="33">
        <v>2</v>
      </c>
      <c r="AD16" s="17"/>
      <c r="AE16" s="26" t="s">
        <v>179</v>
      </c>
      <c r="AF16" s="26" t="s">
        <v>180</v>
      </c>
      <c r="AG16" s="32">
        <v>110</v>
      </c>
      <c r="AH16" s="33">
        <v>2.2999999999999998</v>
      </c>
      <c r="AJ16" s="46" t="s">
        <v>181</v>
      </c>
      <c r="AK16" s="49"/>
      <c r="AL16" s="35">
        <v>6300</v>
      </c>
      <c r="AM16" s="17"/>
      <c r="AN16" s="17"/>
      <c r="AO16" s="17"/>
      <c r="AP16" s="17"/>
      <c r="AQ16" s="17"/>
      <c r="AR16" s="17"/>
      <c r="AS16" s="17"/>
    </row>
    <row r="17" spans="2:45" ht="15.75" customHeight="1">
      <c r="B17" s="21"/>
      <c r="C17" s="44" t="str">
        <f>C$9</f>
        <v>３歳児</v>
      </c>
      <c r="D17" s="28">
        <f>D16</f>
        <v>2</v>
      </c>
      <c r="E17" s="31" t="str">
        <f>E$9</f>
        <v>B</v>
      </c>
      <c r="F17" s="140" t="str">
        <f>D17&amp;E17</f>
        <v>2B</v>
      </c>
      <c r="G17" s="32">
        <v>1540</v>
      </c>
      <c r="H17" s="33">
        <v>3.1</v>
      </c>
      <c r="I17" s="32">
        <v>1250</v>
      </c>
      <c r="J17" s="33">
        <v>3</v>
      </c>
      <c r="K17" s="30">
        <f t="shared" ref="K17:P17" si="12">K$9</f>
        <v>80</v>
      </c>
      <c r="L17" s="45">
        <f t="shared" si="12"/>
        <v>2.8</v>
      </c>
      <c r="M17" s="30">
        <f t="shared" si="12"/>
        <v>0</v>
      </c>
      <c r="N17" s="45">
        <f t="shared" si="12"/>
        <v>0</v>
      </c>
      <c r="O17" s="30">
        <f t="shared" si="12"/>
        <v>0</v>
      </c>
      <c r="P17" s="45">
        <f t="shared" si="12"/>
        <v>0</v>
      </c>
      <c r="Q17" s="30">
        <f>Q16</f>
        <v>260</v>
      </c>
      <c r="R17" s="45">
        <f>R16</f>
        <v>5.9</v>
      </c>
      <c r="S17" s="120">
        <f t="shared" ref="S17:X17" si="13">S16</f>
        <v>0.01</v>
      </c>
      <c r="T17" s="120">
        <f t="shared" si="13"/>
        <v>0.03</v>
      </c>
      <c r="U17" s="120">
        <f t="shared" si="13"/>
        <v>0.04</v>
      </c>
      <c r="V17" s="120">
        <f t="shared" si="13"/>
        <v>0.05</v>
      </c>
      <c r="W17" s="30">
        <f t="shared" si="13"/>
        <v>70</v>
      </c>
      <c r="X17" s="45">
        <f t="shared" si="13"/>
        <v>4.9000000000000004</v>
      </c>
      <c r="Y17" s="17"/>
      <c r="Z17" s="26" t="s">
        <v>47</v>
      </c>
      <c r="AA17" s="26">
        <v>10</v>
      </c>
      <c r="AB17" s="32">
        <v>6140</v>
      </c>
      <c r="AC17" s="33">
        <v>2</v>
      </c>
      <c r="AD17" s="17"/>
      <c r="AE17" s="26" t="s">
        <v>182</v>
      </c>
      <c r="AF17" s="26" t="s">
        <v>183</v>
      </c>
      <c r="AG17" s="32">
        <v>100</v>
      </c>
      <c r="AH17" s="33">
        <v>2.2999999999999998</v>
      </c>
      <c r="AJ17" s="46" t="s">
        <v>49</v>
      </c>
      <c r="AK17" s="49"/>
      <c r="AL17" s="35">
        <v>120</v>
      </c>
      <c r="AM17" s="17"/>
      <c r="AN17" s="17"/>
      <c r="AO17" s="17"/>
      <c r="AP17" s="17"/>
      <c r="AQ17" s="17"/>
      <c r="AR17" s="17"/>
      <c r="AS17" s="17"/>
    </row>
    <row r="18" spans="2:45" ht="15.75" customHeight="1">
      <c r="B18" s="21"/>
      <c r="C18" s="44" t="str">
        <f>C$10</f>
        <v>１、２歳児</v>
      </c>
      <c r="D18" s="28">
        <f>D16</f>
        <v>2</v>
      </c>
      <c r="E18" s="31" t="str">
        <f>E$10</f>
        <v>C</v>
      </c>
      <c r="F18" s="140" t="str">
        <f>D18&amp;E18</f>
        <v>2C</v>
      </c>
      <c r="G18" s="32">
        <v>2160</v>
      </c>
      <c r="H18" s="33">
        <v>3</v>
      </c>
      <c r="I18" s="32">
        <v>1860</v>
      </c>
      <c r="J18" s="33">
        <v>2.9</v>
      </c>
      <c r="K18" s="30">
        <f t="shared" ref="K18:P18" si="14">K$10</f>
        <v>0</v>
      </c>
      <c r="L18" s="45">
        <f t="shared" si="14"/>
        <v>0</v>
      </c>
      <c r="M18" s="30">
        <f t="shared" si="14"/>
        <v>0</v>
      </c>
      <c r="N18" s="45">
        <f t="shared" si="14"/>
        <v>0</v>
      </c>
      <c r="O18" s="30">
        <f t="shared" si="14"/>
        <v>170</v>
      </c>
      <c r="P18" s="45">
        <f t="shared" si="14"/>
        <v>2.7</v>
      </c>
      <c r="Q18" s="30">
        <f>Q16</f>
        <v>260</v>
      </c>
      <c r="R18" s="45">
        <f>R16</f>
        <v>5.9</v>
      </c>
      <c r="S18" s="120">
        <f t="shared" ref="S18:X18" si="15">S16</f>
        <v>0.01</v>
      </c>
      <c r="T18" s="120">
        <f t="shared" si="15"/>
        <v>0.03</v>
      </c>
      <c r="U18" s="120">
        <f t="shared" si="15"/>
        <v>0.04</v>
      </c>
      <c r="V18" s="120">
        <f t="shared" si="15"/>
        <v>0.05</v>
      </c>
      <c r="W18" s="30">
        <f t="shared" si="15"/>
        <v>70</v>
      </c>
      <c r="X18" s="45">
        <f t="shared" si="15"/>
        <v>4.9000000000000004</v>
      </c>
      <c r="Y18" s="17"/>
      <c r="Z18" s="26" t="s">
        <v>138</v>
      </c>
      <c r="AA18" s="26">
        <v>11</v>
      </c>
      <c r="AB18" s="32">
        <v>6570</v>
      </c>
      <c r="AC18" s="33">
        <v>1.9</v>
      </c>
      <c r="AD18" s="17"/>
      <c r="AE18" s="26" t="s">
        <v>184</v>
      </c>
      <c r="AF18" s="26" t="s">
        <v>185</v>
      </c>
      <c r="AG18" s="32">
        <v>90</v>
      </c>
      <c r="AH18" s="33">
        <v>2.4</v>
      </c>
      <c r="AJ18" s="46" t="s">
        <v>52</v>
      </c>
      <c r="AK18" s="49"/>
      <c r="AL18" s="35">
        <v>100000</v>
      </c>
      <c r="AM18" s="17"/>
      <c r="AN18" s="17"/>
      <c r="AO18" s="17"/>
      <c r="AP18" s="17"/>
      <c r="AQ18" s="17"/>
      <c r="AR18" s="17"/>
      <c r="AS18" s="17"/>
    </row>
    <row r="19" spans="2:45" ht="15.75" customHeight="1">
      <c r="B19" s="37"/>
      <c r="C19" s="47" t="str">
        <f>C$11</f>
        <v>乳児</v>
      </c>
      <c r="D19" s="38">
        <f>D16</f>
        <v>2</v>
      </c>
      <c r="E19" s="41" t="str">
        <f>E$11</f>
        <v>D</v>
      </c>
      <c r="F19" s="143" t="str">
        <f>D19&amp;E19</f>
        <v>2D</v>
      </c>
      <c r="G19" s="35">
        <v>3050</v>
      </c>
      <c r="H19" s="36">
        <v>2.9</v>
      </c>
      <c r="I19" s="35">
        <v>2750</v>
      </c>
      <c r="J19" s="36">
        <v>2.9</v>
      </c>
      <c r="K19" s="40">
        <f t="shared" ref="K19:P19" si="16">K$11</f>
        <v>0</v>
      </c>
      <c r="L19" s="48">
        <f t="shared" si="16"/>
        <v>0</v>
      </c>
      <c r="M19" s="40">
        <f t="shared" si="16"/>
        <v>0</v>
      </c>
      <c r="N19" s="48">
        <f t="shared" si="16"/>
        <v>0</v>
      </c>
      <c r="O19" s="40">
        <f t="shared" si="16"/>
        <v>0</v>
      </c>
      <c r="P19" s="48">
        <f t="shared" si="16"/>
        <v>0</v>
      </c>
      <c r="Q19" s="40">
        <f>Q16</f>
        <v>260</v>
      </c>
      <c r="R19" s="48">
        <f>R16</f>
        <v>5.9</v>
      </c>
      <c r="S19" s="156">
        <f t="shared" ref="S19:X19" si="17">S16</f>
        <v>0.01</v>
      </c>
      <c r="T19" s="156">
        <f t="shared" si="17"/>
        <v>0.03</v>
      </c>
      <c r="U19" s="156">
        <f t="shared" si="17"/>
        <v>0.04</v>
      </c>
      <c r="V19" s="156">
        <f t="shared" si="17"/>
        <v>0.05</v>
      </c>
      <c r="W19" s="40">
        <f t="shared" si="17"/>
        <v>70</v>
      </c>
      <c r="X19" s="48">
        <f t="shared" si="17"/>
        <v>4.9000000000000004</v>
      </c>
      <c r="Y19" s="17"/>
      <c r="Z19" s="26" t="s">
        <v>48</v>
      </c>
      <c r="AA19" s="26">
        <v>12</v>
      </c>
      <c r="AB19" s="32">
        <v>7000</v>
      </c>
      <c r="AC19" s="33">
        <v>1.9</v>
      </c>
      <c r="AD19" s="17"/>
      <c r="AE19" s="26" t="s">
        <v>186</v>
      </c>
      <c r="AF19" s="26" t="s">
        <v>187</v>
      </c>
      <c r="AG19" s="32">
        <v>70</v>
      </c>
      <c r="AH19" s="33">
        <v>2.4</v>
      </c>
      <c r="AJ19" s="46" t="s">
        <v>54</v>
      </c>
      <c r="AK19" s="49"/>
      <c r="AL19" s="35">
        <v>75000</v>
      </c>
      <c r="AM19" s="17"/>
      <c r="AN19" s="17"/>
      <c r="AO19" s="17"/>
      <c r="AP19" s="17"/>
      <c r="AQ19" s="17"/>
      <c r="AR19" s="17"/>
      <c r="AS19" s="17"/>
    </row>
    <row r="20" spans="2:45" ht="15.75" customHeight="1">
      <c r="B20" s="52" t="s">
        <v>45</v>
      </c>
      <c r="C20" s="42" t="str">
        <f>C$8</f>
        <v>４歳以上児</v>
      </c>
      <c r="D20" s="22">
        <v>3</v>
      </c>
      <c r="E20" s="25" t="str">
        <f>E$8</f>
        <v>A</v>
      </c>
      <c r="F20" s="145" t="str">
        <f t="shared" si="0"/>
        <v>3A</v>
      </c>
      <c r="G20" s="27">
        <v>1230</v>
      </c>
      <c r="H20" s="43">
        <v>3.2</v>
      </c>
      <c r="I20" s="27">
        <v>990</v>
      </c>
      <c r="J20" s="43">
        <v>3.2</v>
      </c>
      <c r="K20" s="24">
        <f t="shared" ref="K20:P20" si="18">K$8</f>
        <v>0</v>
      </c>
      <c r="L20" s="55">
        <f t="shared" si="18"/>
        <v>0</v>
      </c>
      <c r="M20" s="24">
        <f t="shared" si="18"/>
        <v>30</v>
      </c>
      <c r="N20" s="55">
        <f t="shared" si="18"/>
        <v>3.8</v>
      </c>
      <c r="O20" s="24">
        <f t="shared" si="18"/>
        <v>0</v>
      </c>
      <c r="P20" s="55">
        <f t="shared" si="18"/>
        <v>0</v>
      </c>
      <c r="Q20" s="27">
        <v>210</v>
      </c>
      <c r="R20" s="43">
        <v>5.8</v>
      </c>
      <c r="S20" s="155">
        <v>0.01</v>
      </c>
      <c r="T20" s="155">
        <v>0.03</v>
      </c>
      <c r="U20" s="155">
        <v>0.04</v>
      </c>
      <c r="V20" s="155">
        <v>0.05</v>
      </c>
      <c r="W20" s="27">
        <v>50</v>
      </c>
      <c r="X20" s="43">
        <v>5.4</v>
      </c>
      <c r="Y20" s="17"/>
      <c r="Z20" s="26" t="s">
        <v>51</v>
      </c>
      <c r="AA20" s="26">
        <v>13</v>
      </c>
      <c r="AB20" s="32">
        <v>7420</v>
      </c>
      <c r="AC20" s="33">
        <v>2</v>
      </c>
      <c r="AD20" s="17"/>
      <c r="AE20" s="26" t="s">
        <v>188</v>
      </c>
      <c r="AF20" s="26" t="s">
        <v>189</v>
      </c>
      <c r="AG20" s="32">
        <v>60</v>
      </c>
      <c r="AH20" s="33">
        <v>2.4</v>
      </c>
      <c r="AM20" s="17"/>
      <c r="AN20" s="17"/>
      <c r="AO20" s="17"/>
      <c r="AP20" s="17"/>
      <c r="AQ20" s="17"/>
      <c r="AR20" s="17"/>
      <c r="AS20" s="17"/>
    </row>
    <row r="21" spans="2:45" ht="15.75" customHeight="1">
      <c r="B21" s="21"/>
      <c r="C21" s="44" t="str">
        <f>C$9</f>
        <v>３歳児</v>
      </c>
      <c r="D21" s="28">
        <f>D20</f>
        <v>3</v>
      </c>
      <c r="E21" s="31" t="str">
        <f>E$9</f>
        <v>B</v>
      </c>
      <c r="F21" s="140" t="str">
        <f t="shared" si="0"/>
        <v>3B</v>
      </c>
      <c r="G21" s="32">
        <v>1310</v>
      </c>
      <c r="H21" s="33">
        <v>3.1</v>
      </c>
      <c r="I21" s="32">
        <v>1070</v>
      </c>
      <c r="J21" s="33">
        <v>3.1</v>
      </c>
      <c r="K21" s="30">
        <f t="shared" ref="K21:P21" si="19">K$9</f>
        <v>80</v>
      </c>
      <c r="L21" s="45">
        <f t="shared" si="19"/>
        <v>2.8</v>
      </c>
      <c r="M21" s="30">
        <f t="shared" si="19"/>
        <v>0</v>
      </c>
      <c r="N21" s="45">
        <f t="shared" si="19"/>
        <v>0</v>
      </c>
      <c r="O21" s="30">
        <f t="shared" si="19"/>
        <v>0</v>
      </c>
      <c r="P21" s="45">
        <f t="shared" si="19"/>
        <v>0</v>
      </c>
      <c r="Q21" s="30">
        <f>Q20</f>
        <v>210</v>
      </c>
      <c r="R21" s="45">
        <f>R20</f>
        <v>5.8</v>
      </c>
      <c r="S21" s="120">
        <f t="shared" ref="S21:X21" si="20">S20</f>
        <v>0.01</v>
      </c>
      <c r="T21" s="120">
        <f t="shared" si="20"/>
        <v>0.03</v>
      </c>
      <c r="U21" s="120">
        <f t="shared" si="20"/>
        <v>0.04</v>
      </c>
      <c r="V21" s="120">
        <f t="shared" si="20"/>
        <v>0.05</v>
      </c>
      <c r="W21" s="30">
        <f t="shared" si="20"/>
        <v>50</v>
      </c>
      <c r="X21" s="45">
        <f t="shared" si="20"/>
        <v>5.4</v>
      </c>
      <c r="Y21" s="17"/>
      <c r="Z21" s="26" t="s">
        <v>53</v>
      </c>
      <c r="AA21" s="26">
        <v>14</v>
      </c>
      <c r="AB21" s="32">
        <v>7850</v>
      </c>
      <c r="AC21" s="33">
        <v>2</v>
      </c>
      <c r="AD21" s="17"/>
      <c r="AE21" s="26" t="s">
        <v>190</v>
      </c>
      <c r="AF21" s="26" t="s">
        <v>191</v>
      </c>
      <c r="AG21" s="32">
        <v>50</v>
      </c>
      <c r="AH21" s="33">
        <v>2.4</v>
      </c>
      <c r="AO21" s="17"/>
      <c r="AP21" s="17"/>
      <c r="AQ21" s="17"/>
      <c r="AR21" s="17"/>
      <c r="AS21" s="17"/>
    </row>
    <row r="22" spans="2:45" ht="15.75" customHeight="1">
      <c r="B22" s="21"/>
      <c r="C22" s="44" t="str">
        <f>C$10</f>
        <v>１、２歳児</v>
      </c>
      <c r="D22" s="28">
        <f>D20</f>
        <v>3</v>
      </c>
      <c r="E22" s="31" t="str">
        <f>E$10</f>
        <v>C</v>
      </c>
      <c r="F22" s="140" t="str">
        <f t="shared" si="0"/>
        <v>3C</v>
      </c>
      <c r="G22" s="32">
        <v>1930</v>
      </c>
      <c r="H22" s="33">
        <v>3</v>
      </c>
      <c r="I22" s="32">
        <v>1690</v>
      </c>
      <c r="J22" s="33">
        <v>3</v>
      </c>
      <c r="K22" s="30">
        <f t="shared" ref="K22:P22" si="21">K$10</f>
        <v>0</v>
      </c>
      <c r="L22" s="45">
        <f t="shared" si="21"/>
        <v>0</v>
      </c>
      <c r="M22" s="30">
        <f t="shared" si="21"/>
        <v>0</v>
      </c>
      <c r="N22" s="45">
        <f t="shared" si="21"/>
        <v>0</v>
      </c>
      <c r="O22" s="30">
        <f t="shared" si="21"/>
        <v>170</v>
      </c>
      <c r="P22" s="45">
        <f t="shared" si="21"/>
        <v>2.7</v>
      </c>
      <c r="Q22" s="30">
        <f>Q20</f>
        <v>210</v>
      </c>
      <c r="R22" s="45">
        <f>R20</f>
        <v>5.8</v>
      </c>
      <c r="S22" s="120">
        <f t="shared" ref="S22:X22" si="22">S20</f>
        <v>0.01</v>
      </c>
      <c r="T22" s="120">
        <f t="shared" si="22"/>
        <v>0.03</v>
      </c>
      <c r="U22" s="120">
        <f t="shared" si="22"/>
        <v>0.04</v>
      </c>
      <c r="V22" s="120">
        <f t="shared" si="22"/>
        <v>0.05</v>
      </c>
      <c r="W22" s="30">
        <f t="shared" si="22"/>
        <v>50</v>
      </c>
      <c r="X22" s="45">
        <f t="shared" si="22"/>
        <v>5.4</v>
      </c>
      <c r="Y22" s="17"/>
      <c r="Z22" s="66" t="s">
        <v>55</v>
      </c>
      <c r="AA22" s="66">
        <v>15</v>
      </c>
      <c r="AB22" s="57">
        <v>8270</v>
      </c>
      <c r="AC22" s="58">
        <v>2.1</v>
      </c>
      <c r="AD22" s="17"/>
      <c r="AE22" s="26" t="s">
        <v>192</v>
      </c>
      <c r="AF22" s="26" t="s">
        <v>193</v>
      </c>
      <c r="AG22" s="32">
        <v>40</v>
      </c>
      <c r="AH22" s="33">
        <v>2.7</v>
      </c>
      <c r="AO22" s="17"/>
      <c r="AP22" s="17"/>
      <c r="AQ22" s="17"/>
      <c r="AR22" s="17"/>
      <c r="AS22" s="17"/>
    </row>
    <row r="23" spans="2:45" ht="15.75" customHeight="1">
      <c r="B23" s="56"/>
      <c r="C23" s="47" t="str">
        <f>C$11</f>
        <v>乳児</v>
      </c>
      <c r="D23" s="38">
        <f>D20</f>
        <v>3</v>
      </c>
      <c r="E23" s="41" t="str">
        <f>E$11</f>
        <v>D</v>
      </c>
      <c r="F23" s="143" t="str">
        <f t="shared" si="0"/>
        <v>3D</v>
      </c>
      <c r="G23" s="35">
        <v>2820</v>
      </c>
      <c r="H23" s="36">
        <v>2.9</v>
      </c>
      <c r="I23" s="35">
        <v>2580</v>
      </c>
      <c r="J23" s="36">
        <v>2.9</v>
      </c>
      <c r="K23" s="40">
        <f t="shared" ref="K23:P23" si="23">K$11</f>
        <v>0</v>
      </c>
      <c r="L23" s="48">
        <f t="shared" si="23"/>
        <v>0</v>
      </c>
      <c r="M23" s="40">
        <f t="shared" si="23"/>
        <v>0</v>
      </c>
      <c r="N23" s="48">
        <f t="shared" si="23"/>
        <v>0</v>
      </c>
      <c r="O23" s="40">
        <f t="shared" si="23"/>
        <v>0</v>
      </c>
      <c r="P23" s="48">
        <f t="shared" si="23"/>
        <v>0</v>
      </c>
      <c r="Q23" s="40">
        <f>Q20</f>
        <v>210</v>
      </c>
      <c r="R23" s="48">
        <f>R20</f>
        <v>5.8</v>
      </c>
      <c r="S23" s="156">
        <f t="shared" ref="S23:X23" si="24">S20</f>
        <v>0.01</v>
      </c>
      <c r="T23" s="156">
        <f t="shared" si="24"/>
        <v>0.03</v>
      </c>
      <c r="U23" s="156">
        <f t="shared" si="24"/>
        <v>0.04</v>
      </c>
      <c r="V23" s="156">
        <f t="shared" si="24"/>
        <v>0.05</v>
      </c>
      <c r="W23" s="40">
        <f t="shared" si="24"/>
        <v>50</v>
      </c>
      <c r="X23" s="48">
        <f t="shared" si="24"/>
        <v>5.4</v>
      </c>
      <c r="Y23" s="17"/>
      <c r="Z23" s="17"/>
      <c r="AA23" s="17"/>
      <c r="AB23" s="17"/>
      <c r="AC23" s="17"/>
      <c r="AD23" s="17"/>
      <c r="AE23" s="26" t="s">
        <v>194</v>
      </c>
      <c r="AF23" s="26" t="s">
        <v>195</v>
      </c>
      <c r="AG23" s="32">
        <v>40</v>
      </c>
      <c r="AH23" s="33">
        <v>2.4</v>
      </c>
      <c r="AO23" s="17"/>
      <c r="AP23" s="17"/>
      <c r="AQ23" s="17"/>
      <c r="AR23" s="17"/>
      <c r="AS23" s="17"/>
    </row>
    <row r="24" spans="2:45" ht="15.75" customHeight="1">
      <c r="B24" s="52" t="s">
        <v>50</v>
      </c>
      <c r="C24" s="42" t="str">
        <f>C$8</f>
        <v>４歳以上児</v>
      </c>
      <c r="D24" s="22">
        <v>4</v>
      </c>
      <c r="E24" s="25" t="str">
        <f>E$8</f>
        <v>A</v>
      </c>
      <c r="F24" s="145" t="str">
        <f>D24&amp;E24</f>
        <v>4A</v>
      </c>
      <c r="G24" s="27">
        <v>1060</v>
      </c>
      <c r="H24" s="43">
        <v>3.1</v>
      </c>
      <c r="I24" s="27">
        <v>860</v>
      </c>
      <c r="J24" s="43">
        <v>3.1</v>
      </c>
      <c r="K24" s="24">
        <f t="shared" ref="K24:P24" si="25">K$8</f>
        <v>0</v>
      </c>
      <c r="L24" s="55">
        <f t="shared" si="25"/>
        <v>0</v>
      </c>
      <c r="M24" s="24">
        <f t="shared" si="25"/>
        <v>30</v>
      </c>
      <c r="N24" s="55">
        <f t="shared" si="25"/>
        <v>3.8</v>
      </c>
      <c r="O24" s="24">
        <f t="shared" si="25"/>
        <v>0</v>
      </c>
      <c r="P24" s="55">
        <f t="shared" si="25"/>
        <v>0</v>
      </c>
      <c r="Q24" s="27">
        <v>170</v>
      </c>
      <c r="R24" s="43">
        <v>6</v>
      </c>
      <c r="S24" s="155">
        <v>0.01</v>
      </c>
      <c r="T24" s="155">
        <v>0.03</v>
      </c>
      <c r="U24" s="155">
        <v>0.04</v>
      </c>
      <c r="V24" s="155">
        <v>0.05</v>
      </c>
      <c r="W24" s="27">
        <v>40</v>
      </c>
      <c r="X24" s="43">
        <v>5.7</v>
      </c>
      <c r="Y24" s="17"/>
      <c r="Z24" s="17"/>
      <c r="AA24" s="17"/>
      <c r="AB24" s="17"/>
      <c r="AC24" s="17"/>
      <c r="AD24" s="17"/>
      <c r="AE24" s="26" t="s">
        <v>196</v>
      </c>
      <c r="AF24" s="26" t="s">
        <v>197</v>
      </c>
      <c r="AG24" s="32">
        <v>30</v>
      </c>
      <c r="AH24" s="33">
        <v>2.8</v>
      </c>
      <c r="AO24" s="17"/>
      <c r="AP24" s="17"/>
      <c r="AQ24" s="17"/>
      <c r="AR24" s="17"/>
      <c r="AS24" s="17"/>
    </row>
    <row r="25" spans="2:45" ht="15.75" customHeight="1">
      <c r="B25" s="21"/>
      <c r="C25" s="44" t="str">
        <f>C$9</f>
        <v>３歳児</v>
      </c>
      <c r="D25" s="28">
        <f>D24</f>
        <v>4</v>
      </c>
      <c r="E25" s="31" t="str">
        <f>E$9</f>
        <v>B</v>
      </c>
      <c r="F25" s="140" t="str">
        <f>D25&amp;E25</f>
        <v>4B</v>
      </c>
      <c r="G25" s="32">
        <v>1140</v>
      </c>
      <c r="H25" s="33">
        <v>3.1</v>
      </c>
      <c r="I25" s="32">
        <v>940</v>
      </c>
      <c r="J25" s="33">
        <v>3.1</v>
      </c>
      <c r="K25" s="30">
        <f t="shared" ref="K25:P25" si="26">K$9</f>
        <v>80</v>
      </c>
      <c r="L25" s="45">
        <f t="shared" si="26"/>
        <v>2.8</v>
      </c>
      <c r="M25" s="30">
        <f t="shared" si="26"/>
        <v>0</v>
      </c>
      <c r="N25" s="45">
        <f t="shared" si="26"/>
        <v>0</v>
      </c>
      <c r="O25" s="30">
        <f t="shared" si="26"/>
        <v>0</v>
      </c>
      <c r="P25" s="45">
        <f t="shared" si="26"/>
        <v>0</v>
      </c>
      <c r="Q25" s="30">
        <f>Q24</f>
        <v>170</v>
      </c>
      <c r="R25" s="45">
        <f>R24</f>
        <v>6</v>
      </c>
      <c r="S25" s="120">
        <f t="shared" ref="S25:X25" si="27">S24</f>
        <v>0.01</v>
      </c>
      <c r="T25" s="120">
        <f t="shared" si="27"/>
        <v>0.03</v>
      </c>
      <c r="U25" s="120">
        <f t="shared" si="27"/>
        <v>0.04</v>
      </c>
      <c r="V25" s="120">
        <f t="shared" si="27"/>
        <v>0.05</v>
      </c>
      <c r="W25" s="30">
        <f t="shared" si="27"/>
        <v>40</v>
      </c>
      <c r="X25" s="45">
        <f t="shared" si="27"/>
        <v>5.7</v>
      </c>
      <c r="Y25" s="17"/>
      <c r="Z25" s="17"/>
      <c r="AA25" s="17"/>
      <c r="AB25" s="17"/>
      <c r="AC25" s="17"/>
      <c r="AD25" s="17"/>
      <c r="AE25" s="26" t="s">
        <v>198</v>
      </c>
      <c r="AF25" s="26" t="s">
        <v>199</v>
      </c>
      <c r="AG25" s="32">
        <v>30</v>
      </c>
      <c r="AH25" s="33">
        <v>2.4</v>
      </c>
      <c r="AO25" s="17"/>
      <c r="AP25" s="17"/>
      <c r="AQ25" s="17"/>
      <c r="AR25" s="17"/>
      <c r="AS25" s="17"/>
    </row>
    <row r="26" spans="2:45" ht="15.75" customHeight="1">
      <c r="B26" s="21"/>
      <c r="C26" s="44" t="str">
        <f>C$10</f>
        <v>１、２歳児</v>
      </c>
      <c r="D26" s="28">
        <f>D24</f>
        <v>4</v>
      </c>
      <c r="E26" s="31" t="str">
        <f>E$10</f>
        <v>C</v>
      </c>
      <c r="F26" s="140" t="str">
        <f>D26&amp;E26</f>
        <v>4C</v>
      </c>
      <c r="G26" s="32">
        <v>1750</v>
      </c>
      <c r="H26" s="33">
        <v>3</v>
      </c>
      <c r="I26" s="32">
        <v>1560</v>
      </c>
      <c r="J26" s="33">
        <v>3</v>
      </c>
      <c r="K26" s="30">
        <f t="shared" ref="K26:P26" si="28">K$10</f>
        <v>0</v>
      </c>
      <c r="L26" s="45">
        <f t="shared" si="28"/>
        <v>0</v>
      </c>
      <c r="M26" s="30">
        <f t="shared" si="28"/>
        <v>0</v>
      </c>
      <c r="N26" s="45">
        <f t="shared" si="28"/>
        <v>0</v>
      </c>
      <c r="O26" s="30">
        <f t="shared" si="28"/>
        <v>170</v>
      </c>
      <c r="P26" s="45">
        <f t="shared" si="28"/>
        <v>2.7</v>
      </c>
      <c r="Q26" s="30">
        <f>Q24</f>
        <v>170</v>
      </c>
      <c r="R26" s="45">
        <f>R24</f>
        <v>6</v>
      </c>
      <c r="S26" s="120">
        <f t="shared" ref="S26:X26" si="29">S24</f>
        <v>0.01</v>
      </c>
      <c r="T26" s="120">
        <f t="shared" si="29"/>
        <v>0.03</v>
      </c>
      <c r="U26" s="120">
        <f t="shared" si="29"/>
        <v>0.04</v>
      </c>
      <c r="V26" s="120">
        <f t="shared" si="29"/>
        <v>0.05</v>
      </c>
      <c r="W26" s="30">
        <f t="shared" si="29"/>
        <v>40</v>
      </c>
      <c r="X26" s="45">
        <f t="shared" si="29"/>
        <v>5.7</v>
      </c>
      <c r="Y26" s="17"/>
      <c r="Z26" s="17"/>
      <c r="AA26" s="17"/>
      <c r="AB26" s="17"/>
      <c r="AC26" s="17"/>
      <c r="AD26" s="17"/>
      <c r="AE26" s="26" t="s">
        <v>200</v>
      </c>
      <c r="AF26" s="26" t="s">
        <v>201</v>
      </c>
      <c r="AG26" s="32">
        <v>20</v>
      </c>
      <c r="AH26" s="33">
        <v>3.1</v>
      </c>
      <c r="AO26" s="17"/>
      <c r="AP26" s="17"/>
      <c r="AQ26" s="17"/>
      <c r="AR26" s="17"/>
      <c r="AS26" s="17"/>
    </row>
    <row r="27" spans="2:45" ht="15.75" customHeight="1">
      <c r="B27" s="56"/>
      <c r="C27" s="47" t="str">
        <f>C$11</f>
        <v>乳児</v>
      </c>
      <c r="D27" s="38">
        <f>D24</f>
        <v>4</v>
      </c>
      <c r="E27" s="41" t="str">
        <f>E$11</f>
        <v>D</v>
      </c>
      <c r="F27" s="143" t="str">
        <f>D27&amp;E27</f>
        <v>4D</v>
      </c>
      <c r="G27" s="35">
        <v>2640</v>
      </c>
      <c r="H27" s="36">
        <v>2.9</v>
      </c>
      <c r="I27" s="35">
        <v>2450</v>
      </c>
      <c r="J27" s="36">
        <v>2.9</v>
      </c>
      <c r="K27" s="40">
        <f t="shared" ref="K27:P27" si="30">K$11</f>
        <v>0</v>
      </c>
      <c r="L27" s="48">
        <f t="shared" si="30"/>
        <v>0</v>
      </c>
      <c r="M27" s="40">
        <f t="shared" si="30"/>
        <v>0</v>
      </c>
      <c r="N27" s="48">
        <f t="shared" si="30"/>
        <v>0</v>
      </c>
      <c r="O27" s="40">
        <f t="shared" si="30"/>
        <v>0</v>
      </c>
      <c r="P27" s="48">
        <f t="shared" si="30"/>
        <v>0</v>
      </c>
      <c r="Q27" s="40">
        <f>Q24</f>
        <v>170</v>
      </c>
      <c r="R27" s="48">
        <f>R24</f>
        <v>6</v>
      </c>
      <c r="S27" s="156">
        <f t="shared" ref="S27:X27" si="31">S24</f>
        <v>0.01</v>
      </c>
      <c r="T27" s="156">
        <f t="shared" si="31"/>
        <v>0.03</v>
      </c>
      <c r="U27" s="156">
        <f t="shared" si="31"/>
        <v>0.04</v>
      </c>
      <c r="V27" s="156">
        <f t="shared" si="31"/>
        <v>0.05</v>
      </c>
      <c r="W27" s="40">
        <f t="shared" si="31"/>
        <v>40</v>
      </c>
      <c r="X27" s="48">
        <f t="shared" si="31"/>
        <v>5.7</v>
      </c>
      <c r="Y27" s="17"/>
      <c r="Z27" s="17"/>
      <c r="AA27" s="17"/>
      <c r="AB27" s="17"/>
      <c r="AC27" s="17"/>
      <c r="AD27" s="17"/>
      <c r="AE27" s="26" t="s">
        <v>202</v>
      </c>
      <c r="AF27" s="26" t="s">
        <v>203</v>
      </c>
      <c r="AG27" s="32">
        <v>20</v>
      </c>
      <c r="AH27" s="33">
        <v>2.7</v>
      </c>
      <c r="AO27" s="17"/>
      <c r="AP27" s="17"/>
      <c r="AQ27" s="17"/>
      <c r="AR27" s="17"/>
      <c r="AS27" s="17"/>
    </row>
    <row r="28" spans="2:45" ht="15.75" customHeight="1">
      <c r="B28" s="52" t="s">
        <v>56</v>
      </c>
      <c r="C28" s="42" t="str">
        <f>C$8</f>
        <v>４歳以上児</v>
      </c>
      <c r="D28" s="22">
        <v>5</v>
      </c>
      <c r="E28" s="25" t="str">
        <f>E$8</f>
        <v>A</v>
      </c>
      <c r="F28" s="145" t="str">
        <f t="shared" si="0"/>
        <v>5A</v>
      </c>
      <c r="G28" s="27">
        <v>930</v>
      </c>
      <c r="H28" s="43">
        <v>3</v>
      </c>
      <c r="I28" s="27">
        <v>760</v>
      </c>
      <c r="J28" s="43">
        <v>3</v>
      </c>
      <c r="K28" s="24">
        <f t="shared" ref="K28:P28" si="32">K$8</f>
        <v>0</v>
      </c>
      <c r="L28" s="55">
        <f t="shared" si="32"/>
        <v>0</v>
      </c>
      <c r="M28" s="24">
        <f t="shared" si="32"/>
        <v>30</v>
      </c>
      <c r="N28" s="55">
        <f t="shared" si="32"/>
        <v>3.8</v>
      </c>
      <c r="O28" s="24">
        <f t="shared" si="32"/>
        <v>0</v>
      </c>
      <c r="P28" s="55">
        <f t="shared" si="32"/>
        <v>0</v>
      </c>
      <c r="Q28" s="27">
        <v>150</v>
      </c>
      <c r="R28" s="43">
        <v>5.8</v>
      </c>
      <c r="S28" s="155">
        <v>0.01</v>
      </c>
      <c r="T28" s="155">
        <v>0.03</v>
      </c>
      <c r="U28" s="155">
        <v>0.04</v>
      </c>
      <c r="V28" s="155">
        <v>0.05</v>
      </c>
      <c r="W28" s="27">
        <v>40</v>
      </c>
      <c r="X28" s="43">
        <v>4.9000000000000004</v>
      </c>
      <c r="Y28" s="17"/>
      <c r="Z28" s="17"/>
      <c r="AA28" s="17"/>
      <c r="AB28" s="17"/>
      <c r="AC28" s="17"/>
      <c r="AD28" s="17"/>
      <c r="AE28" s="26" t="s">
        <v>204</v>
      </c>
      <c r="AF28" s="26" t="s">
        <v>205</v>
      </c>
      <c r="AG28" s="32">
        <v>20</v>
      </c>
      <c r="AH28" s="33">
        <v>2.4</v>
      </c>
      <c r="AO28" s="17"/>
      <c r="AP28" s="17"/>
      <c r="AQ28" s="17"/>
      <c r="AR28" s="17"/>
      <c r="AS28" s="17"/>
    </row>
    <row r="29" spans="2:45" ht="15.75" customHeight="1">
      <c r="B29" s="21"/>
      <c r="C29" s="44" t="str">
        <f>C$9</f>
        <v>３歳児</v>
      </c>
      <c r="D29" s="28">
        <f>D28</f>
        <v>5</v>
      </c>
      <c r="E29" s="31" t="str">
        <f>E$9</f>
        <v>B</v>
      </c>
      <c r="F29" s="140" t="str">
        <f t="shared" si="0"/>
        <v>5B</v>
      </c>
      <c r="G29" s="32">
        <v>1010</v>
      </c>
      <c r="H29" s="33">
        <v>3</v>
      </c>
      <c r="I29" s="32">
        <v>840</v>
      </c>
      <c r="J29" s="33">
        <v>3</v>
      </c>
      <c r="K29" s="30">
        <f t="shared" ref="K29:P29" si="33">K$9</f>
        <v>80</v>
      </c>
      <c r="L29" s="45">
        <f t="shared" si="33"/>
        <v>2.8</v>
      </c>
      <c r="M29" s="30">
        <f t="shared" si="33"/>
        <v>0</v>
      </c>
      <c r="N29" s="45">
        <f t="shared" si="33"/>
        <v>0</v>
      </c>
      <c r="O29" s="30">
        <f t="shared" si="33"/>
        <v>0</v>
      </c>
      <c r="P29" s="45">
        <f t="shared" si="33"/>
        <v>0</v>
      </c>
      <c r="Q29" s="30">
        <f>Q28</f>
        <v>150</v>
      </c>
      <c r="R29" s="45">
        <f>R28</f>
        <v>5.8</v>
      </c>
      <c r="S29" s="120">
        <f t="shared" ref="S29:X29" si="34">S28</f>
        <v>0.01</v>
      </c>
      <c r="T29" s="120">
        <f t="shared" si="34"/>
        <v>0.03</v>
      </c>
      <c r="U29" s="120">
        <f t="shared" si="34"/>
        <v>0.04</v>
      </c>
      <c r="V29" s="120">
        <f t="shared" si="34"/>
        <v>0.05</v>
      </c>
      <c r="W29" s="30">
        <f t="shared" si="34"/>
        <v>40</v>
      </c>
      <c r="X29" s="45">
        <f t="shared" si="34"/>
        <v>4.9000000000000004</v>
      </c>
      <c r="Y29" s="17"/>
      <c r="AA29" s="17"/>
      <c r="AB29" s="17"/>
      <c r="AC29" s="17"/>
      <c r="AD29" s="17"/>
      <c r="AE29" s="26" t="s">
        <v>206</v>
      </c>
      <c r="AF29" s="26" t="s">
        <v>207</v>
      </c>
      <c r="AG29" s="32">
        <v>10</v>
      </c>
      <c r="AH29" s="33">
        <v>4.3</v>
      </c>
      <c r="AO29" s="17"/>
      <c r="AP29" s="17"/>
      <c r="AQ29" s="17"/>
      <c r="AR29" s="17"/>
      <c r="AS29" s="17"/>
    </row>
    <row r="30" spans="2:45" ht="15.75" customHeight="1">
      <c r="B30" s="21"/>
      <c r="C30" s="44" t="str">
        <f>C$10</f>
        <v>１、２歳児</v>
      </c>
      <c r="D30" s="28">
        <f>D28</f>
        <v>5</v>
      </c>
      <c r="E30" s="31" t="str">
        <f>E$10</f>
        <v>C</v>
      </c>
      <c r="F30" s="140" t="str">
        <f t="shared" si="0"/>
        <v>5C</v>
      </c>
      <c r="G30" s="32">
        <v>1630</v>
      </c>
      <c r="H30" s="33">
        <v>2.9</v>
      </c>
      <c r="I30" s="32">
        <v>1460</v>
      </c>
      <c r="J30" s="33">
        <v>2.9</v>
      </c>
      <c r="K30" s="30">
        <f t="shared" ref="K30:P30" si="35">K$10</f>
        <v>0</v>
      </c>
      <c r="L30" s="45">
        <f t="shared" si="35"/>
        <v>0</v>
      </c>
      <c r="M30" s="30">
        <f t="shared" si="35"/>
        <v>0</v>
      </c>
      <c r="N30" s="45">
        <f t="shared" si="35"/>
        <v>0</v>
      </c>
      <c r="O30" s="30">
        <f t="shared" si="35"/>
        <v>170</v>
      </c>
      <c r="P30" s="45">
        <f t="shared" si="35"/>
        <v>2.7</v>
      </c>
      <c r="Q30" s="30">
        <f>Q28</f>
        <v>150</v>
      </c>
      <c r="R30" s="45">
        <f>R28</f>
        <v>5.8</v>
      </c>
      <c r="S30" s="120">
        <f t="shared" ref="S30:X30" si="36">S28</f>
        <v>0.01</v>
      </c>
      <c r="T30" s="120">
        <f t="shared" si="36"/>
        <v>0.03</v>
      </c>
      <c r="U30" s="120">
        <f t="shared" si="36"/>
        <v>0.04</v>
      </c>
      <c r="V30" s="120">
        <f t="shared" si="36"/>
        <v>0.05</v>
      </c>
      <c r="W30" s="30">
        <f t="shared" si="36"/>
        <v>40</v>
      </c>
      <c r="X30" s="45">
        <f t="shared" si="36"/>
        <v>4.9000000000000004</v>
      </c>
      <c r="Y30" s="17"/>
      <c r="AA30" s="17"/>
      <c r="AB30" s="17"/>
      <c r="AC30" s="17"/>
      <c r="AD30" s="17"/>
      <c r="AE30" s="34" t="s">
        <v>208</v>
      </c>
      <c r="AF30" s="66" t="s">
        <v>209</v>
      </c>
      <c r="AG30" s="57">
        <v>10</v>
      </c>
      <c r="AH30" s="58">
        <v>3.9</v>
      </c>
      <c r="AO30" s="17"/>
      <c r="AP30" s="17"/>
      <c r="AQ30" s="17"/>
      <c r="AR30" s="17"/>
      <c r="AS30" s="17"/>
    </row>
    <row r="31" spans="2:45" ht="15.75" customHeight="1">
      <c r="B31" s="56"/>
      <c r="C31" s="47" t="str">
        <f>C$11</f>
        <v>乳児</v>
      </c>
      <c r="D31" s="38">
        <f>D28</f>
        <v>5</v>
      </c>
      <c r="E31" s="41" t="str">
        <f>E$11</f>
        <v>D</v>
      </c>
      <c r="F31" s="143" t="str">
        <f t="shared" si="0"/>
        <v>5D</v>
      </c>
      <c r="G31" s="35">
        <v>2520</v>
      </c>
      <c r="H31" s="36">
        <v>2.9</v>
      </c>
      <c r="I31" s="35">
        <v>2350</v>
      </c>
      <c r="J31" s="36">
        <v>2.9</v>
      </c>
      <c r="K31" s="40">
        <f t="shared" ref="K31:P31" si="37">K$11</f>
        <v>0</v>
      </c>
      <c r="L31" s="48">
        <f t="shared" si="37"/>
        <v>0</v>
      </c>
      <c r="M31" s="40">
        <f t="shared" si="37"/>
        <v>0</v>
      </c>
      <c r="N31" s="48">
        <f t="shared" si="37"/>
        <v>0</v>
      </c>
      <c r="O31" s="40">
        <f t="shared" si="37"/>
        <v>0</v>
      </c>
      <c r="P31" s="48">
        <f t="shared" si="37"/>
        <v>0</v>
      </c>
      <c r="Q31" s="40">
        <f>Q28</f>
        <v>150</v>
      </c>
      <c r="R31" s="48">
        <f>R28</f>
        <v>5.8</v>
      </c>
      <c r="S31" s="156">
        <f t="shared" ref="S31:X31" si="38">S28</f>
        <v>0.01</v>
      </c>
      <c r="T31" s="156">
        <f t="shared" si="38"/>
        <v>0.03</v>
      </c>
      <c r="U31" s="156">
        <f t="shared" si="38"/>
        <v>0.04</v>
      </c>
      <c r="V31" s="156">
        <f t="shared" si="38"/>
        <v>0.05</v>
      </c>
      <c r="W31" s="40">
        <f t="shared" si="38"/>
        <v>40</v>
      </c>
      <c r="X31" s="48">
        <f t="shared" si="38"/>
        <v>4.9000000000000004</v>
      </c>
      <c r="Y31" s="17"/>
      <c r="AA31" s="17"/>
      <c r="AB31" s="17"/>
      <c r="AC31" s="17"/>
      <c r="AD31" s="17"/>
      <c r="AE31" s="17"/>
      <c r="AF31" s="17"/>
      <c r="AG31" s="17"/>
      <c r="AH31" s="17"/>
      <c r="AO31" s="17"/>
      <c r="AP31" s="17"/>
      <c r="AQ31" s="17"/>
      <c r="AR31" s="17"/>
      <c r="AS31" s="17"/>
    </row>
    <row r="32" spans="2:45" ht="15.75" customHeight="1">
      <c r="B32" s="52" t="s">
        <v>57</v>
      </c>
      <c r="C32" s="42" t="str">
        <f>C$8</f>
        <v>４歳以上児</v>
      </c>
      <c r="D32" s="22">
        <v>6</v>
      </c>
      <c r="E32" s="25" t="str">
        <f>E$8</f>
        <v>A</v>
      </c>
      <c r="F32" s="145" t="str">
        <f>D32&amp;E32</f>
        <v>6A</v>
      </c>
      <c r="G32" s="27">
        <v>850</v>
      </c>
      <c r="H32" s="43">
        <v>3</v>
      </c>
      <c r="I32" s="27">
        <v>700</v>
      </c>
      <c r="J32" s="43">
        <v>3</v>
      </c>
      <c r="K32" s="24">
        <f t="shared" ref="K32:P32" si="39">K$8</f>
        <v>0</v>
      </c>
      <c r="L32" s="55">
        <f t="shared" si="39"/>
        <v>0</v>
      </c>
      <c r="M32" s="24">
        <f t="shared" si="39"/>
        <v>30</v>
      </c>
      <c r="N32" s="55">
        <f t="shared" si="39"/>
        <v>3.8</v>
      </c>
      <c r="O32" s="24">
        <f t="shared" si="39"/>
        <v>0</v>
      </c>
      <c r="P32" s="55">
        <f t="shared" si="39"/>
        <v>0</v>
      </c>
      <c r="Q32" s="27">
        <v>130</v>
      </c>
      <c r="R32" s="43">
        <v>5.9</v>
      </c>
      <c r="S32" s="155">
        <v>0.01</v>
      </c>
      <c r="T32" s="155">
        <v>0.03</v>
      </c>
      <c r="U32" s="155">
        <v>0.04</v>
      </c>
      <c r="V32" s="155">
        <v>0.05</v>
      </c>
      <c r="W32" s="27">
        <v>30</v>
      </c>
      <c r="X32" s="43">
        <v>5.7</v>
      </c>
      <c r="Y32" s="17"/>
      <c r="Z32" s="17"/>
      <c r="AA32" s="17"/>
      <c r="AB32" s="17"/>
      <c r="AC32" s="17"/>
      <c r="AD32" s="17"/>
      <c r="AE32" s="17"/>
      <c r="AF32" s="17"/>
      <c r="AG32" s="17"/>
      <c r="AH32" s="17"/>
      <c r="AO32" s="17"/>
      <c r="AP32" s="17"/>
      <c r="AQ32" s="17"/>
      <c r="AR32" s="17"/>
      <c r="AS32" s="17"/>
    </row>
    <row r="33" spans="2:45" ht="15.75" customHeight="1">
      <c r="B33" s="21"/>
      <c r="C33" s="44" t="str">
        <f>C$9</f>
        <v>３歳児</v>
      </c>
      <c r="D33" s="28">
        <f>D32</f>
        <v>6</v>
      </c>
      <c r="E33" s="31" t="str">
        <f>E$9</f>
        <v>B</v>
      </c>
      <c r="F33" s="140" t="str">
        <f>D33&amp;E33</f>
        <v>6B</v>
      </c>
      <c r="G33" s="32">
        <v>930</v>
      </c>
      <c r="H33" s="33">
        <v>3</v>
      </c>
      <c r="I33" s="32">
        <v>780</v>
      </c>
      <c r="J33" s="33">
        <v>3</v>
      </c>
      <c r="K33" s="30">
        <f t="shared" ref="K33:P33" si="40">K$9</f>
        <v>80</v>
      </c>
      <c r="L33" s="45">
        <f t="shared" si="40"/>
        <v>2.8</v>
      </c>
      <c r="M33" s="30">
        <f t="shared" si="40"/>
        <v>0</v>
      </c>
      <c r="N33" s="45">
        <f t="shared" si="40"/>
        <v>0</v>
      </c>
      <c r="O33" s="30">
        <f t="shared" si="40"/>
        <v>0</v>
      </c>
      <c r="P33" s="45">
        <f t="shared" si="40"/>
        <v>0</v>
      </c>
      <c r="Q33" s="30">
        <f>Q32</f>
        <v>130</v>
      </c>
      <c r="R33" s="45">
        <f>R32</f>
        <v>5.9</v>
      </c>
      <c r="S33" s="120">
        <f t="shared" ref="S33:X33" si="41">S32</f>
        <v>0.01</v>
      </c>
      <c r="T33" s="120">
        <f t="shared" si="41"/>
        <v>0.03</v>
      </c>
      <c r="U33" s="120">
        <f t="shared" si="41"/>
        <v>0.04</v>
      </c>
      <c r="V33" s="120">
        <f t="shared" si="41"/>
        <v>0.05</v>
      </c>
      <c r="W33" s="30">
        <f t="shared" si="41"/>
        <v>30</v>
      </c>
      <c r="X33" s="45">
        <f t="shared" si="41"/>
        <v>5.7</v>
      </c>
      <c r="Y33" s="17"/>
      <c r="AA33" s="17"/>
      <c r="AB33" s="17"/>
      <c r="AC33" s="17"/>
      <c r="AD33" s="17"/>
      <c r="AE33" s="17"/>
      <c r="AF33" s="17"/>
      <c r="AG33" s="17"/>
      <c r="AH33" s="17"/>
      <c r="AO33" s="17"/>
      <c r="AP33" s="17"/>
      <c r="AQ33" s="17"/>
      <c r="AR33" s="17"/>
      <c r="AS33" s="17"/>
    </row>
    <row r="34" spans="2:45" ht="15.75" customHeight="1">
      <c r="B34" s="21"/>
      <c r="C34" s="44" t="str">
        <f>C$10</f>
        <v>１、２歳児</v>
      </c>
      <c r="D34" s="28">
        <f>D32</f>
        <v>6</v>
      </c>
      <c r="E34" s="31" t="str">
        <f>E$10</f>
        <v>C</v>
      </c>
      <c r="F34" s="140" t="str">
        <f>D34&amp;E34</f>
        <v>6C</v>
      </c>
      <c r="G34" s="32">
        <v>1540</v>
      </c>
      <c r="H34" s="33">
        <v>2.9</v>
      </c>
      <c r="I34" s="32">
        <v>1390</v>
      </c>
      <c r="J34" s="33">
        <v>2.9</v>
      </c>
      <c r="K34" s="30">
        <f t="shared" ref="K34:P34" si="42">K$10</f>
        <v>0</v>
      </c>
      <c r="L34" s="45">
        <f t="shared" si="42"/>
        <v>0</v>
      </c>
      <c r="M34" s="30">
        <f t="shared" si="42"/>
        <v>0</v>
      </c>
      <c r="N34" s="45">
        <f t="shared" si="42"/>
        <v>0</v>
      </c>
      <c r="O34" s="30">
        <f t="shared" si="42"/>
        <v>170</v>
      </c>
      <c r="P34" s="45">
        <f t="shared" si="42"/>
        <v>2.7</v>
      </c>
      <c r="Q34" s="30">
        <f>Q32</f>
        <v>130</v>
      </c>
      <c r="R34" s="45">
        <f>R32</f>
        <v>5.9</v>
      </c>
      <c r="S34" s="120">
        <f t="shared" ref="S34:X34" si="43">S32</f>
        <v>0.01</v>
      </c>
      <c r="T34" s="120">
        <f t="shared" si="43"/>
        <v>0.03</v>
      </c>
      <c r="U34" s="120">
        <f t="shared" si="43"/>
        <v>0.04</v>
      </c>
      <c r="V34" s="120">
        <f t="shared" si="43"/>
        <v>0.05</v>
      </c>
      <c r="W34" s="30">
        <f t="shared" si="43"/>
        <v>30</v>
      </c>
      <c r="X34" s="45">
        <f t="shared" si="43"/>
        <v>5.7</v>
      </c>
      <c r="Y34" s="17"/>
      <c r="Z34" s="2" t="s">
        <v>250</v>
      </c>
      <c r="AA34" s="17"/>
      <c r="AB34" s="17"/>
      <c r="AC34" s="17"/>
      <c r="AD34" s="17"/>
      <c r="AE34" s="17"/>
      <c r="AF34" s="17"/>
      <c r="AG34" s="17"/>
      <c r="AH34" s="17"/>
      <c r="AO34" s="17"/>
      <c r="AP34" s="17"/>
      <c r="AQ34" s="17"/>
      <c r="AR34" s="17"/>
      <c r="AS34" s="17"/>
    </row>
    <row r="35" spans="2:45" ht="15.75" customHeight="1">
      <c r="B35" s="56"/>
      <c r="C35" s="47" t="str">
        <f>C$11</f>
        <v>乳児</v>
      </c>
      <c r="D35" s="38">
        <f>D32</f>
        <v>6</v>
      </c>
      <c r="E35" s="41" t="str">
        <f>E$11</f>
        <v>D</v>
      </c>
      <c r="F35" s="143" t="str">
        <f>D35&amp;E35</f>
        <v>6D</v>
      </c>
      <c r="G35" s="35">
        <v>2430</v>
      </c>
      <c r="H35" s="36">
        <v>2.9</v>
      </c>
      <c r="I35" s="35">
        <v>2280</v>
      </c>
      <c r="J35" s="36">
        <v>2.9</v>
      </c>
      <c r="K35" s="40">
        <f t="shared" ref="K35:P35" si="44">K$11</f>
        <v>0</v>
      </c>
      <c r="L35" s="48">
        <f t="shared" si="44"/>
        <v>0</v>
      </c>
      <c r="M35" s="40">
        <f t="shared" si="44"/>
        <v>0</v>
      </c>
      <c r="N35" s="48">
        <f t="shared" si="44"/>
        <v>0</v>
      </c>
      <c r="O35" s="40">
        <f t="shared" si="44"/>
        <v>0</v>
      </c>
      <c r="P35" s="48">
        <f t="shared" si="44"/>
        <v>0</v>
      </c>
      <c r="Q35" s="40">
        <f>Q32</f>
        <v>130</v>
      </c>
      <c r="R35" s="48">
        <f>R32</f>
        <v>5.9</v>
      </c>
      <c r="S35" s="156">
        <f t="shared" ref="S35:X35" si="45">S32</f>
        <v>0.01</v>
      </c>
      <c r="T35" s="156">
        <f t="shared" si="45"/>
        <v>0.03</v>
      </c>
      <c r="U35" s="156">
        <f t="shared" si="45"/>
        <v>0.04</v>
      </c>
      <c r="V35" s="156">
        <f t="shared" si="45"/>
        <v>0.05</v>
      </c>
      <c r="W35" s="40">
        <f t="shared" si="45"/>
        <v>30</v>
      </c>
      <c r="X35" s="48">
        <f t="shared" si="45"/>
        <v>5.7</v>
      </c>
      <c r="Y35" s="17"/>
      <c r="AA35" s="17"/>
      <c r="AB35" s="17"/>
      <c r="AC35" s="17"/>
      <c r="AD35" s="17"/>
      <c r="AE35" s="17"/>
      <c r="AF35" s="17"/>
      <c r="AG35" s="17"/>
      <c r="AH35" s="17"/>
      <c r="AO35" s="17"/>
      <c r="AP35" s="17"/>
      <c r="AQ35" s="17"/>
      <c r="AR35" s="17"/>
      <c r="AS35" s="17"/>
    </row>
    <row r="36" spans="2:45" ht="15.75" customHeight="1">
      <c r="B36" s="52" t="s">
        <v>58</v>
      </c>
      <c r="C36" s="42" t="str">
        <f>C$8</f>
        <v>４歳以上児</v>
      </c>
      <c r="D36" s="22">
        <v>7</v>
      </c>
      <c r="E36" s="25" t="str">
        <f>E$8</f>
        <v>A</v>
      </c>
      <c r="F36" s="145" t="str">
        <f t="shared" si="0"/>
        <v>7A</v>
      </c>
      <c r="G36" s="27">
        <v>860</v>
      </c>
      <c r="H36" s="43">
        <v>3</v>
      </c>
      <c r="I36" s="27">
        <v>720</v>
      </c>
      <c r="J36" s="43">
        <v>2.9</v>
      </c>
      <c r="K36" s="24">
        <f t="shared" ref="K36:P36" si="46">K$8</f>
        <v>0</v>
      </c>
      <c r="L36" s="55">
        <f t="shared" si="46"/>
        <v>0</v>
      </c>
      <c r="M36" s="24">
        <f t="shared" si="46"/>
        <v>30</v>
      </c>
      <c r="N36" s="55">
        <f t="shared" si="46"/>
        <v>3.8</v>
      </c>
      <c r="O36" s="24">
        <f t="shared" si="46"/>
        <v>0</v>
      </c>
      <c r="P36" s="55">
        <f t="shared" si="46"/>
        <v>0</v>
      </c>
      <c r="Q36" s="27">
        <v>110</v>
      </c>
      <c r="R36" s="43">
        <v>6.2</v>
      </c>
      <c r="S36" s="155">
        <v>0.01</v>
      </c>
      <c r="T36" s="155">
        <v>0.03</v>
      </c>
      <c r="U36" s="155">
        <v>0.04</v>
      </c>
      <c r="V36" s="155">
        <v>0.05</v>
      </c>
      <c r="W36" s="27">
        <v>30</v>
      </c>
      <c r="X36" s="43">
        <v>5</v>
      </c>
      <c r="Y36" s="17"/>
      <c r="Z36" s="17"/>
      <c r="AA36" s="17"/>
      <c r="AB36" s="17"/>
      <c r="AC36" s="17"/>
      <c r="AD36" s="17"/>
      <c r="AE36" s="17"/>
      <c r="AF36" s="17"/>
      <c r="AG36" s="17"/>
      <c r="AH36" s="17"/>
      <c r="AO36" s="17"/>
      <c r="AP36" s="17"/>
      <c r="AQ36" s="17"/>
      <c r="AR36" s="17"/>
      <c r="AS36" s="17"/>
    </row>
    <row r="37" spans="2:45" ht="15.75" customHeight="1">
      <c r="B37" s="21"/>
      <c r="C37" s="44" t="str">
        <f>C$9</f>
        <v>３歳児</v>
      </c>
      <c r="D37" s="28">
        <f>D36</f>
        <v>7</v>
      </c>
      <c r="E37" s="31" t="str">
        <f>E$9</f>
        <v>B</v>
      </c>
      <c r="F37" s="140" t="str">
        <f t="shared" si="0"/>
        <v>7B</v>
      </c>
      <c r="G37" s="32">
        <v>940</v>
      </c>
      <c r="H37" s="33">
        <v>2.9</v>
      </c>
      <c r="I37" s="32">
        <v>800</v>
      </c>
      <c r="J37" s="33">
        <v>2.9</v>
      </c>
      <c r="K37" s="30">
        <f t="shared" ref="K37:P37" si="47">K$9</f>
        <v>80</v>
      </c>
      <c r="L37" s="45">
        <f t="shared" si="47"/>
        <v>2.8</v>
      </c>
      <c r="M37" s="30">
        <f t="shared" si="47"/>
        <v>0</v>
      </c>
      <c r="N37" s="45">
        <f t="shared" si="47"/>
        <v>0</v>
      </c>
      <c r="O37" s="30">
        <f t="shared" si="47"/>
        <v>0</v>
      </c>
      <c r="P37" s="45">
        <f t="shared" si="47"/>
        <v>0</v>
      </c>
      <c r="Q37" s="30">
        <f>Q36</f>
        <v>110</v>
      </c>
      <c r="R37" s="45">
        <f>R36</f>
        <v>6.2</v>
      </c>
      <c r="S37" s="120">
        <f t="shared" ref="S37:X37" si="48">S36</f>
        <v>0.01</v>
      </c>
      <c r="T37" s="120">
        <f t="shared" si="48"/>
        <v>0.03</v>
      </c>
      <c r="U37" s="120">
        <f t="shared" si="48"/>
        <v>0.04</v>
      </c>
      <c r="V37" s="120">
        <f t="shared" si="48"/>
        <v>0.05</v>
      </c>
      <c r="W37" s="30">
        <f t="shared" si="48"/>
        <v>30</v>
      </c>
      <c r="X37" s="45">
        <f t="shared" si="48"/>
        <v>5</v>
      </c>
      <c r="Y37" s="17"/>
      <c r="AA37" s="17"/>
      <c r="AB37" s="17"/>
      <c r="AC37" s="17"/>
      <c r="AD37" s="17"/>
      <c r="AE37" s="17"/>
      <c r="AF37" s="17"/>
      <c r="AG37" s="17"/>
      <c r="AH37" s="17"/>
      <c r="AO37" s="17"/>
      <c r="AP37" s="17"/>
      <c r="AQ37" s="17"/>
      <c r="AR37" s="17"/>
      <c r="AS37" s="17"/>
    </row>
    <row r="38" spans="2:45" ht="15.75" customHeight="1">
      <c r="B38" s="21"/>
      <c r="C38" s="44" t="str">
        <f>C$10</f>
        <v>１、２歳児</v>
      </c>
      <c r="D38" s="28">
        <f>D36</f>
        <v>7</v>
      </c>
      <c r="E38" s="31" t="str">
        <f>E$10</f>
        <v>C</v>
      </c>
      <c r="F38" s="140" t="str">
        <f t="shared" si="0"/>
        <v>7C</v>
      </c>
      <c r="G38" s="32">
        <v>1550</v>
      </c>
      <c r="H38" s="33">
        <v>2.9</v>
      </c>
      <c r="I38" s="32">
        <v>1420</v>
      </c>
      <c r="J38" s="33">
        <v>2.8</v>
      </c>
      <c r="K38" s="30">
        <f t="shared" ref="K38:P38" si="49">K$10</f>
        <v>0</v>
      </c>
      <c r="L38" s="45">
        <f t="shared" si="49"/>
        <v>0</v>
      </c>
      <c r="M38" s="30">
        <f t="shared" si="49"/>
        <v>0</v>
      </c>
      <c r="N38" s="45">
        <f t="shared" si="49"/>
        <v>0</v>
      </c>
      <c r="O38" s="30">
        <f t="shared" si="49"/>
        <v>170</v>
      </c>
      <c r="P38" s="45">
        <f t="shared" si="49"/>
        <v>2.7</v>
      </c>
      <c r="Q38" s="30">
        <f>Q36</f>
        <v>110</v>
      </c>
      <c r="R38" s="45">
        <f>R36</f>
        <v>6.2</v>
      </c>
      <c r="S38" s="120">
        <f t="shared" ref="S38:X38" si="50">S36</f>
        <v>0.01</v>
      </c>
      <c r="T38" s="120">
        <f t="shared" si="50"/>
        <v>0.03</v>
      </c>
      <c r="U38" s="120">
        <f t="shared" si="50"/>
        <v>0.04</v>
      </c>
      <c r="V38" s="120">
        <f t="shared" si="50"/>
        <v>0.05</v>
      </c>
      <c r="W38" s="30">
        <f t="shared" si="50"/>
        <v>30</v>
      </c>
      <c r="X38" s="45">
        <f t="shared" si="50"/>
        <v>5</v>
      </c>
      <c r="Y38" s="17"/>
      <c r="AA38" s="17"/>
      <c r="AB38" s="17"/>
      <c r="AC38" s="17"/>
      <c r="AD38" s="17"/>
      <c r="AE38" s="17"/>
      <c r="AF38" s="17"/>
      <c r="AG38" s="17"/>
      <c r="AH38" s="17"/>
      <c r="AO38" s="17"/>
      <c r="AP38" s="17"/>
      <c r="AQ38" s="17"/>
      <c r="AR38" s="17"/>
      <c r="AS38" s="17"/>
    </row>
    <row r="39" spans="2:45" ht="15.75" customHeight="1">
      <c r="B39" s="56"/>
      <c r="C39" s="47" t="str">
        <f>C$11</f>
        <v>乳児</v>
      </c>
      <c r="D39" s="38">
        <f>D36</f>
        <v>7</v>
      </c>
      <c r="E39" s="41" t="str">
        <f>E$11</f>
        <v>D</v>
      </c>
      <c r="F39" s="143" t="str">
        <f t="shared" si="0"/>
        <v>7D</v>
      </c>
      <c r="G39" s="35">
        <v>2440</v>
      </c>
      <c r="H39" s="36">
        <v>2.9</v>
      </c>
      <c r="I39" s="35">
        <v>2310</v>
      </c>
      <c r="J39" s="36">
        <v>2.8</v>
      </c>
      <c r="K39" s="40">
        <f t="shared" ref="K39:P39" si="51">K$11</f>
        <v>0</v>
      </c>
      <c r="L39" s="48">
        <f t="shared" si="51"/>
        <v>0</v>
      </c>
      <c r="M39" s="40">
        <f t="shared" si="51"/>
        <v>0</v>
      </c>
      <c r="N39" s="48">
        <f t="shared" si="51"/>
        <v>0</v>
      </c>
      <c r="O39" s="40">
        <f t="shared" si="51"/>
        <v>0</v>
      </c>
      <c r="P39" s="48">
        <f t="shared" si="51"/>
        <v>0</v>
      </c>
      <c r="Q39" s="40">
        <f>Q36</f>
        <v>110</v>
      </c>
      <c r="R39" s="48">
        <f>R36</f>
        <v>6.2</v>
      </c>
      <c r="S39" s="156">
        <f t="shared" ref="S39:X39" si="52">S36</f>
        <v>0.01</v>
      </c>
      <c r="T39" s="156">
        <f t="shared" si="52"/>
        <v>0.03</v>
      </c>
      <c r="U39" s="156">
        <f t="shared" si="52"/>
        <v>0.04</v>
      </c>
      <c r="V39" s="156">
        <f t="shared" si="52"/>
        <v>0.05</v>
      </c>
      <c r="W39" s="40">
        <f t="shared" si="52"/>
        <v>30</v>
      </c>
      <c r="X39" s="48">
        <f t="shared" si="52"/>
        <v>5</v>
      </c>
      <c r="Y39" s="17"/>
      <c r="AA39" s="17"/>
      <c r="AB39" s="17"/>
      <c r="AC39" s="17"/>
      <c r="AD39" s="17"/>
      <c r="AE39" s="17"/>
      <c r="AF39" s="17"/>
      <c r="AG39" s="17"/>
      <c r="AH39" s="17"/>
      <c r="AO39" s="17"/>
      <c r="AP39" s="17"/>
      <c r="AQ39" s="17"/>
      <c r="AR39" s="17"/>
      <c r="AS39" s="17"/>
    </row>
    <row r="40" spans="2:45" ht="15.75" customHeight="1">
      <c r="B40" s="52" t="s">
        <v>59</v>
      </c>
      <c r="C40" s="42" t="str">
        <f>C$8</f>
        <v>４歳以上児</v>
      </c>
      <c r="D40" s="22">
        <v>8</v>
      </c>
      <c r="E40" s="25" t="str">
        <f>E$8</f>
        <v>A</v>
      </c>
      <c r="F40" s="145" t="str">
        <f>D40&amp;E40</f>
        <v>8A</v>
      </c>
      <c r="G40" s="27">
        <v>780</v>
      </c>
      <c r="H40" s="43">
        <v>3</v>
      </c>
      <c r="I40" s="27">
        <v>660</v>
      </c>
      <c r="J40" s="43">
        <v>2.9</v>
      </c>
      <c r="K40" s="24">
        <f t="shared" ref="K40:P40" si="53">K$8</f>
        <v>0</v>
      </c>
      <c r="L40" s="55">
        <f t="shared" si="53"/>
        <v>0</v>
      </c>
      <c r="M40" s="24">
        <f t="shared" si="53"/>
        <v>30</v>
      </c>
      <c r="N40" s="55">
        <f t="shared" si="53"/>
        <v>3.8</v>
      </c>
      <c r="O40" s="24">
        <f t="shared" si="53"/>
        <v>0</v>
      </c>
      <c r="P40" s="55">
        <f t="shared" si="53"/>
        <v>0</v>
      </c>
      <c r="Q40" s="27">
        <v>100</v>
      </c>
      <c r="R40" s="43">
        <v>6.1</v>
      </c>
      <c r="S40" s="155">
        <v>0.01</v>
      </c>
      <c r="T40" s="155">
        <v>0.03</v>
      </c>
      <c r="U40" s="155">
        <v>0.04</v>
      </c>
      <c r="V40" s="155">
        <v>0.05</v>
      </c>
      <c r="W40" s="27">
        <v>30</v>
      </c>
      <c r="X40" s="43">
        <v>4.5</v>
      </c>
      <c r="Y40" s="17"/>
      <c r="Z40" s="17"/>
      <c r="AA40" s="17"/>
      <c r="AB40" s="17"/>
      <c r="AC40" s="17"/>
      <c r="AD40" s="17"/>
      <c r="AE40" s="17"/>
      <c r="AF40" s="17"/>
      <c r="AG40" s="17"/>
      <c r="AH40" s="17"/>
      <c r="AO40" s="17"/>
      <c r="AP40" s="17"/>
      <c r="AQ40" s="17"/>
      <c r="AR40" s="17"/>
      <c r="AS40" s="17"/>
    </row>
    <row r="41" spans="2:45" ht="15.75" customHeight="1">
      <c r="B41" s="21"/>
      <c r="C41" s="44" t="str">
        <f>C$9</f>
        <v>３歳児</v>
      </c>
      <c r="D41" s="28">
        <f>D40</f>
        <v>8</v>
      </c>
      <c r="E41" s="31" t="str">
        <f>E$9</f>
        <v>B</v>
      </c>
      <c r="F41" s="140" t="str">
        <f>D41&amp;E41</f>
        <v>8B</v>
      </c>
      <c r="G41" s="32">
        <v>860</v>
      </c>
      <c r="H41" s="33">
        <v>2.9</v>
      </c>
      <c r="I41" s="32">
        <v>740</v>
      </c>
      <c r="J41" s="33">
        <v>2.9</v>
      </c>
      <c r="K41" s="30">
        <f t="shared" ref="K41:P41" si="54">K$9</f>
        <v>80</v>
      </c>
      <c r="L41" s="45">
        <f t="shared" si="54"/>
        <v>2.8</v>
      </c>
      <c r="M41" s="30">
        <f t="shared" si="54"/>
        <v>0</v>
      </c>
      <c r="N41" s="45">
        <f t="shared" si="54"/>
        <v>0</v>
      </c>
      <c r="O41" s="30">
        <f t="shared" si="54"/>
        <v>0</v>
      </c>
      <c r="P41" s="45">
        <f t="shared" si="54"/>
        <v>0</v>
      </c>
      <c r="Q41" s="30">
        <f>Q40</f>
        <v>100</v>
      </c>
      <c r="R41" s="45">
        <f>R40</f>
        <v>6.1</v>
      </c>
      <c r="S41" s="120">
        <f t="shared" ref="S41:X41" si="55">S40</f>
        <v>0.01</v>
      </c>
      <c r="T41" s="120">
        <f t="shared" si="55"/>
        <v>0.03</v>
      </c>
      <c r="U41" s="120">
        <f t="shared" si="55"/>
        <v>0.04</v>
      </c>
      <c r="V41" s="120">
        <f t="shared" si="55"/>
        <v>0.05</v>
      </c>
      <c r="W41" s="30">
        <f t="shared" si="55"/>
        <v>30</v>
      </c>
      <c r="X41" s="45">
        <f t="shared" si="55"/>
        <v>4.5</v>
      </c>
      <c r="Y41" s="17"/>
      <c r="AA41" s="17"/>
      <c r="AB41" s="17"/>
      <c r="AC41" s="17"/>
      <c r="AD41" s="17"/>
      <c r="AE41" s="17"/>
      <c r="AF41" s="17"/>
      <c r="AG41" s="17"/>
      <c r="AH41" s="17"/>
      <c r="AO41" s="17"/>
      <c r="AP41" s="17"/>
      <c r="AQ41" s="17"/>
      <c r="AR41" s="17"/>
      <c r="AS41" s="17"/>
    </row>
    <row r="42" spans="2:45" ht="15.75" customHeight="1">
      <c r="B42" s="21"/>
      <c r="C42" s="44" t="str">
        <f>C$10</f>
        <v>１、２歳児</v>
      </c>
      <c r="D42" s="28">
        <f>D40</f>
        <v>8</v>
      </c>
      <c r="E42" s="31" t="str">
        <f>E$10</f>
        <v>C</v>
      </c>
      <c r="F42" s="140" t="str">
        <f>D42&amp;E42</f>
        <v>8C</v>
      </c>
      <c r="G42" s="32">
        <v>1470</v>
      </c>
      <c r="H42" s="33">
        <v>2.9</v>
      </c>
      <c r="I42" s="32">
        <v>1350</v>
      </c>
      <c r="J42" s="33">
        <v>2.9</v>
      </c>
      <c r="K42" s="30">
        <f t="shared" ref="K42:P42" si="56">K$10</f>
        <v>0</v>
      </c>
      <c r="L42" s="45">
        <f t="shared" si="56"/>
        <v>0</v>
      </c>
      <c r="M42" s="30">
        <f t="shared" si="56"/>
        <v>0</v>
      </c>
      <c r="N42" s="45">
        <f t="shared" si="56"/>
        <v>0</v>
      </c>
      <c r="O42" s="30">
        <f t="shared" si="56"/>
        <v>170</v>
      </c>
      <c r="P42" s="45">
        <f t="shared" si="56"/>
        <v>2.7</v>
      </c>
      <c r="Q42" s="30">
        <f>Q40</f>
        <v>100</v>
      </c>
      <c r="R42" s="45">
        <f>R40</f>
        <v>6.1</v>
      </c>
      <c r="S42" s="120">
        <f t="shared" ref="S42:X42" si="57">S40</f>
        <v>0.01</v>
      </c>
      <c r="T42" s="120">
        <f t="shared" si="57"/>
        <v>0.03</v>
      </c>
      <c r="U42" s="120">
        <f t="shared" si="57"/>
        <v>0.04</v>
      </c>
      <c r="V42" s="120">
        <f t="shared" si="57"/>
        <v>0.05</v>
      </c>
      <c r="W42" s="30">
        <f t="shared" si="57"/>
        <v>30</v>
      </c>
      <c r="X42" s="45">
        <f t="shared" si="57"/>
        <v>4.5</v>
      </c>
      <c r="Y42" s="17"/>
      <c r="Z42" s="17"/>
      <c r="AA42" s="17"/>
      <c r="AB42" s="17"/>
      <c r="AC42" s="17"/>
      <c r="AD42" s="17"/>
      <c r="AE42" s="17"/>
      <c r="AF42" s="17"/>
      <c r="AG42" s="17"/>
      <c r="AH42" s="17"/>
      <c r="AO42" s="17"/>
      <c r="AP42" s="17"/>
      <c r="AQ42" s="17"/>
      <c r="AR42" s="17"/>
      <c r="AS42" s="17"/>
    </row>
    <row r="43" spans="2:45" ht="15.75" customHeight="1">
      <c r="B43" s="56"/>
      <c r="C43" s="47" t="str">
        <f>C$11</f>
        <v>乳児</v>
      </c>
      <c r="D43" s="38">
        <f>D40</f>
        <v>8</v>
      </c>
      <c r="E43" s="41" t="str">
        <f>E$11</f>
        <v>D</v>
      </c>
      <c r="F43" s="143" t="str">
        <f>D43&amp;E43</f>
        <v>8D</v>
      </c>
      <c r="G43" s="35">
        <v>2360</v>
      </c>
      <c r="H43" s="36">
        <v>2.9</v>
      </c>
      <c r="I43" s="35">
        <v>2240</v>
      </c>
      <c r="J43" s="36">
        <v>2.8</v>
      </c>
      <c r="K43" s="40">
        <f t="shared" ref="K43:P43" si="58">K$11</f>
        <v>0</v>
      </c>
      <c r="L43" s="48">
        <f t="shared" si="58"/>
        <v>0</v>
      </c>
      <c r="M43" s="40">
        <f t="shared" si="58"/>
        <v>0</v>
      </c>
      <c r="N43" s="48">
        <f t="shared" si="58"/>
        <v>0</v>
      </c>
      <c r="O43" s="40">
        <f t="shared" si="58"/>
        <v>0</v>
      </c>
      <c r="P43" s="48">
        <f t="shared" si="58"/>
        <v>0</v>
      </c>
      <c r="Q43" s="40">
        <f>Q40</f>
        <v>100</v>
      </c>
      <c r="R43" s="48">
        <f>R40</f>
        <v>6.1</v>
      </c>
      <c r="S43" s="156">
        <f t="shared" ref="S43:X43" si="59">S40</f>
        <v>0.01</v>
      </c>
      <c r="T43" s="156">
        <f t="shared" si="59"/>
        <v>0.03</v>
      </c>
      <c r="U43" s="156">
        <f t="shared" si="59"/>
        <v>0.04</v>
      </c>
      <c r="V43" s="156">
        <f t="shared" si="59"/>
        <v>0.05</v>
      </c>
      <c r="W43" s="40">
        <f t="shared" si="59"/>
        <v>30</v>
      </c>
      <c r="X43" s="48">
        <f t="shared" si="59"/>
        <v>4.5</v>
      </c>
      <c r="Y43" s="17"/>
      <c r="Z43" s="17"/>
      <c r="AA43" s="17"/>
      <c r="AB43" s="17"/>
      <c r="AC43" s="17"/>
      <c r="AD43" s="17"/>
      <c r="AE43" s="17"/>
      <c r="AF43" s="17"/>
      <c r="AG43" s="17"/>
      <c r="AH43" s="17"/>
      <c r="AO43" s="17"/>
      <c r="AP43" s="17"/>
      <c r="AQ43" s="17"/>
      <c r="AR43" s="17"/>
      <c r="AS43" s="17"/>
    </row>
    <row r="44" spans="2:45" ht="15.75" customHeight="1">
      <c r="B44" s="52" t="s">
        <v>60</v>
      </c>
      <c r="C44" s="42" t="str">
        <f>C$8</f>
        <v>４歳以上児</v>
      </c>
      <c r="D44" s="22">
        <v>9</v>
      </c>
      <c r="E44" s="25" t="str">
        <f>E$8</f>
        <v>A</v>
      </c>
      <c r="F44" s="145" t="str">
        <f t="shared" si="0"/>
        <v>9A</v>
      </c>
      <c r="G44" s="27">
        <v>720</v>
      </c>
      <c r="H44" s="43">
        <v>3</v>
      </c>
      <c r="I44" s="27">
        <v>620</v>
      </c>
      <c r="J44" s="43">
        <v>2.9</v>
      </c>
      <c r="K44" s="24">
        <f t="shared" ref="K44:P44" si="60">K$8</f>
        <v>0</v>
      </c>
      <c r="L44" s="55">
        <f t="shared" si="60"/>
        <v>0</v>
      </c>
      <c r="M44" s="24">
        <f t="shared" si="60"/>
        <v>30</v>
      </c>
      <c r="N44" s="55">
        <f t="shared" si="60"/>
        <v>3.8</v>
      </c>
      <c r="O44" s="24">
        <f t="shared" si="60"/>
        <v>0</v>
      </c>
      <c r="P44" s="55">
        <f t="shared" si="60"/>
        <v>0</v>
      </c>
      <c r="Q44" s="27">
        <v>90</v>
      </c>
      <c r="R44" s="43">
        <v>6.2</v>
      </c>
      <c r="S44" s="155">
        <v>0.01</v>
      </c>
      <c r="T44" s="155">
        <v>0.03</v>
      </c>
      <c r="U44" s="155">
        <v>0.04</v>
      </c>
      <c r="V44" s="155">
        <v>0.05</v>
      </c>
      <c r="W44" s="27">
        <v>20</v>
      </c>
      <c r="X44" s="43">
        <v>6.2</v>
      </c>
      <c r="Y44" s="17"/>
      <c r="Z44" s="17"/>
      <c r="AA44" s="17"/>
      <c r="AB44" s="17"/>
      <c r="AC44" s="17"/>
      <c r="AD44" s="17"/>
      <c r="AE44" s="17"/>
      <c r="AF44" s="17"/>
      <c r="AG44" s="17"/>
      <c r="AH44" s="17"/>
      <c r="AO44" s="17"/>
      <c r="AP44" s="17"/>
      <c r="AQ44" s="17"/>
      <c r="AR44" s="17"/>
      <c r="AS44" s="17"/>
    </row>
    <row r="45" spans="2:45" ht="15.75" customHeight="1">
      <c r="B45" s="21"/>
      <c r="C45" s="44" t="str">
        <f>C$9</f>
        <v>３歳児</v>
      </c>
      <c r="D45" s="28">
        <f>D44</f>
        <v>9</v>
      </c>
      <c r="E45" s="31" t="str">
        <f>E$9</f>
        <v>B</v>
      </c>
      <c r="F45" s="140" t="str">
        <f t="shared" si="0"/>
        <v>9B</v>
      </c>
      <c r="G45" s="32">
        <v>800</v>
      </c>
      <c r="H45" s="33">
        <v>3</v>
      </c>
      <c r="I45" s="32">
        <v>700</v>
      </c>
      <c r="J45" s="33">
        <v>2.9</v>
      </c>
      <c r="K45" s="30">
        <f t="shared" ref="K45:P45" si="61">K$9</f>
        <v>80</v>
      </c>
      <c r="L45" s="45">
        <f t="shared" si="61"/>
        <v>2.8</v>
      </c>
      <c r="M45" s="30">
        <f t="shared" si="61"/>
        <v>0</v>
      </c>
      <c r="N45" s="45">
        <f t="shared" si="61"/>
        <v>0</v>
      </c>
      <c r="O45" s="30">
        <f t="shared" si="61"/>
        <v>0</v>
      </c>
      <c r="P45" s="45">
        <f t="shared" si="61"/>
        <v>0</v>
      </c>
      <c r="Q45" s="30">
        <f>Q44</f>
        <v>90</v>
      </c>
      <c r="R45" s="45">
        <f>R44</f>
        <v>6.2</v>
      </c>
      <c r="S45" s="120">
        <f t="shared" ref="S45:X45" si="62">S44</f>
        <v>0.01</v>
      </c>
      <c r="T45" s="120">
        <f t="shared" si="62"/>
        <v>0.03</v>
      </c>
      <c r="U45" s="120">
        <f t="shared" si="62"/>
        <v>0.04</v>
      </c>
      <c r="V45" s="120">
        <f t="shared" si="62"/>
        <v>0.05</v>
      </c>
      <c r="W45" s="30">
        <f t="shared" si="62"/>
        <v>20</v>
      </c>
      <c r="X45" s="45">
        <f t="shared" si="62"/>
        <v>6.2</v>
      </c>
      <c r="Y45" s="17"/>
      <c r="Z45" s="17"/>
      <c r="AA45" s="17"/>
      <c r="AB45" s="17"/>
      <c r="AC45" s="17"/>
      <c r="AD45" s="17"/>
      <c r="AE45" s="17"/>
      <c r="AF45" s="17"/>
      <c r="AG45" s="17"/>
      <c r="AH45" s="17"/>
      <c r="AO45" s="17"/>
      <c r="AP45" s="17"/>
      <c r="AQ45" s="17"/>
      <c r="AR45" s="17"/>
      <c r="AS45" s="17"/>
    </row>
    <row r="46" spans="2:45" ht="15.75" customHeight="1">
      <c r="B46" s="21"/>
      <c r="C46" s="44" t="str">
        <f>C$10</f>
        <v>１、２歳児</v>
      </c>
      <c r="D46" s="28">
        <f>D44</f>
        <v>9</v>
      </c>
      <c r="E46" s="31" t="str">
        <f>E$10</f>
        <v>C</v>
      </c>
      <c r="F46" s="140" t="str">
        <f t="shared" si="0"/>
        <v>9C</v>
      </c>
      <c r="G46" s="32">
        <v>1420</v>
      </c>
      <c r="H46" s="33">
        <v>2.9</v>
      </c>
      <c r="I46" s="32">
        <v>1310</v>
      </c>
      <c r="J46" s="33">
        <v>2.8</v>
      </c>
      <c r="K46" s="30">
        <f t="shared" ref="K46:P46" si="63">K$10</f>
        <v>0</v>
      </c>
      <c r="L46" s="45">
        <f t="shared" si="63"/>
        <v>0</v>
      </c>
      <c r="M46" s="30">
        <f t="shared" si="63"/>
        <v>0</v>
      </c>
      <c r="N46" s="45">
        <f t="shared" si="63"/>
        <v>0</v>
      </c>
      <c r="O46" s="30">
        <f t="shared" si="63"/>
        <v>170</v>
      </c>
      <c r="P46" s="45">
        <f t="shared" si="63"/>
        <v>2.7</v>
      </c>
      <c r="Q46" s="30">
        <f>Q44</f>
        <v>90</v>
      </c>
      <c r="R46" s="45">
        <f>R44</f>
        <v>6.2</v>
      </c>
      <c r="S46" s="120">
        <f t="shared" ref="S46:X46" si="64">S44</f>
        <v>0.01</v>
      </c>
      <c r="T46" s="120">
        <f t="shared" si="64"/>
        <v>0.03</v>
      </c>
      <c r="U46" s="120">
        <f t="shared" si="64"/>
        <v>0.04</v>
      </c>
      <c r="V46" s="120">
        <f t="shared" si="64"/>
        <v>0.05</v>
      </c>
      <c r="W46" s="30">
        <f t="shared" si="64"/>
        <v>20</v>
      </c>
      <c r="X46" s="45">
        <f t="shared" si="64"/>
        <v>6.2</v>
      </c>
      <c r="Y46" s="17"/>
      <c r="Z46" s="17"/>
      <c r="AA46" s="17"/>
      <c r="AB46" s="17"/>
      <c r="AC46" s="17"/>
      <c r="AD46" s="17"/>
      <c r="AE46" s="17"/>
      <c r="AF46" s="17"/>
      <c r="AG46" s="17"/>
      <c r="AH46" s="17"/>
      <c r="AO46" s="17"/>
      <c r="AP46" s="17"/>
      <c r="AQ46" s="17"/>
      <c r="AR46" s="17"/>
      <c r="AS46" s="17"/>
    </row>
    <row r="47" spans="2:45" ht="15.75" customHeight="1">
      <c r="B47" s="56"/>
      <c r="C47" s="47" t="str">
        <f>C$11</f>
        <v>乳児</v>
      </c>
      <c r="D47" s="38">
        <f>D44</f>
        <v>9</v>
      </c>
      <c r="E47" s="41" t="str">
        <f>E$11</f>
        <v>D</v>
      </c>
      <c r="F47" s="143" t="str">
        <f t="shared" si="0"/>
        <v>9D</v>
      </c>
      <c r="G47" s="35">
        <v>2310</v>
      </c>
      <c r="H47" s="36">
        <v>2.8</v>
      </c>
      <c r="I47" s="35">
        <v>2200</v>
      </c>
      <c r="J47" s="36">
        <v>2.8</v>
      </c>
      <c r="K47" s="40">
        <f t="shared" ref="K47:P47" si="65">K$11</f>
        <v>0</v>
      </c>
      <c r="L47" s="48">
        <f t="shared" si="65"/>
        <v>0</v>
      </c>
      <c r="M47" s="40">
        <f t="shared" si="65"/>
        <v>0</v>
      </c>
      <c r="N47" s="48">
        <f t="shared" si="65"/>
        <v>0</v>
      </c>
      <c r="O47" s="40">
        <f t="shared" si="65"/>
        <v>0</v>
      </c>
      <c r="P47" s="48">
        <f t="shared" si="65"/>
        <v>0</v>
      </c>
      <c r="Q47" s="40">
        <f>Q44</f>
        <v>90</v>
      </c>
      <c r="R47" s="48">
        <f>R44</f>
        <v>6.2</v>
      </c>
      <c r="S47" s="156">
        <f t="shared" ref="S47:X47" si="66">S44</f>
        <v>0.01</v>
      </c>
      <c r="T47" s="156">
        <f t="shared" si="66"/>
        <v>0.03</v>
      </c>
      <c r="U47" s="156">
        <f t="shared" si="66"/>
        <v>0.04</v>
      </c>
      <c r="V47" s="156">
        <f t="shared" si="66"/>
        <v>0.05</v>
      </c>
      <c r="W47" s="40">
        <f t="shared" si="66"/>
        <v>20</v>
      </c>
      <c r="X47" s="48">
        <f t="shared" si="66"/>
        <v>6.2</v>
      </c>
      <c r="Y47" s="17"/>
      <c r="Z47" s="17"/>
      <c r="AA47" s="17"/>
      <c r="AB47" s="17"/>
      <c r="AC47" s="17"/>
      <c r="AD47" s="17"/>
      <c r="AE47" s="17"/>
      <c r="AF47" s="17"/>
      <c r="AG47" s="17"/>
      <c r="AH47" s="17"/>
      <c r="AO47" s="17"/>
      <c r="AP47" s="17"/>
      <c r="AQ47" s="17"/>
      <c r="AR47" s="17"/>
      <c r="AS47" s="17"/>
    </row>
    <row r="48" spans="2:45" ht="15.75" customHeight="1">
      <c r="B48" s="52" t="s">
        <v>61</v>
      </c>
      <c r="C48" s="42" t="str">
        <f>C$8</f>
        <v>４歳以上児</v>
      </c>
      <c r="D48" s="22">
        <v>10</v>
      </c>
      <c r="E48" s="25" t="str">
        <f>E$8</f>
        <v>A</v>
      </c>
      <c r="F48" s="145" t="str">
        <f>D48&amp;E48</f>
        <v>10A</v>
      </c>
      <c r="G48" s="27">
        <v>680</v>
      </c>
      <c r="H48" s="43">
        <v>2.9</v>
      </c>
      <c r="I48" s="27">
        <v>580</v>
      </c>
      <c r="J48" s="43">
        <v>2.9</v>
      </c>
      <c r="K48" s="24">
        <f t="shared" ref="K48:P48" si="67">K$8</f>
        <v>0</v>
      </c>
      <c r="L48" s="55">
        <f t="shared" si="67"/>
        <v>0</v>
      </c>
      <c r="M48" s="24">
        <f t="shared" si="67"/>
        <v>30</v>
      </c>
      <c r="N48" s="55">
        <f t="shared" si="67"/>
        <v>3.8</v>
      </c>
      <c r="O48" s="24">
        <f t="shared" si="67"/>
        <v>0</v>
      </c>
      <c r="P48" s="55">
        <f t="shared" si="67"/>
        <v>0</v>
      </c>
      <c r="Q48" s="27">
        <v>80</v>
      </c>
      <c r="R48" s="43">
        <v>6.4</v>
      </c>
      <c r="S48" s="155">
        <v>0.01</v>
      </c>
      <c r="T48" s="155">
        <v>0.03</v>
      </c>
      <c r="U48" s="155">
        <v>0.04</v>
      </c>
      <c r="V48" s="155">
        <v>0.05</v>
      </c>
      <c r="W48" s="27">
        <v>20</v>
      </c>
      <c r="X48" s="43">
        <v>5.7</v>
      </c>
      <c r="Y48" s="17"/>
      <c r="Z48" s="17"/>
      <c r="AA48" s="17"/>
      <c r="AB48" s="17"/>
      <c r="AC48" s="17"/>
      <c r="AD48" s="17"/>
      <c r="AE48" s="17"/>
      <c r="AF48" s="17"/>
      <c r="AG48" s="17"/>
      <c r="AH48" s="17"/>
      <c r="AO48" s="17"/>
      <c r="AP48" s="17"/>
      <c r="AQ48" s="17"/>
      <c r="AR48" s="17"/>
      <c r="AS48" s="17"/>
    </row>
    <row r="49" spans="2:45" ht="15.75" customHeight="1">
      <c r="B49" s="21"/>
      <c r="C49" s="44" t="str">
        <f>C$9</f>
        <v>３歳児</v>
      </c>
      <c r="D49" s="28">
        <f>D48</f>
        <v>10</v>
      </c>
      <c r="E49" s="31" t="str">
        <f>E$9</f>
        <v>B</v>
      </c>
      <c r="F49" s="140" t="str">
        <f>D49&amp;E49</f>
        <v>10B</v>
      </c>
      <c r="G49" s="32">
        <v>760</v>
      </c>
      <c r="H49" s="33">
        <v>2.9</v>
      </c>
      <c r="I49" s="32">
        <v>660</v>
      </c>
      <c r="J49" s="33">
        <v>2.9</v>
      </c>
      <c r="K49" s="30">
        <f t="shared" ref="K49:P49" si="68">K$9</f>
        <v>80</v>
      </c>
      <c r="L49" s="45">
        <f t="shared" si="68"/>
        <v>2.8</v>
      </c>
      <c r="M49" s="30">
        <f t="shared" si="68"/>
        <v>0</v>
      </c>
      <c r="N49" s="45">
        <f t="shared" si="68"/>
        <v>0</v>
      </c>
      <c r="O49" s="30">
        <f t="shared" si="68"/>
        <v>0</v>
      </c>
      <c r="P49" s="45">
        <f t="shared" si="68"/>
        <v>0</v>
      </c>
      <c r="Q49" s="30">
        <f>Q48</f>
        <v>80</v>
      </c>
      <c r="R49" s="45">
        <f>R48</f>
        <v>6.4</v>
      </c>
      <c r="S49" s="120">
        <f t="shared" ref="S49:X49" si="69">S48</f>
        <v>0.01</v>
      </c>
      <c r="T49" s="120">
        <f t="shared" si="69"/>
        <v>0.03</v>
      </c>
      <c r="U49" s="120">
        <f t="shared" si="69"/>
        <v>0.04</v>
      </c>
      <c r="V49" s="120">
        <f t="shared" si="69"/>
        <v>0.05</v>
      </c>
      <c r="W49" s="30">
        <f t="shared" si="69"/>
        <v>20</v>
      </c>
      <c r="X49" s="45">
        <f t="shared" si="69"/>
        <v>5.7</v>
      </c>
      <c r="Y49" s="17"/>
      <c r="Z49" s="17"/>
      <c r="AA49" s="17"/>
      <c r="AB49" s="17"/>
      <c r="AC49" s="17"/>
      <c r="AD49" s="17"/>
      <c r="AE49" s="17"/>
      <c r="AF49" s="17"/>
      <c r="AG49" s="17"/>
      <c r="AH49" s="17"/>
      <c r="AO49" s="17"/>
      <c r="AP49" s="17"/>
      <c r="AQ49" s="17"/>
      <c r="AR49" s="17"/>
      <c r="AS49" s="17"/>
    </row>
    <row r="50" spans="2:45" ht="15.75" customHeight="1">
      <c r="B50" s="21"/>
      <c r="C50" s="44" t="str">
        <f>C$10</f>
        <v>１、２歳児</v>
      </c>
      <c r="D50" s="28">
        <f>D48</f>
        <v>10</v>
      </c>
      <c r="E50" s="31" t="str">
        <f>E$10</f>
        <v>C</v>
      </c>
      <c r="F50" s="140" t="str">
        <f>D50&amp;E50</f>
        <v>10C</v>
      </c>
      <c r="G50" s="32">
        <v>1370</v>
      </c>
      <c r="H50" s="33">
        <v>2.9</v>
      </c>
      <c r="I50" s="32">
        <v>1270</v>
      </c>
      <c r="J50" s="33">
        <v>2.8</v>
      </c>
      <c r="K50" s="30">
        <f t="shared" ref="K50:P50" si="70">K$10</f>
        <v>0</v>
      </c>
      <c r="L50" s="45">
        <f t="shared" si="70"/>
        <v>0</v>
      </c>
      <c r="M50" s="30">
        <f t="shared" si="70"/>
        <v>0</v>
      </c>
      <c r="N50" s="45">
        <f t="shared" si="70"/>
        <v>0</v>
      </c>
      <c r="O50" s="30">
        <f t="shared" si="70"/>
        <v>170</v>
      </c>
      <c r="P50" s="45">
        <f t="shared" si="70"/>
        <v>2.7</v>
      </c>
      <c r="Q50" s="30">
        <f>Q48</f>
        <v>80</v>
      </c>
      <c r="R50" s="45">
        <f>R48</f>
        <v>6.4</v>
      </c>
      <c r="S50" s="120">
        <f t="shared" ref="S50:X50" si="71">S48</f>
        <v>0.01</v>
      </c>
      <c r="T50" s="120">
        <f t="shared" si="71"/>
        <v>0.03</v>
      </c>
      <c r="U50" s="120">
        <f t="shared" si="71"/>
        <v>0.04</v>
      </c>
      <c r="V50" s="120">
        <f t="shared" si="71"/>
        <v>0.05</v>
      </c>
      <c r="W50" s="30">
        <f t="shared" si="71"/>
        <v>20</v>
      </c>
      <c r="X50" s="45">
        <f t="shared" si="71"/>
        <v>5.7</v>
      </c>
      <c r="Y50" s="17"/>
      <c r="Z50" s="17"/>
      <c r="AA50" s="17"/>
      <c r="AB50" s="17"/>
      <c r="AC50" s="17"/>
      <c r="AD50" s="17"/>
      <c r="AE50" s="17"/>
      <c r="AF50" s="17"/>
      <c r="AG50" s="17"/>
      <c r="AH50" s="17"/>
      <c r="AO50" s="17"/>
      <c r="AP50" s="17"/>
      <c r="AQ50" s="17"/>
      <c r="AR50" s="17"/>
      <c r="AS50" s="17"/>
    </row>
    <row r="51" spans="2:45" ht="15.75" customHeight="1">
      <c r="B51" s="56"/>
      <c r="C51" s="47" t="str">
        <f>C$11</f>
        <v>乳児</v>
      </c>
      <c r="D51" s="38">
        <f>D48</f>
        <v>10</v>
      </c>
      <c r="E51" s="41" t="str">
        <f>E$11</f>
        <v>D</v>
      </c>
      <c r="F51" s="143" t="str">
        <f>D51&amp;E51</f>
        <v>10D</v>
      </c>
      <c r="G51" s="35">
        <v>2260</v>
      </c>
      <c r="H51" s="36">
        <v>2.8</v>
      </c>
      <c r="I51" s="35">
        <v>2160</v>
      </c>
      <c r="J51" s="36">
        <v>2.8</v>
      </c>
      <c r="K51" s="40">
        <f t="shared" ref="K51:P51" si="72">K$11</f>
        <v>0</v>
      </c>
      <c r="L51" s="48">
        <f t="shared" si="72"/>
        <v>0</v>
      </c>
      <c r="M51" s="40">
        <f t="shared" si="72"/>
        <v>0</v>
      </c>
      <c r="N51" s="48">
        <f t="shared" si="72"/>
        <v>0</v>
      </c>
      <c r="O51" s="40">
        <f t="shared" si="72"/>
        <v>0</v>
      </c>
      <c r="P51" s="48">
        <f t="shared" si="72"/>
        <v>0</v>
      </c>
      <c r="Q51" s="40">
        <f>Q48</f>
        <v>80</v>
      </c>
      <c r="R51" s="48">
        <f>R48</f>
        <v>6.4</v>
      </c>
      <c r="S51" s="156">
        <f t="shared" ref="S51:X51" si="73">S48</f>
        <v>0.01</v>
      </c>
      <c r="T51" s="156">
        <f t="shared" si="73"/>
        <v>0.03</v>
      </c>
      <c r="U51" s="156">
        <f t="shared" si="73"/>
        <v>0.04</v>
      </c>
      <c r="V51" s="156">
        <f t="shared" si="73"/>
        <v>0.05</v>
      </c>
      <c r="W51" s="40">
        <f t="shared" si="73"/>
        <v>20</v>
      </c>
      <c r="X51" s="48">
        <f t="shared" si="73"/>
        <v>5.7</v>
      </c>
      <c r="Y51" s="17"/>
      <c r="Z51" s="17"/>
      <c r="AA51" s="17"/>
      <c r="AB51" s="17"/>
      <c r="AC51" s="17"/>
      <c r="AD51" s="17"/>
      <c r="AE51" s="17"/>
      <c r="AF51" s="17"/>
      <c r="AG51" s="17"/>
      <c r="AH51" s="17"/>
      <c r="AO51" s="17"/>
      <c r="AP51" s="17"/>
      <c r="AQ51" s="17"/>
      <c r="AR51" s="17"/>
      <c r="AS51" s="17"/>
    </row>
    <row r="52" spans="2:45" ht="15.75" customHeight="1">
      <c r="B52" s="52" t="s">
        <v>62</v>
      </c>
      <c r="C52" s="42" t="str">
        <f>C$8</f>
        <v>４歳以上児</v>
      </c>
      <c r="D52" s="22">
        <v>11</v>
      </c>
      <c r="E52" s="25" t="str">
        <f>E$8</f>
        <v>A</v>
      </c>
      <c r="F52" s="145" t="str">
        <f t="shared" si="0"/>
        <v>11A</v>
      </c>
      <c r="G52" s="27">
        <v>610</v>
      </c>
      <c r="H52" s="43">
        <v>2.9</v>
      </c>
      <c r="I52" s="27">
        <v>520</v>
      </c>
      <c r="J52" s="43">
        <v>2.9</v>
      </c>
      <c r="K52" s="24">
        <f t="shared" ref="K52:P52" si="74">K$8</f>
        <v>0</v>
      </c>
      <c r="L52" s="55">
        <f t="shared" si="74"/>
        <v>0</v>
      </c>
      <c r="M52" s="24">
        <f t="shared" si="74"/>
        <v>30</v>
      </c>
      <c r="N52" s="55">
        <f t="shared" si="74"/>
        <v>3.8</v>
      </c>
      <c r="O52" s="24">
        <f t="shared" si="74"/>
        <v>0</v>
      </c>
      <c r="P52" s="55">
        <f t="shared" si="74"/>
        <v>0</v>
      </c>
      <c r="Q52" s="27">
        <v>70</v>
      </c>
      <c r="R52" s="43">
        <v>5.5</v>
      </c>
      <c r="S52" s="155">
        <v>0.01</v>
      </c>
      <c r="T52" s="155">
        <v>0.03</v>
      </c>
      <c r="U52" s="155">
        <v>0.04</v>
      </c>
      <c r="V52" s="155">
        <v>0.06</v>
      </c>
      <c r="W52" s="27">
        <v>20</v>
      </c>
      <c r="X52" s="43">
        <v>4.9000000000000004</v>
      </c>
      <c r="Y52" s="17"/>
      <c r="Z52" s="17"/>
      <c r="AA52" s="17"/>
      <c r="AB52" s="17"/>
      <c r="AC52" s="17"/>
      <c r="AD52" s="17"/>
      <c r="AE52" s="17"/>
      <c r="AF52" s="17"/>
      <c r="AG52" s="17"/>
      <c r="AH52" s="17"/>
      <c r="AO52" s="17"/>
      <c r="AP52" s="17"/>
      <c r="AQ52" s="17"/>
      <c r="AR52" s="17"/>
      <c r="AS52" s="17"/>
    </row>
    <row r="53" spans="2:45" ht="15.75" customHeight="1">
      <c r="B53" s="21"/>
      <c r="C53" s="44" t="str">
        <f>C$9</f>
        <v>３歳児</v>
      </c>
      <c r="D53" s="28">
        <f>D52</f>
        <v>11</v>
      </c>
      <c r="E53" s="31" t="str">
        <f>E$9</f>
        <v>B</v>
      </c>
      <c r="F53" s="140" t="str">
        <f t="shared" si="0"/>
        <v>11B</v>
      </c>
      <c r="G53" s="32">
        <v>690</v>
      </c>
      <c r="H53" s="33">
        <v>2.9</v>
      </c>
      <c r="I53" s="32">
        <v>600</v>
      </c>
      <c r="J53" s="33">
        <v>2.9</v>
      </c>
      <c r="K53" s="30">
        <f t="shared" ref="K53:P53" si="75">K$9</f>
        <v>80</v>
      </c>
      <c r="L53" s="45">
        <f t="shared" si="75"/>
        <v>2.8</v>
      </c>
      <c r="M53" s="30">
        <f t="shared" si="75"/>
        <v>0</v>
      </c>
      <c r="N53" s="45">
        <f t="shared" si="75"/>
        <v>0</v>
      </c>
      <c r="O53" s="30">
        <f t="shared" si="75"/>
        <v>0</v>
      </c>
      <c r="P53" s="45">
        <f t="shared" si="75"/>
        <v>0</v>
      </c>
      <c r="Q53" s="30">
        <f>Q52</f>
        <v>70</v>
      </c>
      <c r="R53" s="45">
        <f>R52</f>
        <v>5.5</v>
      </c>
      <c r="S53" s="120">
        <f t="shared" ref="S53:X53" si="76">S52</f>
        <v>0.01</v>
      </c>
      <c r="T53" s="120">
        <f t="shared" si="76"/>
        <v>0.03</v>
      </c>
      <c r="U53" s="120">
        <f t="shared" si="76"/>
        <v>0.04</v>
      </c>
      <c r="V53" s="120">
        <f t="shared" si="76"/>
        <v>0.06</v>
      </c>
      <c r="W53" s="30">
        <f t="shared" si="76"/>
        <v>20</v>
      </c>
      <c r="X53" s="45">
        <f t="shared" si="76"/>
        <v>4.9000000000000004</v>
      </c>
      <c r="Y53" s="17"/>
      <c r="Z53" s="17"/>
      <c r="AA53" s="17"/>
      <c r="AB53" s="17"/>
      <c r="AC53" s="17"/>
      <c r="AD53" s="17"/>
      <c r="AE53" s="17"/>
      <c r="AF53" s="17"/>
      <c r="AG53" s="17"/>
      <c r="AH53" s="17"/>
      <c r="AO53" s="17"/>
      <c r="AP53" s="17"/>
      <c r="AQ53" s="17"/>
      <c r="AR53" s="17"/>
      <c r="AS53" s="17"/>
    </row>
    <row r="54" spans="2:45" ht="15.75" customHeight="1">
      <c r="B54" s="21"/>
      <c r="C54" s="44" t="str">
        <f>C$10</f>
        <v>１、２歳児</v>
      </c>
      <c r="D54" s="28">
        <f>D52</f>
        <v>11</v>
      </c>
      <c r="E54" s="31" t="str">
        <f>E$10</f>
        <v>C</v>
      </c>
      <c r="F54" s="140" t="str">
        <f t="shared" si="0"/>
        <v>11C</v>
      </c>
      <c r="G54" s="32">
        <v>1300</v>
      </c>
      <c r="H54" s="33">
        <v>2.9</v>
      </c>
      <c r="I54" s="32">
        <v>1220</v>
      </c>
      <c r="J54" s="33">
        <v>2.8</v>
      </c>
      <c r="K54" s="30">
        <f t="shared" ref="K54:P54" si="77">K$10</f>
        <v>0</v>
      </c>
      <c r="L54" s="45">
        <f t="shared" si="77"/>
        <v>0</v>
      </c>
      <c r="M54" s="30">
        <f t="shared" si="77"/>
        <v>0</v>
      </c>
      <c r="N54" s="45">
        <f t="shared" si="77"/>
        <v>0</v>
      </c>
      <c r="O54" s="30">
        <f t="shared" si="77"/>
        <v>170</v>
      </c>
      <c r="P54" s="45">
        <f t="shared" si="77"/>
        <v>2.7</v>
      </c>
      <c r="Q54" s="30">
        <f>Q52</f>
        <v>70</v>
      </c>
      <c r="R54" s="45">
        <f>R52</f>
        <v>5.5</v>
      </c>
      <c r="S54" s="120">
        <f t="shared" ref="S54:X54" si="78">S52</f>
        <v>0.01</v>
      </c>
      <c r="T54" s="120">
        <f t="shared" si="78"/>
        <v>0.03</v>
      </c>
      <c r="U54" s="120">
        <f t="shared" si="78"/>
        <v>0.04</v>
      </c>
      <c r="V54" s="120">
        <f t="shared" si="78"/>
        <v>0.06</v>
      </c>
      <c r="W54" s="30">
        <f t="shared" si="78"/>
        <v>20</v>
      </c>
      <c r="X54" s="45">
        <f t="shared" si="78"/>
        <v>4.9000000000000004</v>
      </c>
      <c r="Y54" s="17"/>
      <c r="Z54" s="17"/>
      <c r="AA54" s="17"/>
      <c r="AB54" s="17"/>
      <c r="AC54" s="17"/>
      <c r="AD54" s="17"/>
      <c r="AE54" s="17"/>
      <c r="AF54" s="17"/>
      <c r="AG54" s="17"/>
      <c r="AH54" s="17"/>
      <c r="AO54" s="17"/>
      <c r="AP54" s="17"/>
      <c r="AQ54" s="17"/>
      <c r="AR54" s="17"/>
      <c r="AS54" s="17"/>
    </row>
    <row r="55" spans="2:45" ht="15.75" customHeight="1">
      <c r="B55" s="56"/>
      <c r="C55" s="47" t="str">
        <f>C$11</f>
        <v>乳児</v>
      </c>
      <c r="D55" s="38">
        <f>D52</f>
        <v>11</v>
      </c>
      <c r="E55" s="41" t="str">
        <f>E$11</f>
        <v>D</v>
      </c>
      <c r="F55" s="143" t="str">
        <f t="shared" si="0"/>
        <v>11D</v>
      </c>
      <c r="G55" s="35">
        <v>2190</v>
      </c>
      <c r="H55" s="36">
        <v>2.8</v>
      </c>
      <c r="I55" s="35">
        <v>2110</v>
      </c>
      <c r="J55" s="36">
        <v>2.8</v>
      </c>
      <c r="K55" s="40">
        <f t="shared" ref="K55:P55" si="79">K$11</f>
        <v>0</v>
      </c>
      <c r="L55" s="48">
        <f t="shared" si="79"/>
        <v>0</v>
      </c>
      <c r="M55" s="40">
        <f t="shared" si="79"/>
        <v>0</v>
      </c>
      <c r="N55" s="48">
        <f t="shared" si="79"/>
        <v>0</v>
      </c>
      <c r="O55" s="40">
        <f t="shared" si="79"/>
        <v>0</v>
      </c>
      <c r="P55" s="48">
        <f t="shared" si="79"/>
        <v>0</v>
      </c>
      <c r="Q55" s="40">
        <f>Q52</f>
        <v>70</v>
      </c>
      <c r="R55" s="48">
        <f>R52</f>
        <v>5.5</v>
      </c>
      <c r="S55" s="156">
        <f t="shared" ref="S55:X55" si="80">S52</f>
        <v>0.01</v>
      </c>
      <c r="T55" s="156">
        <f t="shared" si="80"/>
        <v>0.03</v>
      </c>
      <c r="U55" s="156">
        <f t="shared" si="80"/>
        <v>0.04</v>
      </c>
      <c r="V55" s="156">
        <f t="shared" si="80"/>
        <v>0.06</v>
      </c>
      <c r="W55" s="40">
        <f t="shared" si="80"/>
        <v>20</v>
      </c>
      <c r="X55" s="48">
        <f t="shared" si="80"/>
        <v>4.9000000000000004</v>
      </c>
      <c r="Y55" s="17"/>
      <c r="Z55" s="17"/>
      <c r="AA55" s="17"/>
      <c r="AB55" s="17"/>
      <c r="AC55" s="17"/>
      <c r="AD55" s="17"/>
      <c r="AE55" s="17"/>
      <c r="AF55" s="17"/>
      <c r="AG55" s="17"/>
      <c r="AH55" s="17"/>
      <c r="AO55" s="17"/>
      <c r="AP55" s="17"/>
      <c r="AQ55" s="17"/>
      <c r="AR55" s="17"/>
      <c r="AS55" s="17"/>
    </row>
    <row r="56" spans="2:45" ht="15.75" customHeight="1">
      <c r="B56" s="52" t="s">
        <v>63</v>
      </c>
      <c r="C56" s="42" t="str">
        <f>C$8</f>
        <v>４歳以上児</v>
      </c>
      <c r="D56" s="22">
        <v>12</v>
      </c>
      <c r="E56" s="25" t="str">
        <f>E$8</f>
        <v>A</v>
      </c>
      <c r="F56" s="145" t="str">
        <f t="shared" si="0"/>
        <v>12A</v>
      </c>
      <c r="G56" s="27">
        <v>550</v>
      </c>
      <c r="H56" s="43">
        <v>3</v>
      </c>
      <c r="I56" s="27">
        <v>480</v>
      </c>
      <c r="J56" s="43">
        <v>2.9</v>
      </c>
      <c r="K56" s="24">
        <f t="shared" ref="K56:P56" si="81">K$8</f>
        <v>0</v>
      </c>
      <c r="L56" s="55">
        <f t="shared" si="81"/>
        <v>0</v>
      </c>
      <c r="M56" s="24">
        <f t="shared" si="81"/>
        <v>30</v>
      </c>
      <c r="N56" s="55">
        <f t="shared" si="81"/>
        <v>3.8</v>
      </c>
      <c r="O56" s="24">
        <f t="shared" si="81"/>
        <v>0</v>
      </c>
      <c r="P56" s="55">
        <f t="shared" si="81"/>
        <v>0</v>
      </c>
      <c r="Q56" s="27">
        <v>60</v>
      </c>
      <c r="R56" s="43">
        <v>6.4</v>
      </c>
      <c r="S56" s="155">
        <v>0.01</v>
      </c>
      <c r="T56" s="155">
        <v>0.03</v>
      </c>
      <c r="U56" s="155">
        <v>0.04</v>
      </c>
      <c r="V56" s="155">
        <v>0.06</v>
      </c>
      <c r="W56" s="27">
        <v>10</v>
      </c>
      <c r="X56" s="43">
        <v>8.5</v>
      </c>
      <c r="Y56" s="17"/>
      <c r="Z56" s="17"/>
      <c r="AA56" s="17"/>
      <c r="AB56" s="17"/>
      <c r="AC56" s="17"/>
      <c r="AD56" s="17"/>
      <c r="AE56" s="17"/>
      <c r="AF56" s="17"/>
      <c r="AG56" s="17"/>
      <c r="AH56" s="17"/>
      <c r="AO56" s="17"/>
      <c r="AP56" s="17"/>
      <c r="AQ56" s="17"/>
      <c r="AR56" s="17"/>
      <c r="AS56" s="17"/>
    </row>
    <row r="57" spans="2:45" ht="15.75" customHeight="1">
      <c r="B57" s="21"/>
      <c r="C57" s="44" t="str">
        <f>C$9</f>
        <v>３歳児</v>
      </c>
      <c r="D57" s="28">
        <f>D56</f>
        <v>12</v>
      </c>
      <c r="E57" s="31" t="str">
        <f>E$9</f>
        <v>B</v>
      </c>
      <c r="F57" s="140" t="str">
        <f t="shared" si="0"/>
        <v>12B</v>
      </c>
      <c r="G57" s="32">
        <v>630</v>
      </c>
      <c r="H57" s="33">
        <v>2.9</v>
      </c>
      <c r="I57" s="32">
        <v>560</v>
      </c>
      <c r="J57" s="33">
        <v>2.9</v>
      </c>
      <c r="K57" s="30">
        <f t="shared" ref="K57:P57" si="82">K$9</f>
        <v>80</v>
      </c>
      <c r="L57" s="45">
        <f t="shared" si="82"/>
        <v>2.8</v>
      </c>
      <c r="M57" s="30">
        <f t="shared" si="82"/>
        <v>0</v>
      </c>
      <c r="N57" s="45">
        <f t="shared" si="82"/>
        <v>0</v>
      </c>
      <c r="O57" s="30">
        <f t="shared" si="82"/>
        <v>0</v>
      </c>
      <c r="P57" s="45">
        <f t="shared" si="82"/>
        <v>0</v>
      </c>
      <c r="Q57" s="30">
        <f>Q56</f>
        <v>60</v>
      </c>
      <c r="R57" s="45">
        <f>R56</f>
        <v>6.4</v>
      </c>
      <c r="S57" s="120">
        <f t="shared" ref="S57:X57" si="83">S56</f>
        <v>0.01</v>
      </c>
      <c r="T57" s="120">
        <f t="shared" si="83"/>
        <v>0.03</v>
      </c>
      <c r="U57" s="120">
        <f t="shared" si="83"/>
        <v>0.04</v>
      </c>
      <c r="V57" s="120">
        <f t="shared" si="83"/>
        <v>0.06</v>
      </c>
      <c r="W57" s="30">
        <f t="shared" si="83"/>
        <v>10</v>
      </c>
      <c r="X57" s="45">
        <f t="shared" si="83"/>
        <v>8.5</v>
      </c>
      <c r="Y57" s="17"/>
      <c r="Z57" s="17"/>
      <c r="AA57" s="17"/>
      <c r="AB57" s="17"/>
      <c r="AC57" s="17"/>
      <c r="AD57" s="17"/>
      <c r="AE57" s="17"/>
      <c r="AF57" s="17"/>
      <c r="AG57" s="17"/>
      <c r="AH57" s="17"/>
      <c r="AO57" s="17"/>
      <c r="AP57" s="17"/>
      <c r="AQ57" s="17"/>
      <c r="AR57" s="17"/>
      <c r="AS57" s="17"/>
    </row>
    <row r="58" spans="2:45" ht="15.75" customHeight="1">
      <c r="B58" s="21"/>
      <c r="C58" s="44" t="str">
        <f>C$10</f>
        <v>１、２歳児</v>
      </c>
      <c r="D58" s="28">
        <f>D56</f>
        <v>12</v>
      </c>
      <c r="E58" s="31" t="str">
        <f>E$10</f>
        <v>C</v>
      </c>
      <c r="F58" s="140" t="str">
        <f t="shared" si="0"/>
        <v>12C</v>
      </c>
      <c r="G58" s="32">
        <v>1250</v>
      </c>
      <c r="H58" s="33">
        <v>2.8</v>
      </c>
      <c r="I58" s="32">
        <v>1170</v>
      </c>
      <c r="J58" s="33">
        <v>2.8</v>
      </c>
      <c r="K58" s="30">
        <f t="shared" ref="K58:P58" si="84">K$10</f>
        <v>0</v>
      </c>
      <c r="L58" s="45">
        <f t="shared" si="84"/>
        <v>0</v>
      </c>
      <c r="M58" s="30">
        <f t="shared" si="84"/>
        <v>0</v>
      </c>
      <c r="N58" s="45">
        <f t="shared" si="84"/>
        <v>0</v>
      </c>
      <c r="O58" s="30">
        <f t="shared" si="84"/>
        <v>170</v>
      </c>
      <c r="P58" s="45">
        <f t="shared" si="84"/>
        <v>2.7</v>
      </c>
      <c r="Q58" s="30">
        <f>Q56</f>
        <v>60</v>
      </c>
      <c r="R58" s="45">
        <f>R56</f>
        <v>6.4</v>
      </c>
      <c r="S58" s="120">
        <f t="shared" ref="S58:X58" si="85">S56</f>
        <v>0.01</v>
      </c>
      <c r="T58" s="120">
        <f t="shared" si="85"/>
        <v>0.03</v>
      </c>
      <c r="U58" s="120">
        <f t="shared" si="85"/>
        <v>0.04</v>
      </c>
      <c r="V58" s="120">
        <f t="shared" si="85"/>
        <v>0.06</v>
      </c>
      <c r="W58" s="30">
        <f t="shared" si="85"/>
        <v>10</v>
      </c>
      <c r="X58" s="45">
        <f t="shared" si="85"/>
        <v>8.5</v>
      </c>
      <c r="Y58" s="17"/>
      <c r="Z58" s="17"/>
      <c r="AA58" s="17"/>
      <c r="AB58" s="17"/>
      <c r="AC58" s="17"/>
      <c r="AD58" s="17"/>
      <c r="AE58" s="17"/>
      <c r="AF58" s="17"/>
      <c r="AG58" s="17"/>
      <c r="AH58" s="17"/>
      <c r="AO58" s="17"/>
      <c r="AP58" s="17"/>
      <c r="AQ58" s="17"/>
      <c r="AR58" s="17"/>
      <c r="AS58" s="17"/>
    </row>
    <row r="59" spans="2:45" ht="15.75" customHeight="1">
      <c r="B59" s="56"/>
      <c r="C59" s="47" t="str">
        <f>C$11</f>
        <v>乳児</v>
      </c>
      <c r="D59" s="38">
        <f>D56</f>
        <v>12</v>
      </c>
      <c r="E59" s="41" t="str">
        <f>E$11</f>
        <v>D</v>
      </c>
      <c r="F59" s="143" t="str">
        <f t="shared" si="0"/>
        <v>12D</v>
      </c>
      <c r="G59" s="35">
        <v>2140</v>
      </c>
      <c r="H59" s="36">
        <v>2.8</v>
      </c>
      <c r="I59" s="35">
        <v>2060</v>
      </c>
      <c r="J59" s="36">
        <v>2.8</v>
      </c>
      <c r="K59" s="40">
        <f t="shared" ref="K59:P59" si="86">K$11</f>
        <v>0</v>
      </c>
      <c r="L59" s="48">
        <f t="shared" si="86"/>
        <v>0</v>
      </c>
      <c r="M59" s="40">
        <f t="shared" si="86"/>
        <v>0</v>
      </c>
      <c r="N59" s="48">
        <f t="shared" si="86"/>
        <v>0</v>
      </c>
      <c r="O59" s="40">
        <f t="shared" si="86"/>
        <v>0</v>
      </c>
      <c r="P59" s="48">
        <f t="shared" si="86"/>
        <v>0</v>
      </c>
      <c r="Q59" s="40">
        <f>Q56</f>
        <v>60</v>
      </c>
      <c r="R59" s="48">
        <f>R56</f>
        <v>6.4</v>
      </c>
      <c r="S59" s="156">
        <f t="shared" ref="S59:X59" si="87">S56</f>
        <v>0.01</v>
      </c>
      <c r="T59" s="156">
        <f t="shared" si="87"/>
        <v>0.03</v>
      </c>
      <c r="U59" s="156">
        <f t="shared" si="87"/>
        <v>0.04</v>
      </c>
      <c r="V59" s="156">
        <f t="shared" si="87"/>
        <v>0.06</v>
      </c>
      <c r="W59" s="40">
        <f t="shared" si="87"/>
        <v>10</v>
      </c>
      <c r="X59" s="48">
        <f t="shared" si="87"/>
        <v>8.5</v>
      </c>
      <c r="Y59" s="17"/>
      <c r="Z59" s="17"/>
      <c r="AA59" s="17"/>
      <c r="AB59" s="17"/>
      <c r="AC59" s="17"/>
      <c r="AD59" s="17"/>
      <c r="AE59" s="17"/>
      <c r="AF59" s="17"/>
      <c r="AG59" s="17"/>
      <c r="AH59" s="17"/>
      <c r="AO59" s="17"/>
      <c r="AP59" s="17"/>
      <c r="AQ59" s="17"/>
      <c r="AR59" s="17"/>
      <c r="AS59" s="17"/>
    </row>
    <row r="60" spans="2:45" ht="15.75" customHeight="1">
      <c r="B60" s="52" t="s">
        <v>64</v>
      </c>
      <c r="C60" s="42" t="str">
        <f>C$8</f>
        <v>４歳以上児</v>
      </c>
      <c r="D60" s="22">
        <v>13</v>
      </c>
      <c r="E60" s="25" t="str">
        <f>E$8</f>
        <v>A</v>
      </c>
      <c r="F60" s="145" t="str">
        <f t="shared" si="0"/>
        <v>13A</v>
      </c>
      <c r="G60" s="27">
        <v>510</v>
      </c>
      <c r="H60" s="43">
        <v>2.9</v>
      </c>
      <c r="I60" s="27">
        <v>450</v>
      </c>
      <c r="J60" s="43">
        <v>2.9</v>
      </c>
      <c r="K60" s="24">
        <f t="shared" ref="K60:P60" si="88">K$8</f>
        <v>0</v>
      </c>
      <c r="L60" s="55">
        <f t="shared" si="88"/>
        <v>0</v>
      </c>
      <c r="M60" s="24">
        <f t="shared" si="88"/>
        <v>30</v>
      </c>
      <c r="N60" s="55">
        <f t="shared" si="88"/>
        <v>3.8</v>
      </c>
      <c r="O60" s="24">
        <f t="shared" si="88"/>
        <v>0</v>
      </c>
      <c r="P60" s="55">
        <f t="shared" si="88"/>
        <v>0</v>
      </c>
      <c r="Q60" s="27">
        <v>50</v>
      </c>
      <c r="R60" s="43">
        <v>6.8</v>
      </c>
      <c r="S60" s="155">
        <v>0.01</v>
      </c>
      <c r="T60" s="155">
        <v>0.03</v>
      </c>
      <c r="U60" s="155">
        <v>0.04</v>
      </c>
      <c r="V60" s="155">
        <v>0.06</v>
      </c>
      <c r="W60" s="27">
        <v>10</v>
      </c>
      <c r="X60" s="43">
        <v>7.6</v>
      </c>
      <c r="Y60" s="17"/>
      <c r="Z60" s="17"/>
      <c r="AA60" s="17"/>
      <c r="AB60" s="17"/>
      <c r="AC60" s="17"/>
      <c r="AD60" s="17"/>
      <c r="AE60" s="17"/>
      <c r="AF60" s="17"/>
      <c r="AG60" s="17"/>
      <c r="AH60" s="17"/>
      <c r="AO60" s="17"/>
      <c r="AP60" s="17"/>
      <c r="AQ60" s="17"/>
      <c r="AR60" s="17"/>
      <c r="AS60" s="17"/>
    </row>
    <row r="61" spans="2:45" ht="15.75" customHeight="1">
      <c r="B61" s="21"/>
      <c r="C61" s="44" t="str">
        <f>C$9</f>
        <v>３歳児</v>
      </c>
      <c r="D61" s="28">
        <f>D60</f>
        <v>13</v>
      </c>
      <c r="E61" s="31" t="str">
        <f>E$9</f>
        <v>B</v>
      </c>
      <c r="F61" s="140" t="str">
        <f t="shared" si="0"/>
        <v>13B</v>
      </c>
      <c r="G61" s="32">
        <v>590</v>
      </c>
      <c r="H61" s="33">
        <v>2.9</v>
      </c>
      <c r="I61" s="32">
        <v>530</v>
      </c>
      <c r="J61" s="33">
        <v>2.9</v>
      </c>
      <c r="K61" s="30">
        <f t="shared" ref="K61:P61" si="89">K$9</f>
        <v>80</v>
      </c>
      <c r="L61" s="45">
        <f t="shared" si="89"/>
        <v>2.8</v>
      </c>
      <c r="M61" s="30">
        <f t="shared" si="89"/>
        <v>0</v>
      </c>
      <c r="N61" s="45">
        <f t="shared" si="89"/>
        <v>0</v>
      </c>
      <c r="O61" s="30">
        <f t="shared" si="89"/>
        <v>0</v>
      </c>
      <c r="P61" s="45">
        <f t="shared" si="89"/>
        <v>0</v>
      </c>
      <c r="Q61" s="30">
        <f>Q60</f>
        <v>50</v>
      </c>
      <c r="R61" s="45">
        <f>R60</f>
        <v>6.8</v>
      </c>
      <c r="S61" s="120">
        <f t="shared" ref="S61:X61" si="90">S60</f>
        <v>0.01</v>
      </c>
      <c r="T61" s="120">
        <f t="shared" si="90"/>
        <v>0.03</v>
      </c>
      <c r="U61" s="120">
        <f t="shared" si="90"/>
        <v>0.04</v>
      </c>
      <c r="V61" s="120">
        <f t="shared" si="90"/>
        <v>0.06</v>
      </c>
      <c r="W61" s="30">
        <f t="shared" si="90"/>
        <v>10</v>
      </c>
      <c r="X61" s="45">
        <f t="shared" si="90"/>
        <v>7.6</v>
      </c>
      <c r="Y61" s="17"/>
      <c r="Z61" s="17"/>
      <c r="AA61" s="17"/>
      <c r="AB61" s="17"/>
      <c r="AC61" s="17"/>
      <c r="AD61" s="17"/>
      <c r="AE61" s="17"/>
      <c r="AF61" s="17"/>
      <c r="AG61" s="17"/>
      <c r="AH61" s="17"/>
      <c r="AO61" s="17"/>
      <c r="AP61" s="17"/>
      <c r="AQ61" s="17"/>
      <c r="AR61" s="17"/>
      <c r="AS61" s="17"/>
    </row>
    <row r="62" spans="2:45" ht="15.75" customHeight="1">
      <c r="B62" s="21"/>
      <c r="C62" s="44" t="str">
        <f>C$10</f>
        <v>１、２歳児</v>
      </c>
      <c r="D62" s="28">
        <f>D60</f>
        <v>13</v>
      </c>
      <c r="E62" s="31" t="str">
        <f>E$10</f>
        <v>C</v>
      </c>
      <c r="F62" s="140" t="str">
        <f t="shared" si="0"/>
        <v>13C</v>
      </c>
      <c r="G62" s="32">
        <v>1210</v>
      </c>
      <c r="H62" s="33">
        <v>2.8</v>
      </c>
      <c r="I62" s="32">
        <v>1140</v>
      </c>
      <c r="J62" s="33">
        <v>2.8</v>
      </c>
      <c r="K62" s="30">
        <f t="shared" ref="K62:P62" si="91">K$10</f>
        <v>0</v>
      </c>
      <c r="L62" s="45">
        <f t="shared" si="91"/>
        <v>0</v>
      </c>
      <c r="M62" s="30">
        <f t="shared" si="91"/>
        <v>0</v>
      </c>
      <c r="N62" s="45">
        <f t="shared" si="91"/>
        <v>0</v>
      </c>
      <c r="O62" s="30">
        <f t="shared" si="91"/>
        <v>170</v>
      </c>
      <c r="P62" s="45">
        <f t="shared" si="91"/>
        <v>2.7</v>
      </c>
      <c r="Q62" s="30">
        <f>Q60</f>
        <v>50</v>
      </c>
      <c r="R62" s="45">
        <f>R60</f>
        <v>6.8</v>
      </c>
      <c r="S62" s="120">
        <f t="shared" ref="S62:X62" si="92">S60</f>
        <v>0.01</v>
      </c>
      <c r="T62" s="120">
        <f t="shared" si="92"/>
        <v>0.03</v>
      </c>
      <c r="U62" s="120">
        <f t="shared" si="92"/>
        <v>0.04</v>
      </c>
      <c r="V62" s="120">
        <f t="shared" si="92"/>
        <v>0.06</v>
      </c>
      <c r="W62" s="30">
        <f t="shared" si="92"/>
        <v>10</v>
      </c>
      <c r="X62" s="45">
        <f t="shared" si="92"/>
        <v>7.6</v>
      </c>
      <c r="Y62" s="17"/>
      <c r="Z62" s="17"/>
      <c r="AA62" s="17"/>
      <c r="AB62" s="17"/>
      <c r="AC62" s="17"/>
      <c r="AD62" s="17"/>
      <c r="AF62" s="17"/>
      <c r="AG62" s="17"/>
      <c r="AH62" s="17"/>
      <c r="AO62" s="17"/>
      <c r="AP62" s="17"/>
      <c r="AQ62" s="17"/>
      <c r="AR62" s="17"/>
      <c r="AS62" s="17"/>
    </row>
    <row r="63" spans="2:45" ht="15.75" customHeight="1">
      <c r="B63" s="56"/>
      <c r="C63" s="47" t="str">
        <f>C$11</f>
        <v>乳児</v>
      </c>
      <c r="D63" s="38">
        <f>D60</f>
        <v>13</v>
      </c>
      <c r="E63" s="41" t="str">
        <f>E$11</f>
        <v>D</v>
      </c>
      <c r="F63" s="143" t="str">
        <f t="shared" si="0"/>
        <v>13D</v>
      </c>
      <c r="G63" s="35">
        <v>2100</v>
      </c>
      <c r="H63" s="36">
        <v>2.8</v>
      </c>
      <c r="I63" s="35">
        <v>2030</v>
      </c>
      <c r="J63" s="36">
        <v>2.8</v>
      </c>
      <c r="K63" s="40">
        <f t="shared" ref="K63:P63" si="93">K$11</f>
        <v>0</v>
      </c>
      <c r="L63" s="48">
        <f t="shared" si="93"/>
        <v>0</v>
      </c>
      <c r="M63" s="40">
        <f t="shared" si="93"/>
        <v>0</v>
      </c>
      <c r="N63" s="48">
        <f t="shared" si="93"/>
        <v>0</v>
      </c>
      <c r="O63" s="40">
        <f t="shared" si="93"/>
        <v>0</v>
      </c>
      <c r="P63" s="48">
        <f t="shared" si="93"/>
        <v>0</v>
      </c>
      <c r="Q63" s="40">
        <f>Q60</f>
        <v>50</v>
      </c>
      <c r="R63" s="48">
        <f>R60</f>
        <v>6.8</v>
      </c>
      <c r="S63" s="156">
        <f t="shared" ref="S63:X63" si="94">S60</f>
        <v>0.01</v>
      </c>
      <c r="T63" s="156">
        <f t="shared" si="94"/>
        <v>0.03</v>
      </c>
      <c r="U63" s="156">
        <f t="shared" si="94"/>
        <v>0.04</v>
      </c>
      <c r="V63" s="156">
        <f t="shared" si="94"/>
        <v>0.06</v>
      </c>
      <c r="W63" s="40">
        <f t="shared" si="94"/>
        <v>10</v>
      </c>
      <c r="X63" s="48">
        <f t="shared" si="94"/>
        <v>7.6</v>
      </c>
      <c r="Y63" s="17"/>
      <c r="Z63" s="17"/>
      <c r="AA63" s="17"/>
      <c r="AB63" s="17"/>
      <c r="AC63" s="17"/>
      <c r="AD63" s="17"/>
      <c r="AF63" s="17"/>
      <c r="AG63" s="17"/>
      <c r="AH63" s="17"/>
      <c r="AO63" s="17"/>
      <c r="AP63" s="17"/>
      <c r="AQ63" s="17"/>
      <c r="AR63" s="17"/>
      <c r="AS63" s="17"/>
    </row>
    <row r="64" spans="2:45" ht="15.75" customHeight="1">
      <c r="B64" s="52" t="s">
        <v>65</v>
      </c>
      <c r="C64" s="42" t="str">
        <f>C$8</f>
        <v>４歳以上児</v>
      </c>
      <c r="D64" s="22">
        <v>14</v>
      </c>
      <c r="E64" s="25" t="str">
        <f>E$8</f>
        <v>A</v>
      </c>
      <c r="F64" s="145" t="str">
        <f t="shared" si="0"/>
        <v>14A</v>
      </c>
      <c r="G64" s="27">
        <v>440</v>
      </c>
      <c r="H64" s="43">
        <v>3.1</v>
      </c>
      <c r="I64" s="27">
        <v>380</v>
      </c>
      <c r="J64" s="43">
        <v>3.1</v>
      </c>
      <c r="K64" s="24">
        <f t="shared" ref="K64:P64" si="95">K$8</f>
        <v>0</v>
      </c>
      <c r="L64" s="55">
        <f t="shared" si="95"/>
        <v>0</v>
      </c>
      <c r="M64" s="24">
        <f t="shared" si="95"/>
        <v>30</v>
      </c>
      <c r="N64" s="55">
        <f t="shared" si="95"/>
        <v>3.8</v>
      </c>
      <c r="O64" s="24">
        <f t="shared" si="95"/>
        <v>0</v>
      </c>
      <c r="P64" s="55">
        <f t="shared" si="95"/>
        <v>0</v>
      </c>
      <c r="Q64" s="146"/>
      <c r="R64" s="146"/>
      <c r="S64" s="155">
        <v>0.01</v>
      </c>
      <c r="T64" s="155">
        <v>0.03</v>
      </c>
      <c r="U64" s="155">
        <v>0.04</v>
      </c>
      <c r="V64" s="155">
        <v>0.06</v>
      </c>
      <c r="W64" s="27">
        <v>10</v>
      </c>
      <c r="X64" s="43">
        <v>6.8</v>
      </c>
      <c r="Y64" s="17"/>
      <c r="Z64" s="17"/>
      <c r="AA64" s="17"/>
      <c r="AB64" s="17"/>
      <c r="AC64" s="17"/>
      <c r="AD64" s="17"/>
      <c r="AF64" s="17"/>
      <c r="AG64" s="17"/>
      <c r="AH64" s="17"/>
      <c r="AO64" s="17"/>
      <c r="AP64" s="17"/>
      <c r="AQ64" s="17"/>
      <c r="AR64" s="17"/>
      <c r="AS64" s="17"/>
    </row>
    <row r="65" spans="2:45" ht="15.75" customHeight="1">
      <c r="B65" s="21"/>
      <c r="C65" s="44" t="str">
        <f>C$9</f>
        <v>３歳児</v>
      </c>
      <c r="D65" s="28">
        <f>D64</f>
        <v>14</v>
      </c>
      <c r="E65" s="31" t="str">
        <f>E$9</f>
        <v>B</v>
      </c>
      <c r="F65" s="140" t="str">
        <f t="shared" si="0"/>
        <v>14B</v>
      </c>
      <c r="G65" s="32">
        <v>520</v>
      </c>
      <c r="H65" s="33">
        <v>3</v>
      </c>
      <c r="I65" s="32">
        <v>460</v>
      </c>
      <c r="J65" s="33">
        <v>3</v>
      </c>
      <c r="K65" s="30">
        <f t="shared" ref="K65:P65" si="96">K$9</f>
        <v>80</v>
      </c>
      <c r="L65" s="45">
        <f t="shared" si="96"/>
        <v>2.8</v>
      </c>
      <c r="M65" s="30">
        <f t="shared" si="96"/>
        <v>0</v>
      </c>
      <c r="N65" s="45">
        <f t="shared" si="96"/>
        <v>0</v>
      </c>
      <c r="O65" s="30">
        <f t="shared" si="96"/>
        <v>0</v>
      </c>
      <c r="P65" s="45">
        <f t="shared" si="96"/>
        <v>0</v>
      </c>
      <c r="Q65" s="141"/>
      <c r="R65" s="141"/>
      <c r="S65" s="157">
        <f t="shared" ref="S65:V65" si="97">S64</f>
        <v>0.01</v>
      </c>
      <c r="T65" s="157">
        <f t="shared" si="97"/>
        <v>0.03</v>
      </c>
      <c r="U65" s="157">
        <f t="shared" si="97"/>
        <v>0.04</v>
      </c>
      <c r="V65" s="157">
        <f t="shared" si="97"/>
        <v>0.06</v>
      </c>
      <c r="W65" s="30">
        <f t="shared" ref="W65:X65" si="98">W64</f>
        <v>10</v>
      </c>
      <c r="X65" s="45">
        <f t="shared" si="98"/>
        <v>6.8</v>
      </c>
      <c r="Y65" s="17"/>
      <c r="Z65" s="17"/>
      <c r="AA65" s="17"/>
      <c r="AB65" s="17"/>
      <c r="AC65" s="17"/>
      <c r="AD65" s="17"/>
      <c r="AF65" s="17"/>
      <c r="AG65" s="17"/>
      <c r="AH65" s="17"/>
      <c r="AO65" s="17"/>
      <c r="AP65" s="17"/>
      <c r="AQ65" s="17"/>
      <c r="AR65" s="17"/>
      <c r="AS65" s="17"/>
    </row>
    <row r="66" spans="2:45" ht="15.75" customHeight="1">
      <c r="B66" s="21"/>
      <c r="C66" s="44" t="str">
        <f>C$10</f>
        <v>１、２歳児</v>
      </c>
      <c r="D66" s="28">
        <f>D64</f>
        <v>14</v>
      </c>
      <c r="E66" s="31" t="str">
        <f>E$10</f>
        <v>C</v>
      </c>
      <c r="F66" s="140" t="str">
        <f t="shared" si="0"/>
        <v>14C</v>
      </c>
      <c r="G66" s="32">
        <v>1130</v>
      </c>
      <c r="H66" s="33">
        <v>2.9</v>
      </c>
      <c r="I66" s="32">
        <v>1070</v>
      </c>
      <c r="J66" s="33">
        <v>2.9</v>
      </c>
      <c r="K66" s="30">
        <f t="shared" ref="K66:P66" si="99">K$10</f>
        <v>0</v>
      </c>
      <c r="L66" s="45">
        <f t="shared" si="99"/>
        <v>0</v>
      </c>
      <c r="M66" s="30">
        <f t="shared" si="99"/>
        <v>0</v>
      </c>
      <c r="N66" s="45">
        <f t="shared" si="99"/>
        <v>0</v>
      </c>
      <c r="O66" s="30">
        <f t="shared" si="99"/>
        <v>170</v>
      </c>
      <c r="P66" s="45">
        <f t="shared" si="99"/>
        <v>2.7</v>
      </c>
      <c r="Q66" s="141"/>
      <c r="R66" s="141"/>
      <c r="S66" s="157">
        <f t="shared" ref="S66:V66" si="100">S64</f>
        <v>0.01</v>
      </c>
      <c r="T66" s="157">
        <f t="shared" si="100"/>
        <v>0.03</v>
      </c>
      <c r="U66" s="157">
        <f t="shared" si="100"/>
        <v>0.04</v>
      </c>
      <c r="V66" s="157">
        <f t="shared" si="100"/>
        <v>0.06</v>
      </c>
      <c r="W66" s="30">
        <f t="shared" ref="W66:X66" si="101">W64</f>
        <v>10</v>
      </c>
      <c r="X66" s="45">
        <f t="shared" si="101"/>
        <v>6.8</v>
      </c>
      <c r="Y66" s="17"/>
      <c r="Z66" s="17"/>
      <c r="AA66" s="17"/>
      <c r="AB66" s="17"/>
      <c r="AC66" s="17"/>
      <c r="AD66" s="17"/>
      <c r="AF66" s="17"/>
      <c r="AG66" s="17"/>
      <c r="AH66" s="17"/>
      <c r="AO66" s="17"/>
      <c r="AP66" s="17"/>
      <c r="AQ66" s="17"/>
      <c r="AR66" s="17"/>
      <c r="AS66" s="17"/>
    </row>
    <row r="67" spans="2:45" ht="15.75" customHeight="1">
      <c r="B67" s="56"/>
      <c r="C67" s="47" t="str">
        <f>C$11</f>
        <v>乳児</v>
      </c>
      <c r="D67" s="38">
        <f>D64</f>
        <v>14</v>
      </c>
      <c r="E67" s="41" t="str">
        <f>E$11</f>
        <v>D</v>
      </c>
      <c r="F67" s="143" t="str">
        <f t="shared" si="0"/>
        <v>14D</v>
      </c>
      <c r="G67" s="35">
        <v>2020</v>
      </c>
      <c r="H67" s="36">
        <v>2.9</v>
      </c>
      <c r="I67" s="35">
        <v>1960</v>
      </c>
      <c r="J67" s="36">
        <v>2.8</v>
      </c>
      <c r="K67" s="40">
        <f t="shared" ref="K67:P67" si="102">K$11</f>
        <v>0</v>
      </c>
      <c r="L67" s="48">
        <f t="shared" si="102"/>
        <v>0</v>
      </c>
      <c r="M67" s="40">
        <f t="shared" si="102"/>
        <v>0</v>
      </c>
      <c r="N67" s="48">
        <f t="shared" si="102"/>
        <v>0</v>
      </c>
      <c r="O67" s="40">
        <f t="shared" si="102"/>
        <v>0</v>
      </c>
      <c r="P67" s="48">
        <f t="shared" si="102"/>
        <v>0</v>
      </c>
      <c r="Q67" s="144"/>
      <c r="R67" s="144"/>
      <c r="S67" s="158">
        <f t="shared" ref="S67:V67" si="103">S64</f>
        <v>0.01</v>
      </c>
      <c r="T67" s="158">
        <f t="shared" si="103"/>
        <v>0.03</v>
      </c>
      <c r="U67" s="158">
        <f t="shared" si="103"/>
        <v>0.04</v>
      </c>
      <c r="V67" s="158">
        <f t="shared" si="103"/>
        <v>0.06</v>
      </c>
      <c r="W67" s="40">
        <f t="shared" ref="W67:X67" si="104">W64</f>
        <v>10</v>
      </c>
      <c r="X67" s="48">
        <f t="shared" si="104"/>
        <v>6.8</v>
      </c>
      <c r="Y67" s="17"/>
      <c r="Z67" s="17"/>
      <c r="AA67" s="17"/>
      <c r="AB67" s="17"/>
      <c r="AC67" s="17"/>
      <c r="AD67" s="17"/>
      <c r="AF67" s="17"/>
      <c r="AG67" s="17"/>
      <c r="AH67" s="17"/>
      <c r="AO67" s="17"/>
      <c r="AP67" s="17"/>
      <c r="AQ67" s="17"/>
      <c r="AR67" s="17"/>
      <c r="AS67" s="17"/>
    </row>
    <row r="68" spans="2:45" ht="15.75" customHeight="1">
      <c r="B68" s="52" t="s">
        <v>66</v>
      </c>
      <c r="C68" s="42" t="str">
        <f>C$8</f>
        <v>４歳以上児</v>
      </c>
      <c r="D68" s="22">
        <v>15</v>
      </c>
      <c r="E68" s="25" t="str">
        <f>E$8</f>
        <v>A</v>
      </c>
      <c r="F68" s="145" t="str">
        <f t="shared" si="0"/>
        <v>15A</v>
      </c>
      <c r="G68" s="27">
        <v>420</v>
      </c>
      <c r="H68" s="43">
        <v>3</v>
      </c>
      <c r="I68" s="27">
        <v>360</v>
      </c>
      <c r="J68" s="43">
        <v>3.1</v>
      </c>
      <c r="K68" s="24">
        <f t="shared" ref="K68:P68" si="105">K$8</f>
        <v>0</v>
      </c>
      <c r="L68" s="55">
        <f t="shared" si="105"/>
        <v>0</v>
      </c>
      <c r="M68" s="24">
        <f t="shared" si="105"/>
        <v>30</v>
      </c>
      <c r="N68" s="55">
        <f t="shared" si="105"/>
        <v>3.8</v>
      </c>
      <c r="O68" s="24">
        <f t="shared" si="105"/>
        <v>0</v>
      </c>
      <c r="P68" s="55">
        <f t="shared" si="105"/>
        <v>0</v>
      </c>
      <c r="Q68" s="146"/>
      <c r="R68" s="146"/>
      <c r="S68" s="155">
        <v>0.01</v>
      </c>
      <c r="T68" s="155">
        <v>0.03</v>
      </c>
      <c r="U68" s="155">
        <v>0.04</v>
      </c>
      <c r="V68" s="155">
        <v>0.06</v>
      </c>
      <c r="W68" s="27">
        <v>10</v>
      </c>
      <c r="X68" s="43">
        <v>6.2</v>
      </c>
      <c r="Y68" s="17"/>
      <c r="Z68" s="17"/>
      <c r="AA68" s="17"/>
      <c r="AB68" s="17"/>
      <c r="AC68" s="17"/>
      <c r="AD68" s="17"/>
      <c r="AF68" s="17"/>
      <c r="AG68" s="17"/>
      <c r="AH68" s="17"/>
      <c r="AO68" s="17"/>
      <c r="AP68" s="17"/>
      <c r="AQ68" s="17"/>
      <c r="AR68" s="17"/>
      <c r="AS68" s="17"/>
    </row>
    <row r="69" spans="2:45" ht="15.75" customHeight="1">
      <c r="B69" s="21"/>
      <c r="C69" s="44" t="str">
        <f>C$9</f>
        <v>３歳児</v>
      </c>
      <c r="D69" s="28">
        <f>D68</f>
        <v>15</v>
      </c>
      <c r="E69" s="31" t="str">
        <f>E$9</f>
        <v>B</v>
      </c>
      <c r="F69" s="140" t="str">
        <f t="shared" si="0"/>
        <v>15B</v>
      </c>
      <c r="G69" s="32">
        <v>500</v>
      </c>
      <c r="H69" s="33">
        <v>3</v>
      </c>
      <c r="I69" s="32">
        <v>440</v>
      </c>
      <c r="J69" s="33">
        <v>3</v>
      </c>
      <c r="K69" s="30">
        <f t="shared" ref="K69:P69" si="106">K$9</f>
        <v>80</v>
      </c>
      <c r="L69" s="45">
        <f t="shared" si="106"/>
        <v>2.8</v>
      </c>
      <c r="M69" s="30">
        <f t="shared" si="106"/>
        <v>0</v>
      </c>
      <c r="N69" s="45">
        <f t="shared" si="106"/>
        <v>0</v>
      </c>
      <c r="O69" s="30">
        <f t="shared" si="106"/>
        <v>0</v>
      </c>
      <c r="P69" s="45">
        <f t="shared" si="106"/>
        <v>0</v>
      </c>
      <c r="Q69" s="141"/>
      <c r="R69" s="141"/>
      <c r="S69" s="157">
        <f t="shared" ref="S69:V69" si="107">S68</f>
        <v>0.01</v>
      </c>
      <c r="T69" s="157">
        <f t="shared" si="107"/>
        <v>0.03</v>
      </c>
      <c r="U69" s="157">
        <f t="shared" si="107"/>
        <v>0.04</v>
      </c>
      <c r="V69" s="157">
        <f t="shared" si="107"/>
        <v>0.06</v>
      </c>
      <c r="W69" s="30">
        <f t="shared" ref="W69:X69" si="108">W68</f>
        <v>10</v>
      </c>
      <c r="X69" s="45">
        <f t="shared" si="108"/>
        <v>6.2</v>
      </c>
      <c r="Y69" s="17"/>
      <c r="Z69" s="17"/>
      <c r="AA69" s="17"/>
      <c r="AB69" s="17"/>
      <c r="AC69" s="17"/>
      <c r="AD69" s="17"/>
      <c r="AF69" s="17"/>
      <c r="AG69" s="17"/>
      <c r="AH69" s="17"/>
      <c r="AO69" s="17"/>
      <c r="AP69" s="17"/>
      <c r="AQ69" s="17"/>
      <c r="AR69" s="17"/>
      <c r="AS69" s="17"/>
    </row>
    <row r="70" spans="2:45" ht="15.75" customHeight="1">
      <c r="B70" s="21"/>
      <c r="C70" s="44" t="str">
        <f>C$10</f>
        <v>１、２歳児</v>
      </c>
      <c r="D70" s="28">
        <f>D68</f>
        <v>15</v>
      </c>
      <c r="E70" s="31" t="str">
        <f>E$10</f>
        <v>C</v>
      </c>
      <c r="F70" s="140" t="str">
        <f t="shared" si="0"/>
        <v>15C</v>
      </c>
      <c r="G70" s="32">
        <v>1110</v>
      </c>
      <c r="H70" s="33">
        <v>2.9</v>
      </c>
      <c r="I70" s="32">
        <v>1060</v>
      </c>
      <c r="J70" s="33">
        <v>2.9</v>
      </c>
      <c r="K70" s="30">
        <f t="shared" ref="K70:P70" si="109">K$10</f>
        <v>0</v>
      </c>
      <c r="L70" s="45">
        <f t="shared" si="109"/>
        <v>0</v>
      </c>
      <c r="M70" s="30">
        <f t="shared" si="109"/>
        <v>0</v>
      </c>
      <c r="N70" s="45">
        <f t="shared" si="109"/>
        <v>0</v>
      </c>
      <c r="O70" s="30">
        <f t="shared" si="109"/>
        <v>170</v>
      </c>
      <c r="P70" s="45">
        <f t="shared" si="109"/>
        <v>2.7</v>
      </c>
      <c r="Q70" s="141"/>
      <c r="R70" s="141"/>
      <c r="S70" s="157">
        <f t="shared" ref="S70:V70" si="110">S68</f>
        <v>0.01</v>
      </c>
      <c r="T70" s="157">
        <f t="shared" si="110"/>
        <v>0.03</v>
      </c>
      <c r="U70" s="157">
        <f t="shared" si="110"/>
        <v>0.04</v>
      </c>
      <c r="V70" s="157">
        <f t="shared" si="110"/>
        <v>0.06</v>
      </c>
      <c r="W70" s="30">
        <f t="shared" ref="W70:X70" si="111">W68</f>
        <v>10</v>
      </c>
      <c r="X70" s="45">
        <f t="shared" si="111"/>
        <v>6.2</v>
      </c>
      <c r="Y70" s="17"/>
      <c r="Z70" s="17"/>
      <c r="AA70" s="17"/>
      <c r="AB70" s="17"/>
      <c r="AC70" s="17"/>
      <c r="AD70" s="17"/>
      <c r="AF70" s="17"/>
      <c r="AG70" s="17"/>
      <c r="AH70" s="17"/>
      <c r="AO70" s="17"/>
      <c r="AP70" s="17"/>
      <c r="AQ70" s="17"/>
      <c r="AR70" s="17"/>
      <c r="AS70" s="17"/>
    </row>
    <row r="71" spans="2:45" ht="15.75" customHeight="1">
      <c r="B71" s="56"/>
      <c r="C71" s="47" t="str">
        <f>C$11</f>
        <v>乳児</v>
      </c>
      <c r="D71" s="38">
        <f>D68</f>
        <v>15</v>
      </c>
      <c r="E71" s="41" t="str">
        <f>E$11</f>
        <v>D</v>
      </c>
      <c r="F71" s="143" t="str">
        <f t="shared" si="0"/>
        <v>15D</v>
      </c>
      <c r="G71" s="35">
        <v>2000</v>
      </c>
      <c r="H71" s="36">
        <v>2.8</v>
      </c>
      <c r="I71" s="35">
        <v>1950</v>
      </c>
      <c r="J71" s="36">
        <v>2.8</v>
      </c>
      <c r="K71" s="40">
        <f t="shared" ref="K71:P71" si="112">K$11</f>
        <v>0</v>
      </c>
      <c r="L71" s="48">
        <f t="shared" si="112"/>
        <v>0</v>
      </c>
      <c r="M71" s="40">
        <f t="shared" si="112"/>
        <v>0</v>
      </c>
      <c r="N71" s="48">
        <f t="shared" si="112"/>
        <v>0</v>
      </c>
      <c r="O71" s="40">
        <f t="shared" si="112"/>
        <v>0</v>
      </c>
      <c r="P71" s="48">
        <f t="shared" si="112"/>
        <v>0</v>
      </c>
      <c r="Q71" s="144"/>
      <c r="R71" s="144"/>
      <c r="S71" s="158">
        <f t="shared" ref="S71:V71" si="113">S68</f>
        <v>0.01</v>
      </c>
      <c r="T71" s="158">
        <f t="shared" si="113"/>
        <v>0.03</v>
      </c>
      <c r="U71" s="158">
        <f t="shared" si="113"/>
        <v>0.04</v>
      </c>
      <c r="V71" s="158">
        <f t="shared" si="113"/>
        <v>0.06</v>
      </c>
      <c r="W71" s="40">
        <f t="shared" ref="W71:X71" si="114">W68</f>
        <v>10</v>
      </c>
      <c r="X71" s="48">
        <f t="shared" si="114"/>
        <v>6.2</v>
      </c>
      <c r="Y71" s="17"/>
      <c r="AA71" s="17"/>
      <c r="AB71" s="17"/>
      <c r="AC71" s="17"/>
      <c r="AD71" s="17"/>
      <c r="AF71" s="17"/>
      <c r="AG71" s="17"/>
      <c r="AH71" s="17"/>
      <c r="AO71" s="17"/>
      <c r="AP71" s="17"/>
      <c r="AQ71" s="17"/>
      <c r="AR71" s="17"/>
      <c r="AS71" s="17"/>
    </row>
    <row r="72" spans="2:45" ht="15.75" customHeight="1">
      <c r="B72" s="52" t="s">
        <v>67</v>
      </c>
      <c r="C72" s="42" t="str">
        <f>C$8</f>
        <v>４歳以上児</v>
      </c>
      <c r="D72" s="22">
        <v>16</v>
      </c>
      <c r="E72" s="25" t="str">
        <f>E$8</f>
        <v>A</v>
      </c>
      <c r="F72" s="145" t="str">
        <f t="shared" si="0"/>
        <v>16A</v>
      </c>
      <c r="G72" s="27">
        <v>400</v>
      </c>
      <c r="H72" s="43">
        <v>3</v>
      </c>
      <c r="I72" s="27">
        <v>350</v>
      </c>
      <c r="J72" s="43">
        <v>3</v>
      </c>
      <c r="K72" s="24">
        <f t="shared" ref="K72:P72" si="115">K$8</f>
        <v>0</v>
      </c>
      <c r="L72" s="55">
        <f t="shared" si="115"/>
        <v>0</v>
      </c>
      <c r="M72" s="24">
        <f t="shared" si="115"/>
        <v>30</v>
      </c>
      <c r="N72" s="55">
        <f t="shared" si="115"/>
        <v>3.8</v>
      </c>
      <c r="O72" s="24">
        <f t="shared" si="115"/>
        <v>0</v>
      </c>
      <c r="P72" s="55">
        <f t="shared" si="115"/>
        <v>0</v>
      </c>
      <c r="Q72" s="146"/>
      <c r="R72" s="146"/>
      <c r="S72" s="155">
        <v>0.01</v>
      </c>
      <c r="T72" s="155">
        <v>0.03</v>
      </c>
      <c r="U72" s="155">
        <v>0.04</v>
      </c>
      <c r="V72" s="155">
        <v>0.06</v>
      </c>
      <c r="W72" s="27">
        <v>10</v>
      </c>
      <c r="X72" s="43">
        <v>5.7</v>
      </c>
      <c r="Y72" s="17"/>
      <c r="Z72" s="17"/>
      <c r="AA72" s="17"/>
      <c r="AB72" s="17"/>
      <c r="AC72" s="17"/>
      <c r="AD72" s="17"/>
      <c r="AF72" s="17"/>
      <c r="AG72" s="17"/>
      <c r="AH72" s="17"/>
      <c r="AO72" s="17"/>
      <c r="AP72" s="17"/>
      <c r="AQ72" s="17"/>
      <c r="AR72" s="17"/>
      <c r="AS72" s="17"/>
    </row>
    <row r="73" spans="2:45" ht="15.75" customHeight="1">
      <c r="B73" s="21"/>
      <c r="C73" s="44" t="str">
        <f>C$9</f>
        <v>３歳児</v>
      </c>
      <c r="D73" s="28">
        <f>D72</f>
        <v>16</v>
      </c>
      <c r="E73" s="31" t="str">
        <f>E$9</f>
        <v>B</v>
      </c>
      <c r="F73" s="140" t="str">
        <f t="shared" si="0"/>
        <v>16B</v>
      </c>
      <c r="G73" s="32">
        <v>480</v>
      </c>
      <c r="H73" s="33">
        <v>3</v>
      </c>
      <c r="I73" s="32">
        <v>430</v>
      </c>
      <c r="J73" s="33">
        <v>3</v>
      </c>
      <c r="K73" s="30">
        <f t="shared" ref="K73:P73" si="116">K$9</f>
        <v>80</v>
      </c>
      <c r="L73" s="45">
        <f t="shared" si="116"/>
        <v>2.8</v>
      </c>
      <c r="M73" s="30">
        <f t="shared" si="116"/>
        <v>0</v>
      </c>
      <c r="N73" s="45">
        <f t="shared" si="116"/>
        <v>0</v>
      </c>
      <c r="O73" s="30">
        <f t="shared" si="116"/>
        <v>0</v>
      </c>
      <c r="P73" s="45">
        <f t="shared" si="116"/>
        <v>0</v>
      </c>
      <c r="Q73" s="141"/>
      <c r="R73" s="141"/>
      <c r="S73" s="157">
        <f t="shared" ref="S73:V73" si="117">S72</f>
        <v>0.01</v>
      </c>
      <c r="T73" s="157">
        <f t="shared" si="117"/>
        <v>0.03</v>
      </c>
      <c r="U73" s="157">
        <f t="shared" si="117"/>
        <v>0.04</v>
      </c>
      <c r="V73" s="157">
        <f t="shared" si="117"/>
        <v>0.06</v>
      </c>
      <c r="W73" s="30">
        <f t="shared" ref="W73:X73" si="118">W72</f>
        <v>10</v>
      </c>
      <c r="X73" s="45">
        <f t="shared" si="118"/>
        <v>5.7</v>
      </c>
      <c r="Y73" s="17"/>
      <c r="Z73" s="17"/>
      <c r="AA73" s="17"/>
      <c r="AB73" s="17"/>
      <c r="AC73" s="17"/>
      <c r="AD73" s="17"/>
      <c r="AF73" s="17"/>
      <c r="AG73" s="17"/>
      <c r="AH73" s="17"/>
      <c r="AO73" s="17"/>
      <c r="AP73" s="17"/>
      <c r="AQ73" s="17"/>
      <c r="AR73" s="17"/>
      <c r="AS73" s="17"/>
    </row>
    <row r="74" spans="2:45" ht="15.75" customHeight="1">
      <c r="B74" s="21"/>
      <c r="C74" s="44" t="str">
        <f>C$10</f>
        <v>１、２歳児</v>
      </c>
      <c r="D74" s="28">
        <f>D72</f>
        <v>16</v>
      </c>
      <c r="E74" s="31" t="str">
        <f>E$10</f>
        <v>C</v>
      </c>
      <c r="F74" s="140" t="str">
        <f t="shared" si="0"/>
        <v>16C</v>
      </c>
      <c r="G74" s="32">
        <v>1090</v>
      </c>
      <c r="H74" s="33">
        <v>2.9</v>
      </c>
      <c r="I74" s="32">
        <v>1040</v>
      </c>
      <c r="J74" s="33">
        <v>2.9</v>
      </c>
      <c r="K74" s="30">
        <f t="shared" ref="K74:P74" si="119">K$10</f>
        <v>0</v>
      </c>
      <c r="L74" s="45">
        <f t="shared" si="119"/>
        <v>0</v>
      </c>
      <c r="M74" s="30">
        <f t="shared" si="119"/>
        <v>0</v>
      </c>
      <c r="N74" s="45">
        <f t="shared" si="119"/>
        <v>0</v>
      </c>
      <c r="O74" s="30">
        <f t="shared" si="119"/>
        <v>170</v>
      </c>
      <c r="P74" s="45">
        <f t="shared" si="119"/>
        <v>2.7</v>
      </c>
      <c r="Q74" s="141"/>
      <c r="R74" s="141"/>
      <c r="S74" s="157">
        <f t="shared" ref="S74:V74" si="120">S72</f>
        <v>0.01</v>
      </c>
      <c r="T74" s="157">
        <f t="shared" si="120"/>
        <v>0.03</v>
      </c>
      <c r="U74" s="157">
        <f t="shared" si="120"/>
        <v>0.04</v>
      </c>
      <c r="V74" s="157">
        <f t="shared" si="120"/>
        <v>0.06</v>
      </c>
      <c r="W74" s="30">
        <f t="shared" ref="W74:X74" si="121">W72</f>
        <v>10</v>
      </c>
      <c r="X74" s="45">
        <f t="shared" si="121"/>
        <v>5.7</v>
      </c>
      <c r="Y74" s="17"/>
      <c r="Z74" s="17"/>
      <c r="AA74" s="17"/>
      <c r="AB74" s="17"/>
      <c r="AC74" s="17"/>
      <c r="AD74" s="17"/>
      <c r="AF74" s="17"/>
      <c r="AG74" s="17"/>
      <c r="AH74" s="17"/>
      <c r="AO74" s="17"/>
      <c r="AP74" s="17"/>
      <c r="AQ74" s="17"/>
      <c r="AR74" s="17"/>
      <c r="AS74" s="17"/>
    </row>
    <row r="75" spans="2:45" ht="15.75" customHeight="1">
      <c r="B75" s="56"/>
      <c r="C75" s="47" t="str">
        <f>C$11</f>
        <v>乳児</v>
      </c>
      <c r="D75" s="38">
        <f>D72</f>
        <v>16</v>
      </c>
      <c r="E75" s="41" t="str">
        <f>E$11</f>
        <v>D</v>
      </c>
      <c r="F75" s="143" t="str">
        <f t="shared" si="0"/>
        <v>16D</v>
      </c>
      <c r="G75" s="35">
        <v>1980</v>
      </c>
      <c r="H75" s="36">
        <v>2.8</v>
      </c>
      <c r="I75" s="35">
        <v>1930</v>
      </c>
      <c r="J75" s="36">
        <v>2.8</v>
      </c>
      <c r="K75" s="40">
        <f t="shared" ref="K75:P75" si="122">K$11</f>
        <v>0</v>
      </c>
      <c r="L75" s="48">
        <f t="shared" si="122"/>
        <v>0</v>
      </c>
      <c r="M75" s="40">
        <f t="shared" si="122"/>
        <v>0</v>
      </c>
      <c r="N75" s="48">
        <f t="shared" si="122"/>
        <v>0</v>
      </c>
      <c r="O75" s="40">
        <f t="shared" si="122"/>
        <v>0</v>
      </c>
      <c r="P75" s="48">
        <f t="shared" si="122"/>
        <v>0</v>
      </c>
      <c r="Q75" s="144"/>
      <c r="R75" s="144"/>
      <c r="S75" s="158">
        <f t="shared" ref="S75:V75" si="123">S72</f>
        <v>0.01</v>
      </c>
      <c r="T75" s="158">
        <f t="shared" si="123"/>
        <v>0.03</v>
      </c>
      <c r="U75" s="158">
        <f t="shared" si="123"/>
        <v>0.04</v>
      </c>
      <c r="V75" s="158">
        <f t="shared" si="123"/>
        <v>0.06</v>
      </c>
      <c r="W75" s="40">
        <f t="shared" ref="W75:X75" si="124">W72</f>
        <v>10</v>
      </c>
      <c r="X75" s="48">
        <f t="shared" si="124"/>
        <v>5.7</v>
      </c>
      <c r="Y75" s="17"/>
      <c r="Z75" s="17"/>
      <c r="AA75" s="17"/>
      <c r="AB75" s="17"/>
      <c r="AC75" s="17"/>
      <c r="AD75" s="17"/>
      <c r="AF75" s="17"/>
      <c r="AG75" s="17"/>
      <c r="AH75" s="17"/>
      <c r="AO75" s="17"/>
      <c r="AP75" s="17"/>
      <c r="AQ75" s="17"/>
      <c r="AR75" s="17"/>
      <c r="AS75" s="17"/>
    </row>
    <row r="76" spans="2:45" ht="15.75" customHeight="1">
      <c r="B76" s="52" t="s">
        <v>68</v>
      </c>
      <c r="C76" s="42" t="str">
        <f>C$8</f>
        <v>４歳以上児</v>
      </c>
      <c r="D76" s="22">
        <v>17</v>
      </c>
      <c r="E76" s="25" t="str">
        <f>E$8</f>
        <v>A</v>
      </c>
      <c r="F76" s="145" t="str">
        <f t="shared" si="0"/>
        <v>17A</v>
      </c>
      <c r="G76" s="27">
        <v>380</v>
      </c>
      <c r="H76" s="43">
        <v>3</v>
      </c>
      <c r="I76" s="27">
        <v>330</v>
      </c>
      <c r="J76" s="43">
        <v>3</v>
      </c>
      <c r="K76" s="24">
        <f t="shared" ref="K76:P76" si="125">K$8</f>
        <v>0</v>
      </c>
      <c r="L76" s="55">
        <f t="shared" si="125"/>
        <v>0</v>
      </c>
      <c r="M76" s="24">
        <f t="shared" si="125"/>
        <v>30</v>
      </c>
      <c r="N76" s="55">
        <f t="shared" si="125"/>
        <v>3.8</v>
      </c>
      <c r="O76" s="24">
        <f t="shared" si="125"/>
        <v>0</v>
      </c>
      <c r="P76" s="55">
        <f t="shared" si="125"/>
        <v>0</v>
      </c>
      <c r="Q76" s="146"/>
      <c r="R76" s="146"/>
      <c r="S76" s="155">
        <v>0.01</v>
      </c>
      <c r="T76" s="155">
        <v>0.03</v>
      </c>
      <c r="U76" s="155">
        <v>0.04</v>
      </c>
      <c r="V76" s="155">
        <v>0.06</v>
      </c>
      <c r="W76" s="27">
        <v>10</v>
      </c>
      <c r="X76" s="43">
        <v>5.2</v>
      </c>
      <c r="Y76" s="17"/>
      <c r="Z76" s="17"/>
      <c r="AA76" s="17"/>
      <c r="AB76" s="17"/>
      <c r="AC76" s="17"/>
      <c r="AD76" s="17"/>
      <c r="AF76" s="17"/>
      <c r="AG76" s="17"/>
      <c r="AH76" s="17"/>
      <c r="AO76" s="17"/>
      <c r="AP76" s="17"/>
      <c r="AQ76" s="17"/>
      <c r="AR76" s="17"/>
      <c r="AS76" s="17"/>
    </row>
    <row r="77" spans="2:45" ht="15.75" customHeight="1">
      <c r="B77" s="21"/>
      <c r="C77" s="44" t="str">
        <f>C$9</f>
        <v>３歳児</v>
      </c>
      <c r="D77" s="28">
        <f>D76</f>
        <v>17</v>
      </c>
      <c r="E77" s="31" t="str">
        <f>E$9</f>
        <v>B</v>
      </c>
      <c r="F77" s="140" t="str">
        <f t="shared" si="0"/>
        <v>17B</v>
      </c>
      <c r="G77" s="32">
        <v>460</v>
      </c>
      <c r="H77" s="33">
        <v>3</v>
      </c>
      <c r="I77" s="32">
        <v>410</v>
      </c>
      <c r="J77" s="33">
        <v>3</v>
      </c>
      <c r="K77" s="30">
        <f t="shared" ref="K77:P77" si="126">K$9</f>
        <v>80</v>
      </c>
      <c r="L77" s="45">
        <f t="shared" si="126"/>
        <v>2.8</v>
      </c>
      <c r="M77" s="30">
        <f t="shared" si="126"/>
        <v>0</v>
      </c>
      <c r="N77" s="45">
        <f t="shared" si="126"/>
        <v>0</v>
      </c>
      <c r="O77" s="30">
        <f t="shared" si="126"/>
        <v>0</v>
      </c>
      <c r="P77" s="45">
        <f t="shared" si="126"/>
        <v>0</v>
      </c>
      <c r="Q77" s="141"/>
      <c r="R77" s="141"/>
      <c r="S77" s="157">
        <f t="shared" ref="S77:X77" si="127">S76</f>
        <v>0.01</v>
      </c>
      <c r="T77" s="157">
        <f t="shared" si="127"/>
        <v>0.03</v>
      </c>
      <c r="U77" s="157">
        <f t="shared" si="127"/>
        <v>0.04</v>
      </c>
      <c r="V77" s="157">
        <f t="shared" si="127"/>
        <v>0.06</v>
      </c>
      <c r="W77" s="30">
        <f t="shared" si="127"/>
        <v>10</v>
      </c>
      <c r="X77" s="45">
        <f t="shared" si="127"/>
        <v>5.2</v>
      </c>
      <c r="Y77" s="17"/>
      <c r="Z77" s="17"/>
      <c r="AA77" s="17"/>
      <c r="AB77" s="17"/>
      <c r="AC77" s="17"/>
      <c r="AD77" s="17"/>
      <c r="AF77" s="17"/>
      <c r="AG77" s="17"/>
      <c r="AH77" s="17"/>
      <c r="AO77" s="17"/>
      <c r="AP77" s="17"/>
      <c r="AQ77" s="17"/>
      <c r="AR77" s="17"/>
      <c r="AS77" s="17"/>
    </row>
    <row r="78" spans="2:45" ht="15.75" customHeight="1">
      <c r="B78" s="21"/>
      <c r="C78" s="44" t="str">
        <f>C$10</f>
        <v>１、２歳児</v>
      </c>
      <c r="D78" s="28">
        <f>D76</f>
        <v>17</v>
      </c>
      <c r="E78" s="31" t="str">
        <f>E$10</f>
        <v>C</v>
      </c>
      <c r="F78" s="140" t="str">
        <f t="shared" si="0"/>
        <v>17C</v>
      </c>
      <c r="G78" s="32">
        <v>1070</v>
      </c>
      <c r="H78" s="33">
        <v>2.9</v>
      </c>
      <c r="I78" s="32">
        <v>1030</v>
      </c>
      <c r="J78" s="33">
        <v>2.8</v>
      </c>
      <c r="K78" s="30">
        <f t="shared" ref="K78:P78" si="128">K$10</f>
        <v>0</v>
      </c>
      <c r="L78" s="45">
        <f t="shared" si="128"/>
        <v>0</v>
      </c>
      <c r="M78" s="30">
        <f t="shared" si="128"/>
        <v>0</v>
      </c>
      <c r="N78" s="45">
        <f t="shared" si="128"/>
        <v>0</v>
      </c>
      <c r="O78" s="30">
        <f t="shared" si="128"/>
        <v>170</v>
      </c>
      <c r="P78" s="45">
        <f t="shared" si="128"/>
        <v>2.7</v>
      </c>
      <c r="Q78" s="141"/>
      <c r="R78" s="141"/>
      <c r="S78" s="157">
        <f t="shared" ref="S78:X78" si="129">S76</f>
        <v>0.01</v>
      </c>
      <c r="T78" s="157">
        <f t="shared" si="129"/>
        <v>0.03</v>
      </c>
      <c r="U78" s="157">
        <f t="shared" si="129"/>
        <v>0.04</v>
      </c>
      <c r="V78" s="157">
        <f t="shared" si="129"/>
        <v>0.06</v>
      </c>
      <c r="W78" s="30">
        <f t="shared" si="129"/>
        <v>10</v>
      </c>
      <c r="X78" s="45">
        <f t="shared" si="129"/>
        <v>5.2</v>
      </c>
      <c r="Y78" s="17"/>
      <c r="Z78" s="17"/>
      <c r="AA78" s="17"/>
      <c r="AB78" s="17"/>
      <c r="AC78" s="17"/>
      <c r="AD78" s="17"/>
      <c r="AF78" s="17"/>
      <c r="AG78" s="17"/>
      <c r="AH78" s="17"/>
      <c r="AO78" s="17"/>
      <c r="AP78" s="17"/>
      <c r="AQ78" s="17"/>
      <c r="AR78" s="17"/>
      <c r="AS78" s="17"/>
    </row>
    <row r="79" spans="2:45" ht="15.75" customHeight="1">
      <c r="B79" s="56"/>
      <c r="C79" s="47" t="str">
        <f>C$11</f>
        <v>乳児</v>
      </c>
      <c r="D79" s="38">
        <f>D76</f>
        <v>17</v>
      </c>
      <c r="E79" s="41" t="str">
        <f>E$11</f>
        <v>D</v>
      </c>
      <c r="F79" s="143" t="str">
        <f t="shared" si="0"/>
        <v>17D</v>
      </c>
      <c r="G79" s="35">
        <v>1960</v>
      </c>
      <c r="H79" s="36">
        <v>2.8</v>
      </c>
      <c r="I79" s="35">
        <v>1920</v>
      </c>
      <c r="J79" s="36">
        <v>2.8</v>
      </c>
      <c r="K79" s="40">
        <f t="shared" ref="K79:P79" si="130">K$11</f>
        <v>0</v>
      </c>
      <c r="L79" s="48">
        <f t="shared" si="130"/>
        <v>0</v>
      </c>
      <c r="M79" s="40">
        <f t="shared" si="130"/>
        <v>0</v>
      </c>
      <c r="N79" s="48">
        <f t="shared" si="130"/>
        <v>0</v>
      </c>
      <c r="O79" s="40">
        <f t="shared" si="130"/>
        <v>0</v>
      </c>
      <c r="P79" s="48">
        <f t="shared" si="130"/>
        <v>0</v>
      </c>
      <c r="Q79" s="144"/>
      <c r="R79" s="144"/>
      <c r="S79" s="158">
        <f t="shared" ref="S79:X79" si="131">S76</f>
        <v>0.01</v>
      </c>
      <c r="T79" s="158">
        <f t="shared" si="131"/>
        <v>0.03</v>
      </c>
      <c r="U79" s="158">
        <f t="shared" si="131"/>
        <v>0.04</v>
      </c>
      <c r="V79" s="158">
        <f t="shared" si="131"/>
        <v>0.06</v>
      </c>
      <c r="W79" s="40">
        <f t="shared" si="131"/>
        <v>10</v>
      </c>
      <c r="X79" s="48">
        <f t="shared" si="131"/>
        <v>5.2</v>
      </c>
      <c r="Y79" s="17"/>
      <c r="Z79" s="17"/>
      <c r="AA79" s="17"/>
      <c r="AB79" s="17"/>
      <c r="AC79" s="17"/>
      <c r="AD79" s="17"/>
      <c r="AF79" s="17"/>
      <c r="AG79" s="17"/>
      <c r="AH79" s="17"/>
      <c r="AO79" s="17"/>
      <c r="AP79" s="17"/>
      <c r="AQ79" s="17"/>
      <c r="AR79" s="17"/>
      <c r="AS79" s="17"/>
    </row>
    <row r="80" spans="2:45">
      <c r="B80" s="52" t="s">
        <v>69</v>
      </c>
      <c r="C80" s="42" t="str">
        <f>C$8</f>
        <v>４歳以上児</v>
      </c>
      <c r="D80" s="22">
        <v>18</v>
      </c>
      <c r="E80" s="25" t="str">
        <f>E$8</f>
        <v>A</v>
      </c>
      <c r="F80" s="145" t="str">
        <f t="shared" si="0"/>
        <v>18A</v>
      </c>
      <c r="G80" s="27">
        <v>370</v>
      </c>
      <c r="H80" s="43">
        <v>3</v>
      </c>
      <c r="I80" s="27">
        <v>320</v>
      </c>
      <c r="J80" s="43">
        <v>3</v>
      </c>
      <c r="K80" s="24">
        <f t="shared" ref="K80:P80" si="132">K$8</f>
        <v>0</v>
      </c>
      <c r="L80" s="55">
        <f t="shared" si="132"/>
        <v>0</v>
      </c>
      <c r="M80" s="24">
        <f t="shared" si="132"/>
        <v>30</v>
      </c>
      <c r="N80" s="55">
        <f t="shared" si="132"/>
        <v>3.8</v>
      </c>
      <c r="O80" s="24">
        <f t="shared" si="132"/>
        <v>0</v>
      </c>
      <c r="P80" s="55">
        <f t="shared" si="132"/>
        <v>0</v>
      </c>
      <c r="Q80" s="146"/>
      <c r="R80" s="146"/>
      <c r="S80" s="155">
        <v>0.01</v>
      </c>
      <c r="T80" s="155">
        <v>0.03</v>
      </c>
      <c r="U80" s="155">
        <v>0.04</v>
      </c>
      <c r="V80" s="155">
        <v>0.06</v>
      </c>
      <c r="W80" s="27">
        <v>11</v>
      </c>
      <c r="X80" s="43">
        <v>4.4000000000000004</v>
      </c>
    </row>
    <row r="81" spans="2:24">
      <c r="B81" s="21"/>
      <c r="C81" s="44" t="str">
        <f>C$9</f>
        <v>３歳児</v>
      </c>
      <c r="D81" s="28">
        <f>D80</f>
        <v>18</v>
      </c>
      <c r="E81" s="31" t="str">
        <f>E$9</f>
        <v>B</v>
      </c>
      <c r="F81" s="140" t="str">
        <f t="shared" si="0"/>
        <v>18B</v>
      </c>
      <c r="G81" s="32">
        <v>450</v>
      </c>
      <c r="H81" s="33">
        <v>3</v>
      </c>
      <c r="I81" s="32">
        <v>400</v>
      </c>
      <c r="J81" s="33">
        <v>3</v>
      </c>
      <c r="K81" s="30">
        <f t="shared" ref="K81:P81" si="133">K$9</f>
        <v>80</v>
      </c>
      <c r="L81" s="45">
        <f t="shared" si="133"/>
        <v>2.8</v>
      </c>
      <c r="M81" s="30">
        <f t="shared" si="133"/>
        <v>0</v>
      </c>
      <c r="N81" s="45">
        <f t="shared" si="133"/>
        <v>0</v>
      </c>
      <c r="O81" s="30">
        <f t="shared" si="133"/>
        <v>0</v>
      </c>
      <c r="P81" s="45">
        <f t="shared" si="133"/>
        <v>0</v>
      </c>
      <c r="Q81" s="141"/>
      <c r="R81" s="141"/>
      <c r="S81" s="157">
        <f t="shared" ref="S81:X81" si="134">S80</f>
        <v>0.01</v>
      </c>
      <c r="T81" s="157">
        <f t="shared" si="134"/>
        <v>0.03</v>
      </c>
      <c r="U81" s="157">
        <f t="shared" si="134"/>
        <v>0.04</v>
      </c>
      <c r="V81" s="157">
        <f t="shared" si="134"/>
        <v>0.06</v>
      </c>
      <c r="W81" s="30">
        <f t="shared" si="134"/>
        <v>11</v>
      </c>
      <c r="X81" s="45">
        <f t="shared" si="134"/>
        <v>4.4000000000000004</v>
      </c>
    </row>
    <row r="82" spans="2:24">
      <c r="B82" s="21"/>
      <c r="C82" s="44" t="str">
        <f>C$10</f>
        <v>１、２歳児</v>
      </c>
      <c r="D82" s="28">
        <f>D80</f>
        <v>18</v>
      </c>
      <c r="E82" s="31" t="str">
        <f>E$10</f>
        <v>C</v>
      </c>
      <c r="F82" s="140" t="str">
        <f t="shared" si="0"/>
        <v>18C</v>
      </c>
      <c r="G82" s="32">
        <v>1060</v>
      </c>
      <c r="H82" s="33">
        <v>2.9</v>
      </c>
      <c r="I82" s="32">
        <v>1020</v>
      </c>
      <c r="J82" s="33">
        <v>2.8</v>
      </c>
      <c r="K82" s="30">
        <f t="shared" ref="K82:P82" si="135">K$10</f>
        <v>0</v>
      </c>
      <c r="L82" s="45">
        <f t="shared" si="135"/>
        <v>0</v>
      </c>
      <c r="M82" s="30">
        <f t="shared" si="135"/>
        <v>0</v>
      </c>
      <c r="N82" s="45">
        <f t="shared" si="135"/>
        <v>0</v>
      </c>
      <c r="O82" s="30">
        <f t="shared" si="135"/>
        <v>170</v>
      </c>
      <c r="P82" s="45">
        <f t="shared" si="135"/>
        <v>2.7</v>
      </c>
      <c r="Q82" s="141"/>
      <c r="R82" s="141"/>
      <c r="S82" s="157">
        <f t="shared" ref="S82:X82" si="136">S80</f>
        <v>0.01</v>
      </c>
      <c r="T82" s="157">
        <f t="shared" si="136"/>
        <v>0.03</v>
      </c>
      <c r="U82" s="157">
        <f t="shared" si="136"/>
        <v>0.04</v>
      </c>
      <c r="V82" s="157">
        <f t="shared" si="136"/>
        <v>0.06</v>
      </c>
      <c r="W82" s="30">
        <f t="shared" si="136"/>
        <v>11</v>
      </c>
      <c r="X82" s="45">
        <f t="shared" si="136"/>
        <v>4.4000000000000004</v>
      </c>
    </row>
    <row r="83" spans="2:24">
      <c r="B83" s="56"/>
      <c r="C83" s="47" t="str">
        <f>C$11</f>
        <v>乳児</v>
      </c>
      <c r="D83" s="38">
        <f>D80</f>
        <v>18</v>
      </c>
      <c r="E83" s="41" t="str">
        <f>E$11</f>
        <v>D</v>
      </c>
      <c r="F83" s="143" t="str">
        <f t="shared" si="0"/>
        <v>18D</v>
      </c>
      <c r="G83" s="35">
        <v>1950</v>
      </c>
      <c r="H83" s="36">
        <v>2.8</v>
      </c>
      <c r="I83" s="35">
        <v>1910</v>
      </c>
      <c r="J83" s="36">
        <v>2.8</v>
      </c>
      <c r="K83" s="40">
        <f t="shared" ref="K83:P83" si="137">K$11</f>
        <v>0</v>
      </c>
      <c r="L83" s="48">
        <f t="shared" si="137"/>
        <v>0</v>
      </c>
      <c r="M83" s="40">
        <f t="shared" si="137"/>
        <v>0</v>
      </c>
      <c r="N83" s="48">
        <f t="shared" si="137"/>
        <v>0</v>
      </c>
      <c r="O83" s="40">
        <f t="shared" si="137"/>
        <v>0</v>
      </c>
      <c r="P83" s="48">
        <f t="shared" si="137"/>
        <v>0</v>
      </c>
      <c r="Q83" s="144"/>
      <c r="R83" s="144"/>
      <c r="S83" s="158">
        <f t="shared" ref="S83:X83" si="138">S80</f>
        <v>0.01</v>
      </c>
      <c r="T83" s="158">
        <f t="shared" si="138"/>
        <v>0.03</v>
      </c>
      <c r="U83" s="158">
        <f t="shared" si="138"/>
        <v>0.04</v>
      </c>
      <c r="V83" s="158">
        <f t="shared" si="138"/>
        <v>0.06</v>
      </c>
      <c r="W83" s="40">
        <f t="shared" si="138"/>
        <v>11</v>
      </c>
      <c r="X83" s="48">
        <f t="shared" si="138"/>
        <v>4.4000000000000004</v>
      </c>
    </row>
    <row r="84" spans="2:24">
      <c r="B84" s="52" t="s">
        <v>70</v>
      </c>
      <c r="C84" s="42" t="str">
        <f>C$8</f>
        <v>４歳以上児</v>
      </c>
      <c r="D84" s="22">
        <v>19</v>
      </c>
      <c r="E84" s="25" t="str">
        <f>E$8</f>
        <v>A</v>
      </c>
      <c r="F84" s="145" t="str">
        <f t="shared" si="0"/>
        <v>19A</v>
      </c>
      <c r="G84" s="27">
        <v>350</v>
      </c>
      <c r="H84" s="43">
        <v>3</v>
      </c>
      <c r="I84" s="27">
        <v>310</v>
      </c>
      <c r="J84" s="43">
        <v>3</v>
      </c>
      <c r="K84" s="24">
        <f t="shared" ref="K84:P84" si="139">K$8</f>
        <v>0</v>
      </c>
      <c r="L84" s="55">
        <f t="shared" si="139"/>
        <v>0</v>
      </c>
      <c r="M84" s="24">
        <f t="shared" si="139"/>
        <v>30</v>
      </c>
      <c r="N84" s="55">
        <f t="shared" si="139"/>
        <v>3.8</v>
      </c>
      <c r="O84" s="24">
        <f t="shared" si="139"/>
        <v>0</v>
      </c>
      <c r="P84" s="55">
        <f t="shared" si="139"/>
        <v>0</v>
      </c>
      <c r="Q84" s="146"/>
      <c r="R84" s="146"/>
      <c r="S84" s="155">
        <v>0.01</v>
      </c>
      <c r="T84" s="155">
        <v>0.03</v>
      </c>
      <c r="U84" s="155">
        <v>0.04</v>
      </c>
      <c r="V84" s="155">
        <v>0.06</v>
      </c>
      <c r="W84" s="27">
        <v>10</v>
      </c>
      <c r="X84" s="43">
        <v>4.5</v>
      </c>
    </row>
    <row r="85" spans="2:24">
      <c r="B85" s="21"/>
      <c r="C85" s="44" t="str">
        <f>C$9</f>
        <v>３歳児</v>
      </c>
      <c r="D85" s="28">
        <f>D84</f>
        <v>19</v>
      </c>
      <c r="E85" s="31" t="str">
        <f>E$9</f>
        <v>B</v>
      </c>
      <c r="F85" s="140" t="str">
        <f t="shared" si="0"/>
        <v>19B</v>
      </c>
      <c r="G85" s="32">
        <v>430</v>
      </c>
      <c r="H85" s="33">
        <v>3</v>
      </c>
      <c r="I85" s="32">
        <v>390</v>
      </c>
      <c r="J85" s="33">
        <v>3</v>
      </c>
      <c r="K85" s="30">
        <f t="shared" ref="K85:P85" si="140">K$9</f>
        <v>80</v>
      </c>
      <c r="L85" s="45">
        <f t="shared" si="140"/>
        <v>2.8</v>
      </c>
      <c r="M85" s="30">
        <f t="shared" si="140"/>
        <v>0</v>
      </c>
      <c r="N85" s="45">
        <f t="shared" si="140"/>
        <v>0</v>
      </c>
      <c r="O85" s="30">
        <f t="shared" si="140"/>
        <v>0</v>
      </c>
      <c r="P85" s="45">
        <f t="shared" si="140"/>
        <v>0</v>
      </c>
      <c r="Q85" s="141"/>
      <c r="R85" s="141"/>
      <c r="S85" s="157">
        <f t="shared" ref="S85:X85" si="141">S84</f>
        <v>0.01</v>
      </c>
      <c r="T85" s="157">
        <f t="shared" si="141"/>
        <v>0.03</v>
      </c>
      <c r="U85" s="157">
        <f t="shared" si="141"/>
        <v>0.04</v>
      </c>
      <c r="V85" s="157">
        <f t="shared" si="141"/>
        <v>0.06</v>
      </c>
      <c r="W85" s="30">
        <f t="shared" si="141"/>
        <v>10</v>
      </c>
      <c r="X85" s="45">
        <f t="shared" si="141"/>
        <v>4.5</v>
      </c>
    </row>
    <row r="86" spans="2:24">
      <c r="B86" s="21"/>
      <c r="C86" s="44" t="str">
        <f>C$10</f>
        <v>１、２歳児</v>
      </c>
      <c r="D86" s="28">
        <f>D84</f>
        <v>19</v>
      </c>
      <c r="E86" s="31" t="str">
        <f>E$10</f>
        <v>C</v>
      </c>
      <c r="F86" s="140" t="str">
        <f t="shared" si="0"/>
        <v>19C</v>
      </c>
      <c r="G86" s="32">
        <v>1050</v>
      </c>
      <c r="H86" s="33">
        <v>2.9</v>
      </c>
      <c r="I86" s="32">
        <v>1010</v>
      </c>
      <c r="J86" s="33">
        <v>2.8</v>
      </c>
      <c r="K86" s="30">
        <f t="shared" ref="K86:P86" si="142">K$10</f>
        <v>0</v>
      </c>
      <c r="L86" s="45">
        <f t="shared" si="142"/>
        <v>0</v>
      </c>
      <c r="M86" s="30">
        <f t="shared" si="142"/>
        <v>0</v>
      </c>
      <c r="N86" s="45">
        <f t="shared" si="142"/>
        <v>0</v>
      </c>
      <c r="O86" s="30">
        <f t="shared" si="142"/>
        <v>170</v>
      </c>
      <c r="P86" s="45">
        <f t="shared" si="142"/>
        <v>2.7</v>
      </c>
      <c r="Q86" s="141"/>
      <c r="R86" s="141"/>
      <c r="S86" s="157">
        <f t="shared" ref="S86:X86" si="143">S84</f>
        <v>0.01</v>
      </c>
      <c r="T86" s="157">
        <f t="shared" si="143"/>
        <v>0.03</v>
      </c>
      <c r="U86" s="157">
        <f t="shared" si="143"/>
        <v>0.04</v>
      </c>
      <c r="V86" s="157">
        <f t="shared" si="143"/>
        <v>0.06</v>
      </c>
      <c r="W86" s="30">
        <f t="shared" si="143"/>
        <v>10</v>
      </c>
      <c r="X86" s="45">
        <f t="shared" si="143"/>
        <v>4.5</v>
      </c>
    </row>
    <row r="87" spans="2:24">
      <c r="B87" s="56"/>
      <c r="C87" s="47" t="str">
        <f>C$11</f>
        <v>乳児</v>
      </c>
      <c r="D87" s="38">
        <f>D84</f>
        <v>19</v>
      </c>
      <c r="E87" s="41" t="str">
        <f>E$11</f>
        <v>D</v>
      </c>
      <c r="F87" s="143" t="str">
        <f t="shared" si="0"/>
        <v>19D</v>
      </c>
      <c r="G87" s="35">
        <v>1940</v>
      </c>
      <c r="H87" s="36">
        <v>2.8</v>
      </c>
      <c r="I87" s="35">
        <v>1900</v>
      </c>
      <c r="J87" s="36">
        <v>2.8</v>
      </c>
      <c r="K87" s="40">
        <f t="shared" ref="K87:P87" si="144">K$11</f>
        <v>0</v>
      </c>
      <c r="L87" s="48">
        <f t="shared" si="144"/>
        <v>0</v>
      </c>
      <c r="M87" s="40">
        <f t="shared" si="144"/>
        <v>0</v>
      </c>
      <c r="N87" s="48">
        <f t="shared" si="144"/>
        <v>0</v>
      </c>
      <c r="O87" s="40">
        <f t="shared" si="144"/>
        <v>0</v>
      </c>
      <c r="P87" s="48">
        <f t="shared" si="144"/>
        <v>0</v>
      </c>
      <c r="Q87" s="144"/>
      <c r="R87" s="144"/>
      <c r="S87" s="158">
        <f t="shared" ref="S87:X87" si="145">S84</f>
        <v>0.01</v>
      </c>
      <c r="T87" s="158">
        <f t="shared" si="145"/>
        <v>0.03</v>
      </c>
      <c r="U87" s="158">
        <f t="shared" si="145"/>
        <v>0.04</v>
      </c>
      <c r="V87" s="158">
        <f t="shared" si="145"/>
        <v>0.06</v>
      </c>
      <c r="W87" s="40">
        <f t="shared" si="145"/>
        <v>10</v>
      </c>
      <c r="X87" s="48">
        <f t="shared" si="145"/>
        <v>4.5</v>
      </c>
    </row>
    <row r="88" spans="2:24">
      <c r="B88" s="52" t="s">
        <v>71</v>
      </c>
      <c r="C88" s="42" t="str">
        <f>C$8</f>
        <v>４歳以上児</v>
      </c>
      <c r="D88" s="22">
        <v>20</v>
      </c>
      <c r="E88" s="25" t="str">
        <f>E$8</f>
        <v>A</v>
      </c>
      <c r="F88" s="145" t="str">
        <f t="shared" si="0"/>
        <v>20A</v>
      </c>
      <c r="G88" s="27">
        <v>350</v>
      </c>
      <c r="H88" s="43">
        <v>3.2</v>
      </c>
      <c r="I88" s="27">
        <v>320</v>
      </c>
      <c r="J88" s="43">
        <v>3.1</v>
      </c>
      <c r="K88" s="24">
        <f t="shared" ref="K88:P88" si="146">K$8</f>
        <v>0</v>
      </c>
      <c r="L88" s="55">
        <f t="shared" si="146"/>
        <v>0</v>
      </c>
      <c r="M88" s="24">
        <f t="shared" si="146"/>
        <v>30</v>
      </c>
      <c r="N88" s="55">
        <f t="shared" si="146"/>
        <v>3.8</v>
      </c>
      <c r="O88" s="24">
        <f t="shared" si="146"/>
        <v>0</v>
      </c>
      <c r="P88" s="55">
        <f t="shared" si="146"/>
        <v>0</v>
      </c>
      <c r="Q88" s="146"/>
      <c r="R88" s="146"/>
      <c r="S88" s="155">
        <v>0.01</v>
      </c>
      <c r="T88" s="155">
        <v>0.03</v>
      </c>
      <c r="U88" s="155">
        <v>0.04</v>
      </c>
      <c r="V88" s="155">
        <v>0.06</v>
      </c>
      <c r="W88" s="27">
        <v>9</v>
      </c>
      <c r="X88" s="43">
        <v>4.7</v>
      </c>
    </row>
    <row r="89" spans="2:24">
      <c r="B89" s="21"/>
      <c r="C89" s="44" t="str">
        <f>C$9</f>
        <v>３歳児</v>
      </c>
      <c r="D89" s="28">
        <f>D88</f>
        <v>20</v>
      </c>
      <c r="E89" s="31" t="str">
        <f>E$9</f>
        <v>B</v>
      </c>
      <c r="F89" s="140" t="str">
        <f t="shared" si="0"/>
        <v>20B</v>
      </c>
      <c r="G89" s="32">
        <v>430</v>
      </c>
      <c r="H89" s="33">
        <v>3.1</v>
      </c>
      <c r="I89" s="32">
        <v>400</v>
      </c>
      <c r="J89" s="33">
        <v>3.1</v>
      </c>
      <c r="K89" s="30">
        <f t="shared" ref="K89:P89" si="147">K$9</f>
        <v>80</v>
      </c>
      <c r="L89" s="45">
        <f t="shared" si="147"/>
        <v>2.8</v>
      </c>
      <c r="M89" s="30">
        <f t="shared" si="147"/>
        <v>0</v>
      </c>
      <c r="N89" s="45">
        <f t="shared" si="147"/>
        <v>0</v>
      </c>
      <c r="O89" s="30">
        <f t="shared" si="147"/>
        <v>0</v>
      </c>
      <c r="P89" s="45">
        <f t="shared" si="147"/>
        <v>0</v>
      </c>
      <c r="Q89" s="141"/>
      <c r="R89" s="141"/>
      <c r="S89" s="157">
        <f t="shared" ref="S89:X89" si="148">S88</f>
        <v>0.01</v>
      </c>
      <c r="T89" s="157">
        <f t="shared" si="148"/>
        <v>0.03</v>
      </c>
      <c r="U89" s="157">
        <f t="shared" si="148"/>
        <v>0.04</v>
      </c>
      <c r="V89" s="157">
        <f t="shared" si="148"/>
        <v>0.06</v>
      </c>
      <c r="W89" s="30">
        <f t="shared" si="148"/>
        <v>9</v>
      </c>
      <c r="X89" s="45">
        <f t="shared" si="148"/>
        <v>4.7</v>
      </c>
    </row>
    <row r="90" spans="2:24">
      <c r="B90" s="21"/>
      <c r="C90" s="44" t="str">
        <f>C$10</f>
        <v>１、２歳児</v>
      </c>
      <c r="D90" s="28">
        <f>D88</f>
        <v>20</v>
      </c>
      <c r="E90" s="31" t="str">
        <f>E$10</f>
        <v>C</v>
      </c>
      <c r="F90" s="140" t="str">
        <f t="shared" si="0"/>
        <v>20C</v>
      </c>
      <c r="G90" s="32">
        <v>1050</v>
      </c>
      <c r="H90" s="33">
        <v>2.9</v>
      </c>
      <c r="I90" s="32">
        <v>1010</v>
      </c>
      <c r="J90" s="33">
        <v>2.9</v>
      </c>
      <c r="K90" s="30">
        <f t="shared" ref="K90:P90" si="149">K$10</f>
        <v>0</v>
      </c>
      <c r="L90" s="45">
        <f t="shared" si="149"/>
        <v>0</v>
      </c>
      <c r="M90" s="30">
        <f t="shared" si="149"/>
        <v>0</v>
      </c>
      <c r="N90" s="45">
        <f t="shared" si="149"/>
        <v>0</v>
      </c>
      <c r="O90" s="30">
        <f t="shared" si="149"/>
        <v>170</v>
      </c>
      <c r="P90" s="45">
        <f t="shared" si="149"/>
        <v>2.7</v>
      </c>
      <c r="Q90" s="141"/>
      <c r="R90" s="141"/>
      <c r="S90" s="157">
        <f t="shared" ref="S90:X90" si="150">S88</f>
        <v>0.01</v>
      </c>
      <c r="T90" s="157">
        <f t="shared" si="150"/>
        <v>0.03</v>
      </c>
      <c r="U90" s="157">
        <f t="shared" si="150"/>
        <v>0.04</v>
      </c>
      <c r="V90" s="157">
        <f t="shared" si="150"/>
        <v>0.06</v>
      </c>
      <c r="W90" s="30">
        <f t="shared" si="150"/>
        <v>9</v>
      </c>
      <c r="X90" s="45">
        <f t="shared" si="150"/>
        <v>4.7</v>
      </c>
    </row>
    <row r="91" spans="2:24">
      <c r="B91" s="56"/>
      <c r="C91" s="47" t="str">
        <f>C$11</f>
        <v>乳児</v>
      </c>
      <c r="D91" s="38">
        <f>D88</f>
        <v>20</v>
      </c>
      <c r="E91" s="41" t="str">
        <f>E$11</f>
        <v>D</v>
      </c>
      <c r="F91" s="143" t="str">
        <f t="shared" si="0"/>
        <v>20D</v>
      </c>
      <c r="G91" s="35">
        <v>1940</v>
      </c>
      <c r="H91" s="36">
        <v>2.9</v>
      </c>
      <c r="I91" s="35">
        <v>1900</v>
      </c>
      <c r="J91" s="36">
        <v>2.9</v>
      </c>
      <c r="K91" s="40">
        <f t="shared" ref="K91:P91" si="151">K$11</f>
        <v>0</v>
      </c>
      <c r="L91" s="48">
        <f t="shared" si="151"/>
        <v>0</v>
      </c>
      <c r="M91" s="40">
        <f t="shared" si="151"/>
        <v>0</v>
      </c>
      <c r="N91" s="48">
        <f t="shared" si="151"/>
        <v>0</v>
      </c>
      <c r="O91" s="40">
        <f t="shared" si="151"/>
        <v>0</v>
      </c>
      <c r="P91" s="48">
        <f t="shared" si="151"/>
        <v>0</v>
      </c>
      <c r="Q91" s="144"/>
      <c r="R91" s="144"/>
      <c r="S91" s="158">
        <f t="shared" ref="S91:X91" si="152">S88</f>
        <v>0.01</v>
      </c>
      <c r="T91" s="158">
        <f t="shared" si="152"/>
        <v>0.03</v>
      </c>
      <c r="U91" s="158">
        <f t="shared" si="152"/>
        <v>0.04</v>
      </c>
      <c r="V91" s="158">
        <f t="shared" si="152"/>
        <v>0.06</v>
      </c>
      <c r="W91" s="40">
        <f t="shared" si="152"/>
        <v>9</v>
      </c>
      <c r="X91" s="48">
        <f t="shared" si="152"/>
        <v>4.7</v>
      </c>
    </row>
    <row r="92" spans="2:24">
      <c r="B92" s="52" t="s">
        <v>72</v>
      </c>
      <c r="C92" s="42" t="str">
        <f>C$8</f>
        <v>４歳以上児</v>
      </c>
      <c r="D92" s="22">
        <v>21</v>
      </c>
      <c r="E92" s="25" t="str">
        <f>E$8</f>
        <v>A</v>
      </c>
      <c r="F92" s="145" t="str">
        <f t="shared" si="0"/>
        <v>21A</v>
      </c>
      <c r="G92" s="27">
        <v>340</v>
      </c>
      <c r="H92" s="43">
        <v>3.2</v>
      </c>
      <c r="I92" s="27">
        <v>310</v>
      </c>
      <c r="J92" s="43">
        <v>3.1</v>
      </c>
      <c r="K92" s="24">
        <f t="shared" ref="K92:P92" si="153">K$8</f>
        <v>0</v>
      </c>
      <c r="L92" s="55">
        <f t="shared" si="153"/>
        <v>0</v>
      </c>
      <c r="M92" s="24">
        <f t="shared" si="153"/>
        <v>30</v>
      </c>
      <c r="N92" s="55">
        <f t="shared" si="153"/>
        <v>3.8</v>
      </c>
      <c r="O92" s="24">
        <f t="shared" si="153"/>
        <v>0</v>
      </c>
      <c r="P92" s="55">
        <f t="shared" si="153"/>
        <v>0</v>
      </c>
      <c r="Q92" s="146"/>
      <c r="R92" s="146"/>
      <c r="S92" s="155">
        <v>0.01</v>
      </c>
      <c r="T92" s="155">
        <v>0.03</v>
      </c>
      <c r="U92" s="155">
        <v>0.04</v>
      </c>
      <c r="V92" s="155">
        <v>0.06</v>
      </c>
      <c r="W92" s="27">
        <v>9</v>
      </c>
      <c r="X92" s="43">
        <v>4.4000000000000004</v>
      </c>
    </row>
    <row r="93" spans="2:24">
      <c r="B93" s="21"/>
      <c r="C93" s="44" t="str">
        <f>C$9</f>
        <v>３歳児</v>
      </c>
      <c r="D93" s="28">
        <f>D92</f>
        <v>21</v>
      </c>
      <c r="E93" s="31" t="str">
        <f>E$9</f>
        <v>B</v>
      </c>
      <c r="F93" s="140" t="str">
        <f t="shared" ref="F93:F99" si="154">D93&amp;E93</f>
        <v>21B</v>
      </c>
      <c r="G93" s="32">
        <v>420</v>
      </c>
      <c r="H93" s="33">
        <v>3.1</v>
      </c>
      <c r="I93" s="32">
        <v>390</v>
      </c>
      <c r="J93" s="33">
        <v>3.1</v>
      </c>
      <c r="K93" s="30">
        <f t="shared" ref="K93:P93" si="155">K$9</f>
        <v>80</v>
      </c>
      <c r="L93" s="45">
        <f t="shared" si="155"/>
        <v>2.8</v>
      </c>
      <c r="M93" s="30">
        <f t="shared" si="155"/>
        <v>0</v>
      </c>
      <c r="N93" s="45">
        <f t="shared" si="155"/>
        <v>0</v>
      </c>
      <c r="O93" s="30">
        <f t="shared" si="155"/>
        <v>0</v>
      </c>
      <c r="P93" s="45">
        <f t="shared" si="155"/>
        <v>0</v>
      </c>
      <c r="Q93" s="141"/>
      <c r="R93" s="141"/>
      <c r="S93" s="157">
        <f t="shared" ref="S93:X93" si="156">S92</f>
        <v>0.01</v>
      </c>
      <c r="T93" s="157">
        <f t="shared" si="156"/>
        <v>0.03</v>
      </c>
      <c r="U93" s="157">
        <f t="shared" si="156"/>
        <v>0.04</v>
      </c>
      <c r="V93" s="157">
        <f t="shared" si="156"/>
        <v>0.06</v>
      </c>
      <c r="W93" s="30">
        <f t="shared" si="156"/>
        <v>9</v>
      </c>
      <c r="X93" s="45">
        <f t="shared" si="156"/>
        <v>4.4000000000000004</v>
      </c>
    </row>
    <row r="94" spans="2:24">
      <c r="B94" s="21"/>
      <c r="C94" s="44" t="str">
        <f>C$10</f>
        <v>１、２歳児</v>
      </c>
      <c r="D94" s="28">
        <f>D92</f>
        <v>21</v>
      </c>
      <c r="E94" s="31" t="str">
        <f>E$10</f>
        <v>C</v>
      </c>
      <c r="F94" s="140" t="str">
        <f t="shared" si="154"/>
        <v>21C</v>
      </c>
      <c r="G94" s="32">
        <v>1040</v>
      </c>
      <c r="H94" s="33">
        <v>2.9</v>
      </c>
      <c r="I94" s="32">
        <v>1000</v>
      </c>
      <c r="J94" s="33">
        <v>2.9</v>
      </c>
      <c r="K94" s="30">
        <f t="shared" ref="K94:P94" si="157">K$10</f>
        <v>0</v>
      </c>
      <c r="L94" s="45">
        <f t="shared" si="157"/>
        <v>0</v>
      </c>
      <c r="M94" s="30">
        <f t="shared" si="157"/>
        <v>0</v>
      </c>
      <c r="N94" s="45">
        <f t="shared" si="157"/>
        <v>0</v>
      </c>
      <c r="O94" s="30">
        <f t="shared" si="157"/>
        <v>170</v>
      </c>
      <c r="P94" s="45">
        <f t="shared" si="157"/>
        <v>2.7</v>
      </c>
      <c r="Q94" s="141"/>
      <c r="R94" s="141"/>
      <c r="S94" s="157">
        <f t="shared" ref="S94:X94" si="158">S92</f>
        <v>0.01</v>
      </c>
      <c r="T94" s="157">
        <f t="shared" si="158"/>
        <v>0.03</v>
      </c>
      <c r="U94" s="157">
        <f t="shared" si="158"/>
        <v>0.04</v>
      </c>
      <c r="V94" s="157">
        <f t="shared" si="158"/>
        <v>0.06</v>
      </c>
      <c r="W94" s="30">
        <f t="shared" si="158"/>
        <v>9</v>
      </c>
      <c r="X94" s="45">
        <f t="shared" si="158"/>
        <v>4.4000000000000004</v>
      </c>
    </row>
    <row r="95" spans="2:24">
      <c r="B95" s="56"/>
      <c r="C95" s="47" t="str">
        <f>C$11</f>
        <v>乳児</v>
      </c>
      <c r="D95" s="38">
        <f>D92</f>
        <v>21</v>
      </c>
      <c r="E95" s="41" t="str">
        <f>E$11</f>
        <v>D</v>
      </c>
      <c r="F95" s="143" t="str">
        <f t="shared" si="154"/>
        <v>21D</v>
      </c>
      <c r="G95" s="35">
        <v>1930</v>
      </c>
      <c r="H95" s="36">
        <v>2.9</v>
      </c>
      <c r="I95" s="35">
        <v>1890</v>
      </c>
      <c r="J95" s="36">
        <v>2.9</v>
      </c>
      <c r="K95" s="40">
        <f t="shared" ref="K95:P95" si="159">K$11</f>
        <v>0</v>
      </c>
      <c r="L95" s="48">
        <f t="shared" si="159"/>
        <v>0</v>
      </c>
      <c r="M95" s="40">
        <f t="shared" si="159"/>
        <v>0</v>
      </c>
      <c r="N95" s="48">
        <f t="shared" si="159"/>
        <v>0</v>
      </c>
      <c r="O95" s="40">
        <f t="shared" si="159"/>
        <v>0</v>
      </c>
      <c r="P95" s="48">
        <f t="shared" si="159"/>
        <v>0</v>
      </c>
      <c r="Q95" s="144"/>
      <c r="R95" s="144"/>
      <c r="S95" s="158">
        <f t="shared" ref="S95:X95" si="160">S92</f>
        <v>0.01</v>
      </c>
      <c r="T95" s="158">
        <f t="shared" si="160"/>
        <v>0.03</v>
      </c>
      <c r="U95" s="158">
        <f t="shared" si="160"/>
        <v>0.04</v>
      </c>
      <c r="V95" s="158">
        <f t="shared" si="160"/>
        <v>0.06</v>
      </c>
      <c r="W95" s="40">
        <f t="shared" si="160"/>
        <v>9</v>
      </c>
      <c r="X95" s="48">
        <f t="shared" si="160"/>
        <v>4.4000000000000004</v>
      </c>
    </row>
    <row r="96" spans="2:24">
      <c r="B96" s="52" t="s">
        <v>73</v>
      </c>
      <c r="C96" s="42" t="str">
        <f>C$8</f>
        <v>４歳以上児</v>
      </c>
      <c r="D96" s="22">
        <v>22</v>
      </c>
      <c r="E96" s="25" t="str">
        <f>E$8</f>
        <v>A</v>
      </c>
      <c r="F96" s="145" t="str">
        <f t="shared" si="154"/>
        <v>22A</v>
      </c>
      <c r="G96" s="27">
        <v>330</v>
      </c>
      <c r="H96" s="43">
        <v>3.2</v>
      </c>
      <c r="I96" s="27">
        <v>300</v>
      </c>
      <c r="J96" s="43">
        <v>3.1</v>
      </c>
      <c r="K96" s="24">
        <f t="shared" ref="K96:P96" si="161">K$8</f>
        <v>0</v>
      </c>
      <c r="L96" s="55">
        <f t="shared" si="161"/>
        <v>0</v>
      </c>
      <c r="M96" s="24">
        <f t="shared" si="161"/>
        <v>30</v>
      </c>
      <c r="N96" s="55">
        <f t="shared" si="161"/>
        <v>3.8</v>
      </c>
      <c r="O96" s="24">
        <f t="shared" si="161"/>
        <v>0</v>
      </c>
      <c r="P96" s="55">
        <f t="shared" si="161"/>
        <v>0</v>
      </c>
      <c r="Q96" s="146"/>
      <c r="R96" s="146"/>
      <c r="S96" s="155">
        <v>0.01</v>
      </c>
      <c r="T96" s="155">
        <v>0.03</v>
      </c>
      <c r="U96" s="155">
        <v>0.04</v>
      </c>
      <c r="V96" s="155">
        <v>0.06</v>
      </c>
      <c r="W96" s="27">
        <v>8</v>
      </c>
      <c r="X96" s="43">
        <v>4.7</v>
      </c>
    </row>
    <row r="97" spans="2:24">
      <c r="B97" s="21"/>
      <c r="C97" s="44" t="str">
        <f>C$9</f>
        <v>３歳児</v>
      </c>
      <c r="D97" s="28">
        <f>D96</f>
        <v>22</v>
      </c>
      <c r="E97" s="31" t="str">
        <f>E$9</f>
        <v>B</v>
      </c>
      <c r="F97" s="140" t="str">
        <f t="shared" si="154"/>
        <v>22B</v>
      </c>
      <c r="G97" s="32">
        <v>410</v>
      </c>
      <c r="H97" s="33">
        <v>3.1</v>
      </c>
      <c r="I97" s="32">
        <v>380</v>
      </c>
      <c r="J97" s="33">
        <v>3.1</v>
      </c>
      <c r="K97" s="30">
        <f t="shared" ref="K97:P97" si="162">K$9</f>
        <v>80</v>
      </c>
      <c r="L97" s="45">
        <f t="shared" si="162"/>
        <v>2.8</v>
      </c>
      <c r="M97" s="30">
        <f t="shared" si="162"/>
        <v>0</v>
      </c>
      <c r="N97" s="45">
        <f t="shared" si="162"/>
        <v>0</v>
      </c>
      <c r="O97" s="30">
        <f t="shared" si="162"/>
        <v>0</v>
      </c>
      <c r="P97" s="45">
        <f t="shared" si="162"/>
        <v>0</v>
      </c>
      <c r="Q97" s="141"/>
      <c r="R97" s="141"/>
      <c r="S97" s="157">
        <f t="shared" ref="S97:X97" si="163">S96</f>
        <v>0.01</v>
      </c>
      <c r="T97" s="157">
        <f t="shared" si="163"/>
        <v>0.03</v>
      </c>
      <c r="U97" s="157">
        <f t="shared" si="163"/>
        <v>0.04</v>
      </c>
      <c r="V97" s="157">
        <f t="shared" si="163"/>
        <v>0.06</v>
      </c>
      <c r="W97" s="30">
        <f t="shared" si="163"/>
        <v>8</v>
      </c>
      <c r="X97" s="45">
        <f t="shared" si="163"/>
        <v>4.7</v>
      </c>
    </row>
    <row r="98" spans="2:24">
      <c r="B98" s="21"/>
      <c r="C98" s="44" t="str">
        <f>C$10</f>
        <v>１、２歳児</v>
      </c>
      <c r="D98" s="28">
        <f>D96</f>
        <v>22</v>
      </c>
      <c r="E98" s="31" t="str">
        <f>E$10</f>
        <v>C</v>
      </c>
      <c r="F98" s="140" t="str">
        <f t="shared" si="154"/>
        <v>22C</v>
      </c>
      <c r="G98" s="32">
        <v>1030</v>
      </c>
      <c r="H98" s="33">
        <v>2.9</v>
      </c>
      <c r="I98" s="32">
        <v>990</v>
      </c>
      <c r="J98" s="33">
        <v>2.9</v>
      </c>
      <c r="K98" s="30">
        <f t="shared" ref="K98:P98" si="164">K$10</f>
        <v>0</v>
      </c>
      <c r="L98" s="45">
        <f t="shared" si="164"/>
        <v>0</v>
      </c>
      <c r="M98" s="30">
        <f t="shared" si="164"/>
        <v>0</v>
      </c>
      <c r="N98" s="45">
        <f t="shared" si="164"/>
        <v>0</v>
      </c>
      <c r="O98" s="30">
        <f t="shared" si="164"/>
        <v>170</v>
      </c>
      <c r="P98" s="45">
        <f t="shared" si="164"/>
        <v>2.7</v>
      </c>
      <c r="Q98" s="141"/>
      <c r="R98" s="141"/>
      <c r="S98" s="157">
        <f t="shared" ref="S98:X98" si="165">S96</f>
        <v>0.01</v>
      </c>
      <c r="T98" s="157">
        <f t="shared" si="165"/>
        <v>0.03</v>
      </c>
      <c r="U98" s="157">
        <f t="shared" si="165"/>
        <v>0.04</v>
      </c>
      <c r="V98" s="157">
        <f t="shared" si="165"/>
        <v>0.06</v>
      </c>
      <c r="W98" s="30">
        <f t="shared" si="165"/>
        <v>8</v>
      </c>
      <c r="X98" s="45">
        <f t="shared" si="165"/>
        <v>4.7</v>
      </c>
    </row>
    <row r="99" spans="2:24">
      <c r="B99" s="56"/>
      <c r="C99" s="47" t="str">
        <f>C$11</f>
        <v>乳児</v>
      </c>
      <c r="D99" s="38">
        <f>D96</f>
        <v>22</v>
      </c>
      <c r="E99" s="41" t="str">
        <f>E$11</f>
        <v>D</v>
      </c>
      <c r="F99" s="143" t="str">
        <f t="shared" si="154"/>
        <v>22D</v>
      </c>
      <c r="G99" s="35">
        <v>1920</v>
      </c>
      <c r="H99" s="36">
        <v>2.8</v>
      </c>
      <c r="I99" s="35">
        <v>1880</v>
      </c>
      <c r="J99" s="36">
        <v>2.9</v>
      </c>
      <c r="K99" s="40">
        <f t="shared" ref="K99:P99" si="166">K$11</f>
        <v>0</v>
      </c>
      <c r="L99" s="48">
        <f t="shared" si="166"/>
        <v>0</v>
      </c>
      <c r="M99" s="40">
        <f t="shared" si="166"/>
        <v>0</v>
      </c>
      <c r="N99" s="48">
        <f t="shared" si="166"/>
        <v>0</v>
      </c>
      <c r="O99" s="40">
        <f t="shared" si="166"/>
        <v>0</v>
      </c>
      <c r="P99" s="48">
        <f t="shared" si="166"/>
        <v>0</v>
      </c>
      <c r="Q99" s="144"/>
      <c r="R99" s="144"/>
      <c r="S99" s="158">
        <f t="shared" ref="S99:X99" si="167">S96</f>
        <v>0.01</v>
      </c>
      <c r="T99" s="158">
        <f t="shared" si="167"/>
        <v>0.03</v>
      </c>
      <c r="U99" s="158">
        <f t="shared" si="167"/>
        <v>0.04</v>
      </c>
      <c r="V99" s="158">
        <f t="shared" si="167"/>
        <v>0.06</v>
      </c>
      <c r="W99" s="40">
        <f t="shared" si="167"/>
        <v>8</v>
      </c>
      <c r="X99" s="48">
        <f t="shared" si="167"/>
        <v>4.7</v>
      </c>
    </row>
  </sheetData>
  <phoneticPr fontId="4"/>
  <pageMargins left="0.70866141732283472" right="0.70866141732283472" top="0.74803149606299213" bottom="0.74803149606299213" header="0.31496062992125984" footer="0.31496062992125984"/>
  <pageSetup paperSize="9" scale="32" orientation="landscape" r:id="rId1"/>
  <tableParts count="5">
    <tablePart r:id="rId2"/>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B1B4-3DB2-45E8-AE87-0D4DB4FBE3A9}">
  <sheetPr>
    <tabColor theme="2" tint="-9.9978637043366805E-2"/>
  </sheetPr>
  <dimension ref="A1:F11"/>
  <sheetViews>
    <sheetView workbookViewId="0"/>
  </sheetViews>
  <sheetFormatPr defaultColWidth="9" defaultRowHeight="12.75"/>
  <cols>
    <col min="1" max="1" width="18.875" style="455" bestFit="1" customWidth="1"/>
    <col min="2" max="5" width="9" style="455"/>
    <col min="6" max="6" width="61.625" style="455" bestFit="1" customWidth="1"/>
    <col min="7" max="16384" width="9" style="455"/>
  </cols>
  <sheetData>
    <row r="1" spans="1:6" s="62" customFormat="1">
      <c r="A1" s="62" t="s">
        <v>475</v>
      </c>
      <c r="B1" s="62" t="s">
        <v>476</v>
      </c>
      <c r="C1" s="62" t="s">
        <v>477</v>
      </c>
      <c r="D1" s="62" t="s">
        <v>478</v>
      </c>
      <c r="E1" s="62" t="s">
        <v>479</v>
      </c>
      <c r="F1" s="62" t="s">
        <v>480</v>
      </c>
    </row>
    <row r="2" spans="1:6">
      <c r="A2" s="455" t="s">
        <v>481</v>
      </c>
      <c r="B2" s="455" t="s">
        <v>482</v>
      </c>
      <c r="C2" s="455" t="s">
        <v>457</v>
      </c>
      <c r="D2" s="455" t="s">
        <v>460</v>
      </c>
      <c r="E2" s="455" t="s">
        <v>463</v>
      </c>
      <c r="F2" s="455" t="s">
        <v>483</v>
      </c>
    </row>
    <row r="3" spans="1:6">
      <c r="A3" s="455" t="s">
        <v>484</v>
      </c>
      <c r="B3" s="455" t="s">
        <v>485</v>
      </c>
      <c r="C3" s="455" t="s">
        <v>486</v>
      </c>
      <c r="D3" s="455" t="s">
        <v>487</v>
      </c>
      <c r="E3" s="455" t="s">
        <v>488</v>
      </c>
      <c r="F3" s="455" t="s">
        <v>489</v>
      </c>
    </row>
    <row r="4" spans="1:6">
      <c r="A4" s="455" t="s">
        <v>453</v>
      </c>
    </row>
    <row r="5" spans="1:6">
      <c r="A5" s="455" t="s">
        <v>490</v>
      </c>
    </row>
    <row r="6" spans="1:6">
      <c r="A6" s="455" t="s">
        <v>491</v>
      </c>
    </row>
    <row r="7" spans="1:6">
      <c r="A7" s="455" t="s">
        <v>492</v>
      </c>
    </row>
    <row r="8" spans="1:6">
      <c r="A8" s="455" t="s">
        <v>493</v>
      </c>
    </row>
    <row r="9" spans="1:6">
      <c r="A9" s="455" t="s">
        <v>494</v>
      </c>
    </row>
    <row r="10" spans="1:6">
      <c r="A10" s="455" t="s">
        <v>495</v>
      </c>
    </row>
    <row r="11" spans="1:6">
      <c r="A11" s="455" t="s">
        <v>496</v>
      </c>
    </row>
  </sheetData>
  <sheetProtection algorithmName="SHA-512" hashValue="NNqiGTsgdhztjkujWr2Dok5xrDNNbbfxZ87ugITnB2mp/amvUYUv5d4tujdWoF+q07X9I8eZjRvoQgnKfGM1Kw==" saltValue="lIFEAC3x8Emcx2mYnhnbZQ==" spinCount="100000" sheet="1" objects="1" scenarios="1"/>
  <phoneticPr fontId="4"/>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P25"/>
  <sheetViews>
    <sheetView zoomScaleNormal="100" workbookViewId="0">
      <selection activeCell="F24" sqref="F24"/>
    </sheetView>
  </sheetViews>
  <sheetFormatPr defaultColWidth="9" defaultRowHeight="12.75"/>
  <cols>
    <col min="1" max="1" width="13" style="63" bestFit="1" customWidth="1"/>
    <col min="2" max="3" width="7" style="63" bestFit="1" customWidth="1"/>
    <col min="4" max="4" width="28" style="63" bestFit="1" customWidth="1"/>
    <col min="5" max="5" width="7" style="63" bestFit="1" customWidth="1"/>
    <col min="6" max="6" width="11" style="63" bestFit="1" customWidth="1"/>
    <col min="7" max="7" width="8.25" style="63" bestFit="1" customWidth="1"/>
    <col min="8" max="8" width="11" style="63" customWidth="1"/>
    <col min="9" max="10" width="7.125" style="63" bestFit="1" customWidth="1"/>
    <col min="11" max="16384" width="9" style="63"/>
  </cols>
  <sheetData>
    <row r="1" spans="1:16" s="62" customFormat="1">
      <c r="A1" s="62" t="s">
        <v>74</v>
      </c>
      <c r="B1" s="62" t="s">
        <v>75</v>
      </c>
      <c r="C1" s="62" t="s">
        <v>93</v>
      </c>
      <c r="D1" s="62" t="s">
        <v>94</v>
      </c>
      <c r="E1" s="62" t="s">
        <v>95</v>
      </c>
      <c r="F1" s="62" t="s">
        <v>122</v>
      </c>
      <c r="G1" s="62" t="s">
        <v>153</v>
      </c>
      <c r="H1" s="62" t="s">
        <v>154</v>
      </c>
      <c r="I1" s="62" t="s">
        <v>111</v>
      </c>
      <c r="J1" s="62" t="s">
        <v>112</v>
      </c>
      <c r="K1" s="62" t="s">
        <v>279</v>
      </c>
      <c r="L1" s="62" t="s">
        <v>280</v>
      </c>
      <c r="M1" s="62" t="s">
        <v>297</v>
      </c>
      <c r="N1" s="62" t="s">
        <v>321</v>
      </c>
      <c r="O1" s="62" t="s">
        <v>329</v>
      </c>
      <c r="P1" s="62" t="s">
        <v>330</v>
      </c>
    </row>
    <row r="2" spans="1:16">
      <c r="A2" s="63" t="s">
        <v>889</v>
      </c>
      <c r="B2" s="63" t="s">
        <v>76</v>
      </c>
      <c r="C2" s="63" t="s">
        <v>91</v>
      </c>
      <c r="D2" s="63" t="s">
        <v>96</v>
      </c>
      <c r="E2" s="63" t="s">
        <v>98</v>
      </c>
      <c r="F2" s="63" t="s">
        <v>123</v>
      </c>
      <c r="G2" s="63">
        <v>1</v>
      </c>
      <c r="H2" s="63" t="s">
        <v>155</v>
      </c>
      <c r="I2" s="63">
        <v>1</v>
      </c>
      <c r="J2" s="63">
        <v>0</v>
      </c>
      <c r="K2" s="63">
        <v>1</v>
      </c>
      <c r="L2" s="63" t="s">
        <v>110</v>
      </c>
      <c r="M2" s="63" t="s">
        <v>298</v>
      </c>
      <c r="N2" s="63">
        <v>0</v>
      </c>
      <c r="O2" s="63">
        <v>12</v>
      </c>
      <c r="P2" s="63">
        <v>7</v>
      </c>
    </row>
    <row r="3" spans="1:16">
      <c r="A3" s="63" t="s">
        <v>890</v>
      </c>
      <c r="B3" s="63" t="s">
        <v>77</v>
      </c>
      <c r="D3" s="63" t="s">
        <v>97</v>
      </c>
      <c r="E3" s="63" t="s">
        <v>99</v>
      </c>
      <c r="F3" s="63" t="s">
        <v>124</v>
      </c>
      <c r="G3" s="63">
        <v>2</v>
      </c>
      <c r="H3" s="63" t="s">
        <v>156</v>
      </c>
      <c r="I3" s="63">
        <v>11</v>
      </c>
      <c r="J3" s="63">
        <v>1</v>
      </c>
      <c r="K3" s="63">
        <v>11</v>
      </c>
      <c r="L3" s="63" t="s">
        <v>34</v>
      </c>
      <c r="M3" s="63" t="s">
        <v>299</v>
      </c>
      <c r="N3" s="63">
        <v>1</v>
      </c>
      <c r="O3" s="63">
        <v>12</v>
      </c>
      <c r="P3" s="63">
        <v>6</v>
      </c>
    </row>
    <row r="4" spans="1:16">
      <c r="A4" s="63" t="s">
        <v>891</v>
      </c>
      <c r="E4" s="63" t="s">
        <v>100</v>
      </c>
      <c r="F4" s="63" t="s">
        <v>125</v>
      </c>
      <c r="G4" s="63">
        <v>3</v>
      </c>
      <c r="H4" s="63" t="s">
        <v>157</v>
      </c>
      <c r="I4" s="63">
        <f t="shared" ref="I4:I13" si="0">I3+5</f>
        <v>16</v>
      </c>
      <c r="J4" s="63">
        <v>2</v>
      </c>
      <c r="K4" s="63">
        <v>16</v>
      </c>
      <c r="L4" s="63" t="s">
        <v>109</v>
      </c>
      <c r="N4" s="63">
        <v>2</v>
      </c>
      <c r="O4" s="63">
        <v>11</v>
      </c>
      <c r="P4" s="63">
        <v>6</v>
      </c>
    </row>
    <row r="5" spans="1:16">
      <c r="A5" s="63" t="s">
        <v>892</v>
      </c>
      <c r="F5" s="63" t="s">
        <v>126</v>
      </c>
      <c r="G5" s="63">
        <v>3.5</v>
      </c>
      <c r="H5" s="63" t="s">
        <v>158</v>
      </c>
      <c r="I5" s="63">
        <f t="shared" si="0"/>
        <v>21</v>
      </c>
      <c r="J5" s="63">
        <v>3</v>
      </c>
      <c r="K5" s="63">
        <v>21</v>
      </c>
      <c r="L5" s="63" t="s">
        <v>108</v>
      </c>
      <c r="N5" s="63">
        <v>3</v>
      </c>
      <c r="O5" s="63">
        <v>10</v>
      </c>
      <c r="P5" s="63">
        <v>6</v>
      </c>
    </row>
    <row r="6" spans="1:16">
      <c r="A6" s="63" t="s">
        <v>893</v>
      </c>
      <c r="F6" s="63" t="s">
        <v>127</v>
      </c>
      <c r="G6" s="63">
        <v>5</v>
      </c>
      <c r="I6" s="63">
        <f t="shared" si="0"/>
        <v>26</v>
      </c>
      <c r="J6" s="63">
        <v>4</v>
      </c>
      <c r="K6" s="63">
        <v>26</v>
      </c>
      <c r="L6" s="63" t="s">
        <v>170</v>
      </c>
      <c r="N6" s="63">
        <v>4</v>
      </c>
      <c r="O6" s="63">
        <v>9</v>
      </c>
      <c r="P6" s="63">
        <v>6</v>
      </c>
    </row>
    <row r="7" spans="1:16">
      <c r="A7" s="63" t="s">
        <v>894</v>
      </c>
      <c r="F7" s="63" t="s">
        <v>128</v>
      </c>
      <c r="G7" s="63">
        <v>6</v>
      </c>
      <c r="I7" s="63">
        <f t="shared" si="0"/>
        <v>31</v>
      </c>
      <c r="J7" s="63">
        <v>5</v>
      </c>
      <c r="K7" s="63">
        <v>31</v>
      </c>
      <c r="L7" s="63" t="s">
        <v>172</v>
      </c>
      <c r="N7" s="63">
        <v>5</v>
      </c>
      <c r="O7" s="63">
        <v>8</v>
      </c>
      <c r="P7" s="63">
        <v>6</v>
      </c>
    </row>
    <row r="8" spans="1:16">
      <c r="A8" s="63" t="s">
        <v>895</v>
      </c>
      <c r="F8" s="63" t="s">
        <v>129</v>
      </c>
      <c r="G8" s="63">
        <v>8</v>
      </c>
      <c r="I8" s="63">
        <f t="shared" si="0"/>
        <v>36</v>
      </c>
      <c r="J8" s="63">
        <v>6</v>
      </c>
      <c r="K8" s="63">
        <v>36</v>
      </c>
      <c r="L8" s="63" t="s">
        <v>174</v>
      </c>
      <c r="N8" s="63">
        <v>6</v>
      </c>
      <c r="O8" s="63">
        <v>7</v>
      </c>
      <c r="P8" s="63">
        <v>6</v>
      </c>
    </row>
    <row r="9" spans="1:16">
      <c r="A9" s="63" t="s">
        <v>896</v>
      </c>
      <c r="F9" s="63" t="s">
        <v>130</v>
      </c>
      <c r="I9" s="63">
        <f t="shared" si="0"/>
        <v>41</v>
      </c>
      <c r="J9" s="63">
        <v>7</v>
      </c>
      <c r="K9" s="63">
        <v>41</v>
      </c>
      <c r="L9" s="63" t="s">
        <v>176</v>
      </c>
      <c r="O9" s="63">
        <v>6</v>
      </c>
      <c r="P9" s="63">
        <v>6</v>
      </c>
    </row>
    <row r="10" spans="1:16">
      <c r="A10" s="63" t="s">
        <v>897</v>
      </c>
      <c r="F10" s="63" t="s">
        <v>131</v>
      </c>
      <c r="I10" s="63">
        <f t="shared" si="0"/>
        <v>46</v>
      </c>
      <c r="J10" s="63">
        <v>8</v>
      </c>
      <c r="K10" s="63">
        <v>46</v>
      </c>
      <c r="L10" s="63" t="s">
        <v>180</v>
      </c>
      <c r="O10" s="63">
        <v>5</v>
      </c>
      <c r="P10" s="63">
        <v>6</v>
      </c>
    </row>
    <row r="11" spans="1:16">
      <c r="A11" s="63" t="s">
        <v>898</v>
      </c>
      <c r="F11" s="63" t="s">
        <v>132</v>
      </c>
      <c r="I11" s="63">
        <f t="shared" si="0"/>
        <v>51</v>
      </c>
      <c r="J11" s="63">
        <v>9</v>
      </c>
      <c r="K11" s="63">
        <v>51</v>
      </c>
      <c r="L11" s="63" t="s">
        <v>183</v>
      </c>
      <c r="O11" s="63">
        <v>4</v>
      </c>
      <c r="P11" s="63">
        <v>6</v>
      </c>
    </row>
    <row r="12" spans="1:16">
      <c r="A12" s="63" t="s">
        <v>899</v>
      </c>
      <c r="F12" s="63" t="s">
        <v>133</v>
      </c>
      <c r="I12" s="63">
        <f t="shared" si="0"/>
        <v>56</v>
      </c>
      <c r="J12" s="63">
        <v>10</v>
      </c>
      <c r="K12" s="63">
        <v>56</v>
      </c>
      <c r="L12" s="63" t="s">
        <v>185</v>
      </c>
      <c r="O12" s="63">
        <v>3</v>
      </c>
      <c r="P12" s="63">
        <v>6</v>
      </c>
    </row>
    <row r="13" spans="1:16">
      <c r="A13" s="63" t="s">
        <v>900</v>
      </c>
      <c r="F13" s="63" t="s">
        <v>134</v>
      </c>
      <c r="I13" s="63">
        <f t="shared" si="0"/>
        <v>61</v>
      </c>
      <c r="J13" s="63">
        <v>11</v>
      </c>
      <c r="K13" s="63">
        <v>61</v>
      </c>
      <c r="L13" s="63" t="s">
        <v>187</v>
      </c>
      <c r="O13" s="63">
        <v>2</v>
      </c>
      <c r="P13" s="63">
        <v>6</v>
      </c>
    </row>
    <row r="14" spans="1:16">
      <c r="F14" s="63" t="s">
        <v>135</v>
      </c>
      <c r="I14" s="63">
        <f t="shared" ref="I14:I25" si="1">I13+10</f>
        <v>71</v>
      </c>
      <c r="J14" s="63">
        <v>12</v>
      </c>
      <c r="K14" s="63">
        <v>76</v>
      </c>
      <c r="L14" s="63" t="s">
        <v>189</v>
      </c>
    </row>
    <row r="15" spans="1:16">
      <c r="F15" s="63" t="s">
        <v>136</v>
      </c>
      <c r="I15" s="63">
        <f t="shared" si="1"/>
        <v>81</v>
      </c>
      <c r="J15" s="63">
        <v>13</v>
      </c>
      <c r="K15" s="63">
        <v>91</v>
      </c>
      <c r="L15" s="63" t="s">
        <v>191</v>
      </c>
    </row>
    <row r="16" spans="1:16">
      <c r="I16" s="63">
        <f t="shared" si="1"/>
        <v>91</v>
      </c>
      <c r="J16" s="63">
        <v>14</v>
      </c>
      <c r="K16" s="63">
        <v>106</v>
      </c>
      <c r="L16" s="63" t="s">
        <v>193</v>
      </c>
    </row>
    <row r="17" spans="9:12">
      <c r="I17" s="63">
        <f t="shared" si="1"/>
        <v>101</v>
      </c>
      <c r="J17" s="63">
        <v>15</v>
      </c>
      <c r="K17" s="63">
        <v>121</v>
      </c>
      <c r="L17" s="63" t="s">
        <v>195</v>
      </c>
    </row>
    <row r="18" spans="9:12">
      <c r="I18" s="63">
        <f t="shared" si="1"/>
        <v>111</v>
      </c>
      <c r="J18" s="63">
        <v>16</v>
      </c>
      <c r="K18" s="63">
        <v>136</v>
      </c>
      <c r="L18" s="63" t="s">
        <v>197</v>
      </c>
    </row>
    <row r="19" spans="9:12">
      <c r="I19" s="63">
        <f t="shared" si="1"/>
        <v>121</v>
      </c>
      <c r="J19" s="63">
        <v>17</v>
      </c>
      <c r="K19" s="63">
        <v>151</v>
      </c>
      <c r="L19" s="63" t="s">
        <v>199</v>
      </c>
    </row>
    <row r="20" spans="9:12">
      <c r="I20" s="63">
        <f t="shared" si="1"/>
        <v>131</v>
      </c>
      <c r="J20" s="63">
        <v>18</v>
      </c>
      <c r="K20" s="63">
        <v>181</v>
      </c>
      <c r="L20" s="63" t="s">
        <v>201</v>
      </c>
    </row>
    <row r="21" spans="9:12">
      <c r="I21" s="63">
        <f t="shared" si="1"/>
        <v>141</v>
      </c>
      <c r="J21" s="63">
        <v>19</v>
      </c>
      <c r="K21" s="63">
        <v>211</v>
      </c>
      <c r="L21" s="63" t="s">
        <v>203</v>
      </c>
    </row>
    <row r="22" spans="9:12">
      <c r="I22" s="63">
        <f t="shared" si="1"/>
        <v>151</v>
      </c>
      <c r="J22" s="63">
        <v>20</v>
      </c>
      <c r="K22" s="63">
        <v>241</v>
      </c>
      <c r="L22" s="63" t="s">
        <v>205</v>
      </c>
    </row>
    <row r="23" spans="9:12">
      <c r="I23" s="63">
        <f t="shared" si="1"/>
        <v>161</v>
      </c>
      <c r="J23" s="63">
        <v>21</v>
      </c>
      <c r="K23" s="63">
        <v>271</v>
      </c>
      <c r="L23" s="63" t="s">
        <v>207</v>
      </c>
    </row>
    <row r="24" spans="9:12">
      <c r="I24" s="63">
        <f t="shared" si="1"/>
        <v>171</v>
      </c>
      <c r="J24" s="63">
        <v>22</v>
      </c>
      <c r="K24" s="63">
        <v>301</v>
      </c>
      <c r="L24" s="63" t="s">
        <v>209</v>
      </c>
    </row>
    <row r="25" spans="9:12">
      <c r="I25" s="63">
        <f t="shared" si="1"/>
        <v>181</v>
      </c>
      <c r="J25" s="63">
        <v>22</v>
      </c>
    </row>
  </sheetData>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94DC-9B0D-47D8-AD6F-EB2919FF62F8}">
  <sheetPr>
    <pageSetUpPr fitToPage="1"/>
  </sheetPr>
  <dimension ref="A1:Q98"/>
  <sheetViews>
    <sheetView view="pageBreakPreview" zoomScaleNormal="100" zoomScaleSheetLayoutView="100" workbookViewId="0">
      <selection activeCell="B48" sqref="B48:C48"/>
    </sheetView>
  </sheetViews>
  <sheetFormatPr defaultColWidth="9" defaultRowHeight="18.75"/>
  <cols>
    <col min="1" max="1" width="2.375" style="180" customWidth="1"/>
    <col min="2" max="2" width="1.625" style="180" customWidth="1"/>
    <col min="3" max="3" width="14.125" style="180" customWidth="1"/>
    <col min="4" max="4" width="6.875" style="180" customWidth="1"/>
    <col min="5" max="16" width="6.625" style="180" customWidth="1"/>
    <col min="17" max="17" width="7.5" style="180" customWidth="1"/>
    <col min="18" max="16384" width="9" style="180"/>
  </cols>
  <sheetData>
    <row r="1" spans="1:17" ht="40.5" customHeight="1">
      <c r="A1" s="912" t="s">
        <v>357</v>
      </c>
      <c r="B1" s="912"/>
      <c r="C1" s="912"/>
      <c r="D1" s="912"/>
      <c r="E1" s="912"/>
      <c r="F1" s="912"/>
      <c r="G1" s="912"/>
      <c r="H1" s="912"/>
      <c r="I1" s="912"/>
      <c r="J1" s="912"/>
      <c r="K1" s="912"/>
      <c r="L1" s="912"/>
      <c r="M1" s="912"/>
      <c r="N1" s="912"/>
      <c r="O1" s="912"/>
      <c r="P1" s="912"/>
      <c r="Q1" s="912"/>
    </row>
    <row r="2" spans="1:17" ht="18" customHeight="1" thickBot="1">
      <c r="B2" s="181"/>
      <c r="C2" s="181"/>
    </row>
    <row r="3" spans="1:17" ht="18" customHeight="1" thickBot="1">
      <c r="B3" s="181"/>
      <c r="C3" s="181"/>
      <c r="H3" s="913" t="s">
        <v>332</v>
      </c>
      <c r="I3" s="914"/>
      <c r="J3" s="914"/>
      <c r="K3" s="914"/>
      <c r="L3" s="915"/>
      <c r="M3" s="916">
        <f>'1-1_児童数計算表'!$M$3</f>
        <v>0</v>
      </c>
      <c r="N3" s="917"/>
      <c r="O3" s="917"/>
      <c r="P3" s="917"/>
      <c r="Q3" s="918"/>
    </row>
    <row r="4" spans="1:17" ht="18" customHeight="1">
      <c r="B4" s="181"/>
      <c r="C4" s="181"/>
      <c r="H4" s="182"/>
      <c r="I4" s="182"/>
      <c r="J4" s="182"/>
      <c r="K4" s="182"/>
      <c r="L4" s="182"/>
      <c r="M4" s="182"/>
      <c r="N4" s="182"/>
      <c r="O4" s="182"/>
      <c r="P4" s="182"/>
      <c r="Q4" s="182"/>
    </row>
    <row r="5" spans="1:17" ht="18" customHeight="1">
      <c r="B5" s="180" t="s">
        <v>352</v>
      </c>
      <c r="H5" s="182"/>
      <c r="I5" s="182"/>
      <c r="J5" s="182"/>
      <c r="K5" s="182"/>
      <c r="L5" s="182"/>
      <c r="M5" s="182"/>
      <c r="N5" s="182"/>
      <c r="O5" s="182"/>
      <c r="P5" s="182"/>
      <c r="Q5" s="182"/>
    </row>
    <row r="6" spans="1:17" ht="18" customHeight="1">
      <c r="B6" s="180" t="s">
        <v>333</v>
      </c>
      <c r="H6" s="182"/>
      <c r="I6" s="182"/>
      <c r="J6" s="182"/>
      <c r="K6" s="182"/>
      <c r="L6" s="182"/>
      <c r="M6" s="182"/>
      <c r="N6" s="182"/>
      <c r="O6" s="182"/>
      <c r="P6" s="182"/>
      <c r="Q6" s="182"/>
    </row>
    <row r="7" spans="1:17" ht="18" customHeight="1">
      <c r="B7" s="180" t="s">
        <v>334</v>
      </c>
      <c r="C7" s="183"/>
      <c r="H7" s="182"/>
      <c r="I7" s="182"/>
      <c r="J7" s="182"/>
      <c r="K7" s="182"/>
      <c r="L7" s="182"/>
      <c r="M7" s="182"/>
      <c r="N7" s="182"/>
      <c r="O7" s="182"/>
      <c r="P7" s="182"/>
      <c r="Q7" s="182"/>
    </row>
    <row r="8" spans="1:17" ht="18" customHeight="1">
      <c r="B8" s="183"/>
      <c r="C8" s="183"/>
      <c r="H8" s="182"/>
      <c r="I8" s="182"/>
      <c r="J8" s="182"/>
      <c r="K8" s="182"/>
      <c r="L8" s="182"/>
      <c r="M8" s="182"/>
      <c r="N8" s="182"/>
      <c r="O8" s="182"/>
      <c r="P8" s="182"/>
      <c r="Q8" s="182"/>
    </row>
    <row r="9" spans="1:17" ht="18" customHeight="1" thickBot="1">
      <c r="A9" s="184" t="s">
        <v>867</v>
      </c>
    </row>
    <row r="10" spans="1:17" ht="17.25" customHeight="1">
      <c r="B10" s="919" t="s">
        <v>343</v>
      </c>
      <c r="C10" s="920"/>
      <c r="D10" s="920"/>
      <c r="E10" s="185">
        <v>4</v>
      </c>
      <c r="F10" s="186">
        <v>5</v>
      </c>
      <c r="G10" s="186">
        <v>6</v>
      </c>
      <c r="H10" s="186">
        <v>7</v>
      </c>
      <c r="I10" s="186">
        <v>8</v>
      </c>
      <c r="J10" s="186">
        <v>9</v>
      </c>
      <c r="K10" s="186">
        <v>10</v>
      </c>
      <c r="L10" s="186">
        <v>11</v>
      </c>
      <c r="M10" s="186">
        <v>12</v>
      </c>
      <c r="N10" s="186">
        <v>1</v>
      </c>
      <c r="O10" s="186">
        <v>2</v>
      </c>
      <c r="P10" s="187">
        <v>3</v>
      </c>
      <c r="Q10" s="923" t="s">
        <v>335</v>
      </c>
    </row>
    <row r="11" spans="1:17" ht="17.25" customHeight="1">
      <c r="B11" s="921"/>
      <c r="C11" s="922"/>
      <c r="D11" s="922"/>
      <c r="E11" s="925" t="s">
        <v>336</v>
      </c>
      <c r="F11" s="926"/>
      <c r="G11" s="926"/>
      <c r="H11" s="926"/>
      <c r="I11" s="926"/>
      <c r="J11" s="926"/>
      <c r="K11" s="926"/>
      <c r="L11" s="926"/>
      <c r="M11" s="926"/>
      <c r="N11" s="926"/>
      <c r="O11" s="926"/>
      <c r="P11" s="927"/>
      <c r="Q11" s="924"/>
    </row>
    <row r="12" spans="1:17" ht="17.25" customHeight="1">
      <c r="B12" s="904" t="s">
        <v>353</v>
      </c>
      <c r="C12" s="908"/>
      <c r="D12" s="188" t="s">
        <v>337</v>
      </c>
      <c r="E12" s="171"/>
      <c r="F12" s="172"/>
      <c r="G12" s="172"/>
      <c r="H12" s="172"/>
      <c r="I12" s="172"/>
      <c r="J12" s="172"/>
      <c r="K12" s="172"/>
      <c r="L12" s="172"/>
      <c r="M12" s="172"/>
      <c r="N12" s="172"/>
      <c r="O12" s="172"/>
      <c r="P12" s="173"/>
      <c r="Q12" s="189">
        <f>ROUND(SUM(E12:P12)/12,0)</f>
        <v>0</v>
      </c>
    </row>
    <row r="13" spans="1:17" ht="17.25" customHeight="1">
      <c r="B13" s="909"/>
      <c r="C13" s="910"/>
      <c r="D13" s="190" t="s">
        <v>338</v>
      </c>
      <c r="E13" s="191"/>
      <c r="F13" s="192" t="str">
        <f>IFERROR(F12/$E12,"")</f>
        <v/>
      </c>
      <c r="G13" s="192" t="str">
        <f t="shared" ref="G13:P13" si="0">IFERROR(G12/$E12,"")</f>
        <v/>
      </c>
      <c r="H13" s="192" t="str">
        <f t="shared" si="0"/>
        <v/>
      </c>
      <c r="I13" s="192" t="str">
        <f t="shared" si="0"/>
        <v/>
      </c>
      <c r="J13" s="192" t="str">
        <f t="shared" si="0"/>
        <v/>
      </c>
      <c r="K13" s="192" t="str">
        <f t="shared" si="0"/>
        <v/>
      </c>
      <c r="L13" s="192" t="str">
        <f t="shared" si="0"/>
        <v/>
      </c>
      <c r="M13" s="192" t="str">
        <f t="shared" si="0"/>
        <v/>
      </c>
      <c r="N13" s="192" t="str">
        <f t="shared" si="0"/>
        <v/>
      </c>
      <c r="O13" s="192" t="str">
        <f t="shared" si="0"/>
        <v/>
      </c>
      <c r="P13" s="193" t="str">
        <f t="shared" si="0"/>
        <v/>
      </c>
      <c r="Q13" s="194" t="s">
        <v>339</v>
      </c>
    </row>
    <row r="14" spans="1:17" ht="17.25" customHeight="1">
      <c r="B14" s="904" t="s">
        <v>354</v>
      </c>
      <c r="C14" s="908"/>
      <c r="D14" s="188" t="s">
        <v>337</v>
      </c>
      <c r="E14" s="171"/>
      <c r="F14" s="172"/>
      <c r="G14" s="172"/>
      <c r="H14" s="172"/>
      <c r="I14" s="172"/>
      <c r="J14" s="172"/>
      <c r="K14" s="172"/>
      <c r="L14" s="172"/>
      <c r="M14" s="172"/>
      <c r="N14" s="172"/>
      <c r="O14" s="172"/>
      <c r="P14" s="173"/>
      <c r="Q14" s="189">
        <f>ROUND(SUM(E14:P14)/12,0)</f>
        <v>0</v>
      </c>
    </row>
    <row r="15" spans="1:17" ht="17.25" customHeight="1">
      <c r="B15" s="909"/>
      <c r="C15" s="910"/>
      <c r="D15" s="190" t="s">
        <v>338</v>
      </c>
      <c r="E15" s="191"/>
      <c r="F15" s="192" t="str">
        <f>IFERROR(F14/$E14,"")</f>
        <v/>
      </c>
      <c r="G15" s="192" t="str">
        <f t="shared" ref="G15:P15" si="1">IFERROR(G14/$E14,"")</f>
        <v/>
      </c>
      <c r="H15" s="192" t="str">
        <f t="shared" si="1"/>
        <v/>
      </c>
      <c r="I15" s="192" t="str">
        <f t="shared" si="1"/>
        <v/>
      </c>
      <c r="J15" s="192" t="str">
        <f t="shared" si="1"/>
        <v/>
      </c>
      <c r="K15" s="192" t="str">
        <f t="shared" si="1"/>
        <v/>
      </c>
      <c r="L15" s="192" t="str">
        <f t="shared" si="1"/>
        <v/>
      </c>
      <c r="M15" s="192" t="str">
        <f t="shared" si="1"/>
        <v/>
      </c>
      <c r="N15" s="192" t="str">
        <f t="shared" si="1"/>
        <v/>
      </c>
      <c r="O15" s="192" t="str">
        <f t="shared" si="1"/>
        <v/>
      </c>
      <c r="P15" s="193" t="str">
        <f t="shared" si="1"/>
        <v/>
      </c>
      <c r="Q15" s="194" t="s">
        <v>339</v>
      </c>
    </row>
    <row r="16" spans="1:17" ht="17.25" customHeight="1">
      <c r="B16" s="899" t="s">
        <v>340</v>
      </c>
      <c r="C16" s="900"/>
      <c r="D16" s="188" t="s">
        <v>337</v>
      </c>
      <c r="E16" s="171"/>
      <c r="F16" s="172"/>
      <c r="G16" s="172"/>
      <c r="H16" s="172"/>
      <c r="I16" s="172"/>
      <c r="J16" s="172"/>
      <c r="K16" s="172"/>
      <c r="L16" s="172"/>
      <c r="M16" s="172"/>
      <c r="N16" s="172"/>
      <c r="O16" s="172"/>
      <c r="P16" s="173"/>
      <c r="Q16" s="189">
        <f>ROUND(SUM(E16:P16)/12,0)</f>
        <v>0</v>
      </c>
    </row>
    <row r="17" spans="1:17" ht="17.25" customHeight="1">
      <c r="B17" s="899"/>
      <c r="C17" s="900"/>
      <c r="D17" s="190" t="s">
        <v>338</v>
      </c>
      <c r="E17" s="191"/>
      <c r="F17" s="192" t="str">
        <f>IFERROR(F16/$E16,"")</f>
        <v/>
      </c>
      <c r="G17" s="192" t="str">
        <f t="shared" ref="G17:P17" si="2">IFERROR(G16/$E16,"")</f>
        <v/>
      </c>
      <c r="H17" s="192" t="str">
        <f t="shared" si="2"/>
        <v/>
      </c>
      <c r="I17" s="192" t="str">
        <f t="shared" si="2"/>
        <v/>
      </c>
      <c r="J17" s="192" t="str">
        <f t="shared" si="2"/>
        <v/>
      </c>
      <c r="K17" s="192" t="str">
        <f t="shared" si="2"/>
        <v/>
      </c>
      <c r="L17" s="192" t="str">
        <f t="shared" si="2"/>
        <v/>
      </c>
      <c r="M17" s="192" t="str">
        <f t="shared" si="2"/>
        <v/>
      </c>
      <c r="N17" s="192" t="str">
        <f t="shared" si="2"/>
        <v/>
      </c>
      <c r="O17" s="192" t="str">
        <f t="shared" si="2"/>
        <v/>
      </c>
      <c r="P17" s="193" t="str">
        <f t="shared" si="2"/>
        <v/>
      </c>
      <c r="Q17" s="194"/>
    </row>
    <row r="18" spans="1:17" ht="17.25" customHeight="1">
      <c r="B18" s="928"/>
      <c r="C18" s="930" t="s">
        <v>350</v>
      </c>
      <c r="D18" s="188" t="s">
        <v>337</v>
      </c>
      <c r="E18" s="171"/>
      <c r="F18" s="172"/>
      <c r="G18" s="172"/>
      <c r="H18" s="172"/>
      <c r="I18" s="172"/>
      <c r="J18" s="172"/>
      <c r="K18" s="172"/>
      <c r="L18" s="172"/>
      <c r="M18" s="172"/>
      <c r="N18" s="172"/>
      <c r="O18" s="172"/>
      <c r="P18" s="173"/>
      <c r="Q18" s="189">
        <f>ROUND(SUM(E18:P18)/12,0)</f>
        <v>0</v>
      </c>
    </row>
    <row r="19" spans="1:17" ht="17.25" customHeight="1">
      <c r="B19" s="929"/>
      <c r="C19" s="931"/>
      <c r="D19" s="190" t="s">
        <v>338</v>
      </c>
      <c r="E19" s="191"/>
      <c r="F19" s="192" t="str">
        <f>IFERROR(F18/$E18,"")</f>
        <v/>
      </c>
      <c r="G19" s="192" t="str">
        <f t="shared" ref="G19:P19" si="3">IFERROR(G18/$E18,"")</f>
        <v/>
      </c>
      <c r="H19" s="192" t="str">
        <f t="shared" si="3"/>
        <v/>
      </c>
      <c r="I19" s="192" t="str">
        <f t="shared" si="3"/>
        <v/>
      </c>
      <c r="J19" s="192" t="str">
        <f t="shared" si="3"/>
        <v/>
      </c>
      <c r="K19" s="192" t="str">
        <f t="shared" si="3"/>
        <v/>
      </c>
      <c r="L19" s="192" t="str">
        <f t="shared" si="3"/>
        <v/>
      </c>
      <c r="M19" s="192" t="str">
        <f t="shared" si="3"/>
        <v/>
      </c>
      <c r="N19" s="192" t="str">
        <f t="shared" si="3"/>
        <v/>
      </c>
      <c r="O19" s="192" t="str">
        <f t="shared" si="3"/>
        <v/>
      </c>
      <c r="P19" s="193" t="str">
        <f t="shared" si="3"/>
        <v/>
      </c>
      <c r="Q19" s="194"/>
    </row>
    <row r="20" spans="1:17" ht="17.25" customHeight="1">
      <c r="B20" s="904" t="s">
        <v>351</v>
      </c>
      <c r="C20" s="908"/>
      <c r="D20" s="188" t="s">
        <v>337</v>
      </c>
      <c r="E20" s="171"/>
      <c r="F20" s="172"/>
      <c r="G20" s="172"/>
      <c r="H20" s="172"/>
      <c r="I20" s="172"/>
      <c r="J20" s="172"/>
      <c r="K20" s="172"/>
      <c r="L20" s="172"/>
      <c r="M20" s="172"/>
      <c r="N20" s="172"/>
      <c r="O20" s="172"/>
      <c r="P20" s="173"/>
      <c r="Q20" s="189">
        <f>ROUND(SUM(E20:P20)/12,0)</f>
        <v>0</v>
      </c>
    </row>
    <row r="21" spans="1:17" ht="17.25" customHeight="1">
      <c r="B21" s="909"/>
      <c r="C21" s="911"/>
      <c r="D21" s="190" t="s">
        <v>338</v>
      </c>
      <c r="E21" s="191"/>
      <c r="F21" s="192" t="str">
        <f>IFERROR(F20/$E20,"")</f>
        <v/>
      </c>
      <c r="G21" s="192" t="str">
        <f t="shared" ref="G21:P21" si="4">IFERROR(G20/$E20,"")</f>
        <v/>
      </c>
      <c r="H21" s="192" t="str">
        <f t="shared" si="4"/>
        <v/>
      </c>
      <c r="I21" s="192" t="str">
        <f t="shared" si="4"/>
        <v/>
      </c>
      <c r="J21" s="192" t="str">
        <f t="shared" si="4"/>
        <v/>
      </c>
      <c r="K21" s="192" t="str">
        <f t="shared" si="4"/>
        <v/>
      </c>
      <c r="L21" s="192" t="str">
        <f t="shared" si="4"/>
        <v/>
      </c>
      <c r="M21" s="192" t="str">
        <f t="shared" si="4"/>
        <v/>
      </c>
      <c r="N21" s="192" t="str">
        <f t="shared" si="4"/>
        <v/>
      </c>
      <c r="O21" s="192" t="str">
        <f t="shared" si="4"/>
        <v/>
      </c>
      <c r="P21" s="193" t="str">
        <f t="shared" si="4"/>
        <v/>
      </c>
      <c r="Q21" s="194"/>
    </row>
    <row r="22" spans="1:17" ht="17.25" customHeight="1">
      <c r="B22" s="904" t="s">
        <v>355</v>
      </c>
      <c r="C22" s="908"/>
      <c r="D22" s="188" t="s">
        <v>337</v>
      </c>
      <c r="E22" s="171"/>
      <c r="F22" s="172"/>
      <c r="G22" s="172"/>
      <c r="H22" s="172"/>
      <c r="I22" s="172"/>
      <c r="J22" s="172"/>
      <c r="K22" s="172"/>
      <c r="L22" s="172"/>
      <c r="M22" s="172"/>
      <c r="N22" s="172"/>
      <c r="O22" s="172"/>
      <c r="P22" s="173"/>
      <c r="Q22" s="189">
        <f>ROUND(SUM(E22:P22)/12,0)</f>
        <v>0</v>
      </c>
    </row>
    <row r="23" spans="1:17" ht="17.25" customHeight="1">
      <c r="B23" s="909"/>
      <c r="C23" s="911"/>
      <c r="D23" s="190" t="s">
        <v>338</v>
      </c>
      <c r="E23" s="191"/>
      <c r="F23" s="192" t="str">
        <f>IFERROR(F22/$E22,"")</f>
        <v/>
      </c>
      <c r="G23" s="192" t="str">
        <f t="shared" ref="G23:P23" si="5">IFERROR(G22/$E22,"")</f>
        <v/>
      </c>
      <c r="H23" s="192" t="str">
        <f t="shared" si="5"/>
        <v/>
      </c>
      <c r="I23" s="192" t="str">
        <f t="shared" si="5"/>
        <v/>
      </c>
      <c r="J23" s="192" t="str">
        <f t="shared" si="5"/>
        <v/>
      </c>
      <c r="K23" s="192" t="str">
        <f t="shared" si="5"/>
        <v/>
      </c>
      <c r="L23" s="192" t="str">
        <f t="shared" si="5"/>
        <v/>
      </c>
      <c r="M23" s="192" t="str">
        <f t="shared" si="5"/>
        <v/>
      </c>
      <c r="N23" s="192" t="str">
        <f t="shared" si="5"/>
        <v/>
      </c>
      <c r="O23" s="192" t="str">
        <f t="shared" si="5"/>
        <v/>
      </c>
      <c r="P23" s="193" t="str">
        <f t="shared" si="5"/>
        <v/>
      </c>
      <c r="Q23" s="194"/>
    </row>
    <row r="24" spans="1:17" ht="17.25" customHeight="1">
      <c r="B24" s="904" t="s">
        <v>341</v>
      </c>
      <c r="C24" s="905"/>
      <c r="D24" s="188" t="s">
        <v>337</v>
      </c>
      <c r="E24" s="171"/>
      <c r="F24" s="172"/>
      <c r="G24" s="172"/>
      <c r="H24" s="172"/>
      <c r="I24" s="172"/>
      <c r="J24" s="172"/>
      <c r="K24" s="172"/>
      <c r="L24" s="172"/>
      <c r="M24" s="172"/>
      <c r="N24" s="172"/>
      <c r="O24" s="172"/>
      <c r="P24" s="173"/>
      <c r="Q24" s="189">
        <f>ROUND(SUM(E24:P24)/12,0)</f>
        <v>0</v>
      </c>
    </row>
    <row r="25" spans="1:17" ht="17.25" customHeight="1" thickBot="1">
      <c r="B25" s="906"/>
      <c r="C25" s="907"/>
      <c r="D25" s="195" t="s">
        <v>338</v>
      </c>
      <c r="E25" s="196"/>
      <c r="F25" s="197" t="str">
        <f>IFERROR(F24/$E24,"")</f>
        <v/>
      </c>
      <c r="G25" s="197" t="str">
        <f t="shared" ref="G25:P25" si="6">IFERROR(G24/$E24,"")</f>
        <v/>
      </c>
      <c r="H25" s="197" t="str">
        <f t="shared" si="6"/>
        <v/>
      </c>
      <c r="I25" s="197" t="str">
        <f t="shared" si="6"/>
        <v/>
      </c>
      <c r="J25" s="197" t="str">
        <f t="shared" si="6"/>
        <v/>
      </c>
      <c r="K25" s="197" t="str">
        <f t="shared" si="6"/>
        <v/>
      </c>
      <c r="L25" s="197" t="str">
        <f t="shared" si="6"/>
        <v/>
      </c>
      <c r="M25" s="197" t="str">
        <f t="shared" si="6"/>
        <v/>
      </c>
      <c r="N25" s="197" t="str">
        <f t="shared" si="6"/>
        <v/>
      </c>
      <c r="O25" s="197" t="str">
        <f t="shared" si="6"/>
        <v/>
      </c>
      <c r="P25" s="198" t="str">
        <f t="shared" si="6"/>
        <v/>
      </c>
      <c r="Q25" s="199"/>
    </row>
    <row r="26" spans="1:17" ht="17.25" customHeight="1" thickTop="1" thickBot="1">
      <c r="B26" s="901" t="s">
        <v>342</v>
      </c>
      <c r="C26" s="902"/>
      <c r="D26" s="200"/>
      <c r="E26" s="201">
        <f>SUM(E12,E14,E16,E20,E22,E24)</f>
        <v>0</v>
      </c>
      <c r="F26" s="202">
        <f t="shared" ref="F26:P26" si="7">SUM(F12,F14,F16,F20,F22,F24)</f>
        <v>0</v>
      </c>
      <c r="G26" s="202">
        <f t="shared" si="7"/>
        <v>0</v>
      </c>
      <c r="H26" s="202">
        <f t="shared" si="7"/>
        <v>0</v>
      </c>
      <c r="I26" s="202">
        <f t="shared" si="7"/>
        <v>0</v>
      </c>
      <c r="J26" s="202">
        <f t="shared" si="7"/>
        <v>0</v>
      </c>
      <c r="K26" s="202">
        <f t="shared" si="7"/>
        <v>0</v>
      </c>
      <c r="L26" s="202">
        <f t="shared" si="7"/>
        <v>0</v>
      </c>
      <c r="M26" s="202">
        <f t="shared" si="7"/>
        <v>0</v>
      </c>
      <c r="N26" s="202">
        <f t="shared" si="7"/>
        <v>0</v>
      </c>
      <c r="O26" s="202">
        <f t="shared" si="7"/>
        <v>0</v>
      </c>
      <c r="P26" s="202">
        <f t="shared" si="7"/>
        <v>0</v>
      </c>
      <c r="Q26" s="203">
        <f>SUM(Q12,Q14,Q16,Q20,Q22,Q24)</f>
        <v>0</v>
      </c>
    </row>
    <row r="27" spans="1:17" ht="17.25" customHeight="1">
      <c r="B27" s="182"/>
      <c r="C27" s="182"/>
      <c r="D27" s="182"/>
      <c r="F27" s="204"/>
      <c r="G27" s="204"/>
      <c r="H27" s="204"/>
      <c r="I27" s="204"/>
      <c r="J27" s="204"/>
      <c r="K27" s="204"/>
      <c r="L27" s="204"/>
      <c r="M27" s="204"/>
      <c r="N27" s="204"/>
      <c r="O27" s="204"/>
      <c r="P27" s="204"/>
      <c r="Q27" s="205"/>
    </row>
    <row r="28" spans="1:17" ht="17.25" customHeight="1">
      <c r="B28" s="182"/>
      <c r="C28" s="182"/>
      <c r="D28" s="182"/>
      <c r="F28" s="204"/>
      <c r="G28" s="204"/>
      <c r="H28" s="204"/>
      <c r="I28" s="204"/>
      <c r="J28" s="204"/>
      <c r="K28" s="204"/>
      <c r="L28" s="204"/>
      <c r="M28" s="204"/>
      <c r="N28" s="204"/>
      <c r="O28" s="204"/>
      <c r="P28" s="204"/>
    </row>
    <row r="29" spans="1:17" ht="17.25" customHeight="1" thickBot="1">
      <c r="A29" s="184" t="s">
        <v>868</v>
      </c>
      <c r="E29" s="206"/>
    </row>
    <row r="30" spans="1:17" ht="17.25" customHeight="1">
      <c r="B30" s="885" t="s">
        <v>869</v>
      </c>
      <c r="C30" s="886"/>
      <c r="D30" s="887"/>
      <c r="E30" s="185">
        <v>4</v>
      </c>
      <c r="F30" s="207">
        <v>5</v>
      </c>
      <c r="G30" s="207">
        <v>6</v>
      </c>
      <c r="H30" s="187">
        <v>7</v>
      </c>
      <c r="I30" s="186">
        <v>8</v>
      </c>
      <c r="J30" s="186">
        <v>9</v>
      </c>
      <c r="K30" s="208">
        <v>10</v>
      </c>
      <c r="L30" s="186">
        <v>11</v>
      </c>
      <c r="M30" s="186">
        <v>12</v>
      </c>
      <c r="N30" s="186">
        <v>1</v>
      </c>
      <c r="O30" s="186">
        <v>2</v>
      </c>
      <c r="P30" s="187">
        <v>3</v>
      </c>
      <c r="Q30" s="891" t="s">
        <v>335</v>
      </c>
    </row>
    <row r="31" spans="1:17" ht="17.25" customHeight="1">
      <c r="B31" s="888"/>
      <c r="C31" s="889"/>
      <c r="D31" s="890"/>
      <c r="E31" s="893" t="s">
        <v>336</v>
      </c>
      <c r="F31" s="894"/>
      <c r="G31" s="894"/>
      <c r="H31" s="895"/>
      <c r="I31" s="896" t="s">
        <v>356</v>
      </c>
      <c r="J31" s="897"/>
      <c r="K31" s="897"/>
      <c r="L31" s="897"/>
      <c r="M31" s="897"/>
      <c r="N31" s="897"/>
      <c r="O31" s="897"/>
      <c r="P31" s="898"/>
      <c r="Q31" s="892"/>
    </row>
    <row r="32" spans="1:17" ht="18" customHeight="1">
      <c r="B32" s="879" t="str">
        <f>$B$12</f>
        <v>５歳児</v>
      </c>
      <c r="C32" s="880"/>
      <c r="D32" s="209" t="s">
        <v>337</v>
      </c>
      <c r="E32" s="441"/>
      <c r="F32" s="174"/>
      <c r="G32" s="174"/>
      <c r="H32" s="175"/>
      <c r="I32" s="225" t="str">
        <f t="shared" ref="I32:P32" si="8">IFERROR($E$32*I13,"")</f>
        <v/>
      </c>
      <c r="J32" s="225" t="str">
        <f t="shared" si="8"/>
        <v/>
      </c>
      <c r="K32" s="225" t="str">
        <f t="shared" si="8"/>
        <v/>
      </c>
      <c r="L32" s="225" t="str">
        <f t="shared" si="8"/>
        <v/>
      </c>
      <c r="M32" s="225" t="str">
        <f t="shared" si="8"/>
        <v/>
      </c>
      <c r="N32" s="225" t="str">
        <f t="shared" si="8"/>
        <v/>
      </c>
      <c r="O32" s="225" t="str">
        <f t="shared" si="8"/>
        <v/>
      </c>
      <c r="P32" s="226" t="str">
        <f t="shared" si="8"/>
        <v/>
      </c>
      <c r="Q32" s="210">
        <f t="shared" ref="Q32:Q38" si="9">ROUND(SUM(E32:P32)/12,0)</f>
        <v>0</v>
      </c>
    </row>
    <row r="33" spans="1:17" ht="18" customHeight="1">
      <c r="B33" s="879" t="str">
        <f>$B$14</f>
        <v>４歳児</v>
      </c>
      <c r="C33" s="880"/>
      <c r="D33" s="209" t="s">
        <v>337</v>
      </c>
      <c r="E33" s="441"/>
      <c r="F33" s="174"/>
      <c r="G33" s="174"/>
      <c r="H33" s="175"/>
      <c r="I33" s="225" t="str">
        <f>IFERROR($E$33*I15,"")</f>
        <v/>
      </c>
      <c r="J33" s="225" t="str">
        <f t="shared" ref="J33:P33" si="10">IFERROR($E$33*J15,"")</f>
        <v/>
      </c>
      <c r="K33" s="225" t="str">
        <f t="shared" si="10"/>
        <v/>
      </c>
      <c r="L33" s="225" t="str">
        <f t="shared" si="10"/>
        <v/>
      </c>
      <c r="M33" s="225" t="str">
        <f t="shared" si="10"/>
        <v/>
      </c>
      <c r="N33" s="225" t="str">
        <f t="shared" si="10"/>
        <v/>
      </c>
      <c r="O33" s="225" t="str">
        <f t="shared" si="10"/>
        <v/>
      </c>
      <c r="P33" s="226" t="str">
        <f t="shared" si="10"/>
        <v/>
      </c>
      <c r="Q33" s="210">
        <f t="shared" si="9"/>
        <v>0</v>
      </c>
    </row>
    <row r="34" spans="1:17" ht="18" customHeight="1">
      <c r="B34" s="899" t="str">
        <f>$B$16</f>
        <v>３歳児</v>
      </c>
      <c r="C34" s="903"/>
      <c r="D34" s="211" t="s">
        <v>337</v>
      </c>
      <c r="E34" s="441"/>
      <c r="F34" s="174"/>
      <c r="G34" s="174"/>
      <c r="H34" s="175"/>
      <c r="I34" s="225" t="str">
        <f t="shared" ref="I34:P34" si="11">IFERROR($E$34*I17,"")</f>
        <v/>
      </c>
      <c r="J34" s="225" t="str">
        <f t="shared" si="11"/>
        <v/>
      </c>
      <c r="K34" s="225" t="str">
        <f t="shared" si="11"/>
        <v/>
      </c>
      <c r="L34" s="225" t="str">
        <f t="shared" si="11"/>
        <v/>
      </c>
      <c r="M34" s="225" t="str">
        <f t="shared" si="11"/>
        <v/>
      </c>
      <c r="N34" s="225" t="str">
        <f t="shared" si="11"/>
        <v/>
      </c>
      <c r="O34" s="225" t="str">
        <f t="shared" si="11"/>
        <v/>
      </c>
      <c r="P34" s="226" t="str">
        <f t="shared" si="11"/>
        <v/>
      </c>
      <c r="Q34" s="210">
        <f t="shared" si="9"/>
        <v>0</v>
      </c>
    </row>
    <row r="35" spans="1:17" ht="18" customHeight="1">
      <c r="B35" s="212"/>
      <c r="C35" s="213" t="str">
        <f>$C$18</f>
        <v>うち満３歳児</v>
      </c>
      <c r="D35" s="209" t="s">
        <v>337</v>
      </c>
      <c r="E35" s="441"/>
      <c r="F35" s="174"/>
      <c r="G35" s="174"/>
      <c r="H35" s="175"/>
      <c r="I35" s="225" t="str">
        <f t="shared" ref="I35:P35" si="12">IFERROR($E$35*I19,"")</f>
        <v/>
      </c>
      <c r="J35" s="225" t="str">
        <f t="shared" si="12"/>
        <v/>
      </c>
      <c r="K35" s="225" t="str">
        <f t="shared" si="12"/>
        <v/>
      </c>
      <c r="L35" s="225" t="str">
        <f t="shared" si="12"/>
        <v/>
      </c>
      <c r="M35" s="225" t="str">
        <f t="shared" si="12"/>
        <v/>
      </c>
      <c r="N35" s="225" t="str">
        <f t="shared" si="12"/>
        <v/>
      </c>
      <c r="O35" s="225" t="str">
        <f t="shared" si="12"/>
        <v/>
      </c>
      <c r="P35" s="226" t="str">
        <f t="shared" si="12"/>
        <v/>
      </c>
      <c r="Q35" s="210">
        <f t="shared" si="9"/>
        <v>0</v>
      </c>
    </row>
    <row r="36" spans="1:17" ht="18" customHeight="1">
      <c r="B36" s="879" t="str">
        <f>$B$20</f>
        <v>２歳児</v>
      </c>
      <c r="C36" s="880"/>
      <c r="D36" s="209" t="s">
        <v>337</v>
      </c>
      <c r="E36" s="441"/>
      <c r="F36" s="178"/>
      <c r="G36" s="178"/>
      <c r="H36" s="175"/>
      <c r="I36" s="225" t="str">
        <f t="shared" ref="I36:P36" si="13">IFERROR($E$36*I21,"")</f>
        <v/>
      </c>
      <c r="J36" s="225" t="str">
        <f t="shared" si="13"/>
        <v/>
      </c>
      <c r="K36" s="225" t="str">
        <f t="shared" si="13"/>
        <v/>
      </c>
      <c r="L36" s="225" t="str">
        <f t="shared" si="13"/>
        <v/>
      </c>
      <c r="M36" s="225" t="str">
        <f t="shared" si="13"/>
        <v/>
      </c>
      <c r="N36" s="225" t="str">
        <f t="shared" si="13"/>
        <v/>
      </c>
      <c r="O36" s="225" t="str">
        <f t="shared" si="13"/>
        <v/>
      </c>
      <c r="P36" s="226" t="str">
        <f t="shared" si="13"/>
        <v/>
      </c>
      <c r="Q36" s="210">
        <f t="shared" si="9"/>
        <v>0</v>
      </c>
    </row>
    <row r="37" spans="1:17" ht="18" customHeight="1">
      <c r="B37" s="879" t="str">
        <f>$B$22</f>
        <v>１歳児</v>
      </c>
      <c r="C37" s="880"/>
      <c r="D37" s="209" t="s">
        <v>337</v>
      </c>
      <c r="E37" s="441"/>
      <c r="F37" s="178"/>
      <c r="G37" s="178"/>
      <c r="H37" s="175"/>
      <c r="I37" s="225" t="str">
        <f>IFERROR($E$37*I23,"")</f>
        <v/>
      </c>
      <c r="J37" s="225" t="str">
        <f t="shared" ref="J37:P37" si="14">IFERROR($E$37*J23,"")</f>
        <v/>
      </c>
      <c r="K37" s="225" t="str">
        <f t="shared" si="14"/>
        <v/>
      </c>
      <c r="L37" s="225" t="str">
        <f t="shared" si="14"/>
        <v/>
      </c>
      <c r="M37" s="225" t="str">
        <f t="shared" si="14"/>
        <v/>
      </c>
      <c r="N37" s="225" t="str">
        <f t="shared" si="14"/>
        <v/>
      </c>
      <c r="O37" s="225" t="str">
        <f t="shared" si="14"/>
        <v/>
      </c>
      <c r="P37" s="226" t="str">
        <f t="shared" si="14"/>
        <v/>
      </c>
      <c r="Q37" s="210">
        <f t="shared" si="9"/>
        <v>0</v>
      </c>
    </row>
    <row r="38" spans="1:17" ht="18" customHeight="1" thickBot="1">
      <c r="B38" s="881" t="str">
        <f>$B$24</f>
        <v>０歳児</v>
      </c>
      <c r="C38" s="882"/>
      <c r="D38" s="214" t="s">
        <v>337</v>
      </c>
      <c r="E38" s="442"/>
      <c r="F38" s="179"/>
      <c r="G38" s="179"/>
      <c r="H38" s="177"/>
      <c r="I38" s="242" t="str">
        <f t="shared" ref="I38:P38" si="15">IFERROR($E$38*I25,"")</f>
        <v/>
      </c>
      <c r="J38" s="242" t="str">
        <f t="shared" si="15"/>
        <v/>
      </c>
      <c r="K38" s="242" t="str">
        <f t="shared" si="15"/>
        <v/>
      </c>
      <c r="L38" s="242" t="str">
        <f t="shared" si="15"/>
        <v/>
      </c>
      <c r="M38" s="242" t="str">
        <f t="shared" si="15"/>
        <v/>
      </c>
      <c r="N38" s="242" t="str">
        <f t="shared" si="15"/>
        <v/>
      </c>
      <c r="O38" s="242" t="str">
        <f t="shared" si="15"/>
        <v/>
      </c>
      <c r="P38" s="231" t="str">
        <f t="shared" si="15"/>
        <v/>
      </c>
      <c r="Q38" s="215">
        <f t="shared" si="9"/>
        <v>0</v>
      </c>
    </row>
    <row r="39" spans="1:17" ht="18" customHeight="1" thickTop="1" thickBot="1">
      <c r="B39" s="883" t="s">
        <v>342</v>
      </c>
      <c r="C39" s="884"/>
      <c r="D39" s="216"/>
      <c r="E39" s="217">
        <f>SUM(E32:E34,E36:E38)</f>
        <v>0</v>
      </c>
      <c r="F39" s="218">
        <f>SUM(F32:F34,F36:F38)</f>
        <v>0</v>
      </c>
      <c r="G39" s="219">
        <f>SUM(G32:G34,G36:G38)</f>
        <v>0</v>
      </c>
      <c r="H39" s="220">
        <f>SUM(H32:H34,H36:H38)</f>
        <v>0</v>
      </c>
      <c r="I39" s="220">
        <f t="shared" ref="I39:P39" si="16">SUM(I32:I34,I36:I38)</f>
        <v>0</v>
      </c>
      <c r="J39" s="220">
        <f t="shared" si="16"/>
        <v>0</v>
      </c>
      <c r="K39" s="220">
        <f t="shared" si="16"/>
        <v>0</v>
      </c>
      <c r="L39" s="220">
        <f t="shared" si="16"/>
        <v>0</v>
      </c>
      <c r="M39" s="220">
        <f t="shared" si="16"/>
        <v>0</v>
      </c>
      <c r="N39" s="220">
        <f t="shared" si="16"/>
        <v>0</v>
      </c>
      <c r="O39" s="220">
        <f t="shared" si="16"/>
        <v>0</v>
      </c>
      <c r="P39" s="220">
        <f t="shared" si="16"/>
        <v>0</v>
      </c>
      <c r="Q39" s="221">
        <f>SUM(Q32:Q34,Q36:Q38)</f>
        <v>0</v>
      </c>
    </row>
    <row r="40" spans="1:17" ht="17.25" customHeight="1">
      <c r="B40" s="222" t="s">
        <v>344</v>
      </c>
    </row>
    <row r="41" spans="1:17" ht="17.25" customHeight="1"/>
    <row r="42" spans="1:17" ht="17.25" customHeight="1"/>
    <row r="43" spans="1:17" ht="17.25" customHeight="1"/>
    <row r="44" spans="1:17" ht="17.25" customHeight="1"/>
    <row r="45" spans="1:17" ht="17.25" customHeight="1" thickBot="1">
      <c r="A45" s="184" t="s">
        <v>345</v>
      </c>
      <c r="E45" s="206"/>
    </row>
    <row r="46" spans="1:17" ht="17.25" customHeight="1">
      <c r="B46" s="885" t="s">
        <v>869</v>
      </c>
      <c r="C46" s="886"/>
      <c r="D46" s="887"/>
      <c r="E46" s="185">
        <v>4</v>
      </c>
      <c r="F46" s="207">
        <v>5</v>
      </c>
      <c r="G46" s="207">
        <v>6</v>
      </c>
      <c r="H46" s="187">
        <v>7</v>
      </c>
      <c r="I46" s="186">
        <v>8</v>
      </c>
      <c r="J46" s="186">
        <v>9</v>
      </c>
      <c r="K46" s="208">
        <v>10</v>
      </c>
      <c r="L46" s="186">
        <v>11</v>
      </c>
      <c r="M46" s="186">
        <v>12</v>
      </c>
      <c r="N46" s="186">
        <v>1</v>
      </c>
      <c r="O46" s="186">
        <v>2</v>
      </c>
      <c r="P46" s="187">
        <v>3</v>
      </c>
      <c r="Q46" s="891" t="s">
        <v>335</v>
      </c>
    </row>
    <row r="47" spans="1:17" ht="17.25" customHeight="1">
      <c r="B47" s="888"/>
      <c r="C47" s="889"/>
      <c r="D47" s="890"/>
      <c r="E47" s="893" t="s">
        <v>336</v>
      </c>
      <c r="F47" s="894"/>
      <c r="G47" s="894"/>
      <c r="H47" s="895"/>
      <c r="I47" s="896" t="s">
        <v>346</v>
      </c>
      <c r="J47" s="897"/>
      <c r="K47" s="897"/>
      <c r="L47" s="897"/>
      <c r="M47" s="897"/>
      <c r="N47" s="897"/>
      <c r="O47" s="897"/>
      <c r="P47" s="898"/>
      <c r="Q47" s="892"/>
    </row>
    <row r="48" spans="1:17" ht="18" customHeight="1">
      <c r="B48" s="879" t="str">
        <f>$B$12</f>
        <v>５歳児</v>
      </c>
      <c r="C48" s="880"/>
      <c r="D48" s="223" t="s">
        <v>337</v>
      </c>
      <c r="E48" s="224">
        <f t="shared" ref="E48:H54" si="17">E32</f>
        <v>0</v>
      </c>
      <c r="F48" s="225">
        <f t="shared" si="17"/>
        <v>0</v>
      </c>
      <c r="G48" s="225">
        <f t="shared" si="17"/>
        <v>0</v>
      </c>
      <c r="H48" s="226">
        <f t="shared" si="17"/>
        <v>0</v>
      </c>
      <c r="I48" s="174"/>
      <c r="J48" s="174"/>
      <c r="K48" s="174"/>
      <c r="L48" s="174"/>
      <c r="M48" s="174"/>
      <c r="N48" s="174"/>
      <c r="O48" s="174"/>
      <c r="P48" s="175"/>
      <c r="Q48" s="210">
        <f t="shared" ref="Q48:Q54" si="18">ROUND(SUM(E48:P48)/12,0)</f>
        <v>0</v>
      </c>
    </row>
    <row r="49" spans="2:17" ht="18" customHeight="1">
      <c r="B49" s="879" t="str">
        <f>$B$14</f>
        <v>４歳児</v>
      </c>
      <c r="C49" s="880"/>
      <c r="D49" s="223" t="s">
        <v>337</v>
      </c>
      <c r="E49" s="224">
        <f t="shared" si="17"/>
        <v>0</v>
      </c>
      <c r="F49" s="225">
        <f t="shared" si="17"/>
        <v>0</v>
      </c>
      <c r="G49" s="225">
        <f t="shared" si="17"/>
        <v>0</v>
      </c>
      <c r="H49" s="226">
        <f t="shared" si="17"/>
        <v>0</v>
      </c>
      <c r="I49" s="174"/>
      <c r="J49" s="174"/>
      <c r="K49" s="174"/>
      <c r="L49" s="174"/>
      <c r="M49" s="174"/>
      <c r="N49" s="174"/>
      <c r="O49" s="174"/>
      <c r="P49" s="175"/>
      <c r="Q49" s="210">
        <f t="shared" si="18"/>
        <v>0</v>
      </c>
    </row>
    <row r="50" spans="2:17" ht="18" customHeight="1">
      <c r="B50" s="899" t="str">
        <f>$B$16</f>
        <v>３歳児</v>
      </c>
      <c r="C50" s="900"/>
      <c r="D50" s="223" t="s">
        <v>337</v>
      </c>
      <c r="E50" s="224">
        <f t="shared" si="17"/>
        <v>0</v>
      </c>
      <c r="F50" s="225">
        <f t="shared" si="17"/>
        <v>0</v>
      </c>
      <c r="G50" s="225">
        <f t="shared" si="17"/>
        <v>0</v>
      </c>
      <c r="H50" s="226">
        <f t="shared" si="17"/>
        <v>0</v>
      </c>
      <c r="I50" s="174"/>
      <c r="J50" s="174"/>
      <c r="K50" s="174"/>
      <c r="L50" s="174"/>
      <c r="M50" s="174"/>
      <c r="N50" s="174"/>
      <c r="O50" s="174"/>
      <c r="P50" s="175"/>
      <c r="Q50" s="210">
        <f t="shared" si="18"/>
        <v>0</v>
      </c>
    </row>
    <row r="51" spans="2:17" ht="18" customHeight="1">
      <c r="B51" s="212"/>
      <c r="C51" s="213" t="str">
        <f>$C$18</f>
        <v>うち満３歳児</v>
      </c>
      <c r="D51" s="223" t="s">
        <v>337</v>
      </c>
      <c r="E51" s="224">
        <f t="shared" si="17"/>
        <v>0</v>
      </c>
      <c r="F51" s="225">
        <f t="shared" si="17"/>
        <v>0</v>
      </c>
      <c r="G51" s="225">
        <f t="shared" si="17"/>
        <v>0</v>
      </c>
      <c r="H51" s="226">
        <f t="shared" si="17"/>
        <v>0</v>
      </c>
      <c r="I51" s="174"/>
      <c r="J51" s="174"/>
      <c r="K51" s="174"/>
      <c r="L51" s="174"/>
      <c r="M51" s="174"/>
      <c r="N51" s="174"/>
      <c r="O51" s="174"/>
      <c r="P51" s="175"/>
      <c r="Q51" s="210">
        <f t="shared" si="18"/>
        <v>0</v>
      </c>
    </row>
    <row r="52" spans="2:17" ht="18" customHeight="1">
      <c r="B52" s="879" t="str">
        <f>$B$20</f>
        <v>２歳児</v>
      </c>
      <c r="C52" s="880"/>
      <c r="D52" s="223" t="s">
        <v>337</v>
      </c>
      <c r="E52" s="224">
        <f t="shared" si="17"/>
        <v>0</v>
      </c>
      <c r="F52" s="227">
        <f t="shared" si="17"/>
        <v>0</v>
      </c>
      <c r="G52" s="227">
        <f t="shared" si="17"/>
        <v>0</v>
      </c>
      <c r="H52" s="226">
        <f t="shared" si="17"/>
        <v>0</v>
      </c>
      <c r="I52" s="174"/>
      <c r="J52" s="174"/>
      <c r="K52" s="174"/>
      <c r="L52" s="174"/>
      <c r="M52" s="174"/>
      <c r="N52" s="174"/>
      <c r="O52" s="174"/>
      <c r="P52" s="175"/>
      <c r="Q52" s="210">
        <f t="shared" si="18"/>
        <v>0</v>
      </c>
    </row>
    <row r="53" spans="2:17" ht="18" customHeight="1">
      <c r="B53" s="879" t="str">
        <f>$B$22</f>
        <v>１歳児</v>
      </c>
      <c r="C53" s="880"/>
      <c r="D53" s="223" t="s">
        <v>337</v>
      </c>
      <c r="E53" s="224">
        <f t="shared" si="17"/>
        <v>0</v>
      </c>
      <c r="F53" s="227">
        <f t="shared" si="17"/>
        <v>0</v>
      </c>
      <c r="G53" s="227">
        <f t="shared" si="17"/>
        <v>0</v>
      </c>
      <c r="H53" s="226">
        <f t="shared" si="17"/>
        <v>0</v>
      </c>
      <c r="I53" s="174"/>
      <c r="J53" s="174"/>
      <c r="K53" s="174"/>
      <c r="L53" s="174"/>
      <c r="M53" s="174"/>
      <c r="N53" s="174"/>
      <c r="O53" s="174"/>
      <c r="P53" s="175"/>
      <c r="Q53" s="210">
        <f t="shared" si="18"/>
        <v>0</v>
      </c>
    </row>
    <row r="54" spans="2:17" ht="18" customHeight="1" thickBot="1">
      <c r="B54" s="881" t="str">
        <f>$B$24</f>
        <v>０歳児</v>
      </c>
      <c r="C54" s="882"/>
      <c r="D54" s="228" t="s">
        <v>337</v>
      </c>
      <c r="E54" s="229">
        <f t="shared" si="17"/>
        <v>0</v>
      </c>
      <c r="F54" s="230">
        <f t="shared" si="17"/>
        <v>0</v>
      </c>
      <c r="G54" s="230">
        <f t="shared" si="17"/>
        <v>0</v>
      </c>
      <c r="H54" s="231">
        <f t="shared" si="17"/>
        <v>0</v>
      </c>
      <c r="I54" s="176"/>
      <c r="J54" s="176"/>
      <c r="K54" s="176"/>
      <c r="L54" s="176"/>
      <c r="M54" s="176"/>
      <c r="N54" s="176"/>
      <c r="O54" s="176"/>
      <c r="P54" s="177"/>
      <c r="Q54" s="215">
        <f t="shared" si="18"/>
        <v>0</v>
      </c>
    </row>
    <row r="55" spans="2:17" ht="18" customHeight="1" thickTop="1" thickBot="1">
      <c r="B55" s="901" t="s">
        <v>342</v>
      </c>
      <c r="C55" s="902"/>
      <c r="D55" s="232"/>
      <c r="E55" s="217">
        <f>SUM(E48:E50,E52:E54)</f>
        <v>0</v>
      </c>
      <c r="F55" s="218">
        <f t="shared" ref="F55:P55" si="19">SUM(F48:F50,F52:F54)</f>
        <v>0</v>
      </c>
      <c r="G55" s="219">
        <f t="shared" si="19"/>
        <v>0</v>
      </c>
      <c r="H55" s="233">
        <f t="shared" si="19"/>
        <v>0</v>
      </c>
      <c r="I55" s="233">
        <f t="shared" si="19"/>
        <v>0</v>
      </c>
      <c r="J55" s="233">
        <f t="shared" si="19"/>
        <v>0</v>
      </c>
      <c r="K55" s="233">
        <f t="shared" si="19"/>
        <v>0</v>
      </c>
      <c r="L55" s="233">
        <f t="shared" si="19"/>
        <v>0</v>
      </c>
      <c r="M55" s="233">
        <f t="shared" si="19"/>
        <v>0</v>
      </c>
      <c r="N55" s="233">
        <f t="shared" si="19"/>
        <v>0</v>
      </c>
      <c r="O55" s="233">
        <f t="shared" si="19"/>
        <v>0</v>
      </c>
      <c r="P55" s="233">
        <f t="shared" si="19"/>
        <v>0</v>
      </c>
      <c r="Q55" s="221">
        <f>SUM(Q48:Q50,Q52:Q54)</f>
        <v>0</v>
      </c>
    </row>
    <row r="56" spans="2:17" ht="17.25" customHeight="1">
      <c r="B56" s="222" t="s">
        <v>344</v>
      </c>
      <c r="E56" s="234"/>
      <c r="F56" s="234"/>
      <c r="G56" s="234"/>
      <c r="H56" s="234"/>
      <c r="I56" s="234"/>
      <c r="J56" s="234"/>
      <c r="K56" s="234"/>
      <c r="L56" s="234"/>
      <c r="M56" s="234"/>
      <c r="N56" s="234"/>
      <c r="O56" s="234"/>
      <c r="P56" s="234"/>
      <c r="Q56" s="234"/>
    </row>
    <row r="57" spans="2:17" ht="17.25" customHeight="1">
      <c r="E57" s="234"/>
      <c r="F57" s="234"/>
      <c r="G57" s="234"/>
      <c r="H57" s="234"/>
      <c r="I57" s="234"/>
      <c r="J57" s="234"/>
      <c r="K57" s="234"/>
      <c r="L57" s="234"/>
      <c r="M57" s="234"/>
      <c r="N57" s="234"/>
      <c r="O57" s="234"/>
      <c r="P57" s="234"/>
      <c r="Q57" s="234"/>
    </row>
    <row r="58" spans="2:17" ht="17.25" customHeight="1" thickBot="1">
      <c r="B58" s="235" t="s">
        <v>347</v>
      </c>
      <c r="C58" s="236"/>
    </row>
    <row r="59" spans="2:17" ht="94.5" customHeight="1" thickBot="1">
      <c r="B59" s="876" t="s">
        <v>348</v>
      </c>
      <c r="C59" s="877"/>
      <c r="D59" s="877"/>
      <c r="E59" s="877"/>
      <c r="F59" s="877"/>
      <c r="G59" s="877"/>
      <c r="H59" s="877"/>
      <c r="I59" s="877"/>
      <c r="J59" s="877"/>
      <c r="K59" s="877"/>
      <c r="L59" s="877"/>
      <c r="M59" s="877"/>
      <c r="N59" s="877"/>
      <c r="O59" s="877"/>
      <c r="P59" s="877"/>
      <c r="Q59" s="878"/>
    </row>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sheetData>
  <mergeCells count="38">
    <mergeCell ref="Q46:Q47"/>
    <mergeCell ref="E47:H47"/>
    <mergeCell ref="I47:P47"/>
    <mergeCell ref="B59:Q59"/>
    <mergeCell ref="B49:C49"/>
    <mergeCell ref="B50:C50"/>
    <mergeCell ref="B52:C52"/>
    <mergeCell ref="B53:C53"/>
    <mergeCell ref="B54:C54"/>
    <mergeCell ref="B55:C55"/>
    <mergeCell ref="B48:C48"/>
    <mergeCell ref="B38:C38"/>
    <mergeCell ref="B39:C39"/>
    <mergeCell ref="B46:D47"/>
    <mergeCell ref="B22:C23"/>
    <mergeCell ref="B24:C25"/>
    <mergeCell ref="B26:C26"/>
    <mergeCell ref="B30:D31"/>
    <mergeCell ref="B32:C32"/>
    <mergeCell ref="B33:C33"/>
    <mergeCell ref="B34:C34"/>
    <mergeCell ref="B36:C36"/>
    <mergeCell ref="B37:C37"/>
    <mergeCell ref="Q30:Q31"/>
    <mergeCell ref="E31:H31"/>
    <mergeCell ref="I31:P31"/>
    <mergeCell ref="B20:C21"/>
    <mergeCell ref="A1:Q1"/>
    <mergeCell ref="H3:L3"/>
    <mergeCell ref="M3:Q3"/>
    <mergeCell ref="B10:D11"/>
    <mergeCell ref="Q10:Q11"/>
    <mergeCell ref="E11:P11"/>
    <mergeCell ref="B12:C13"/>
    <mergeCell ref="B14:C15"/>
    <mergeCell ref="B16:C17"/>
    <mergeCell ref="B18:B19"/>
    <mergeCell ref="C18:C19"/>
  </mergeCells>
  <phoneticPr fontId="4"/>
  <dataValidations count="1">
    <dataValidation type="whole" allowBlank="1" showInputMessage="1" showErrorMessage="1" sqref="E12:P12 E14:P14 E16:P16 E18:P18 E20:P20 E22:P22 E24:P24 E32:H38 I48:P54" xr:uid="{868E54BD-5A7A-4C40-AEF6-2609B6702C5A}">
      <formula1>0</formula1>
      <formula2>1000</formula2>
    </dataValidation>
  </dataValidations>
  <pageMargins left="0.61" right="0.27559055118110237" top="0.55118110236220474" bottom="0.19685039370078741" header="0.31496062992125984" footer="0.19685039370078741"/>
  <pageSetup paperSize="9" scale="71"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E670-895C-4F06-B43A-6BF38656F7F5}">
  <sheetPr>
    <pageSetUpPr fitToPage="1"/>
  </sheetPr>
  <dimension ref="A1:Q98"/>
  <sheetViews>
    <sheetView view="pageBreakPreview" zoomScaleNormal="100" zoomScaleSheetLayoutView="100" workbookViewId="0">
      <selection activeCell="B48" sqref="B48:C48"/>
    </sheetView>
  </sheetViews>
  <sheetFormatPr defaultColWidth="9" defaultRowHeight="18.75"/>
  <cols>
    <col min="1" max="1" width="2.375" style="180" customWidth="1"/>
    <col min="2" max="2" width="1.625" style="180" customWidth="1"/>
    <col min="3" max="3" width="14.125" style="180" customWidth="1"/>
    <col min="4" max="4" width="6.875" style="180" customWidth="1"/>
    <col min="5" max="16" width="6.625" style="180" customWidth="1"/>
    <col min="17" max="17" width="7.5" style="180" customWidth="1"/>
    <col min="18" max="16384" width="9" style="180"/>
  </cols>
  <sheetData>
    <row r="1" spans="1:17" ht="40.5" customHeight="1">
      <c r="A1" s="912" t="s">
        <v>357</v>
      </c>
      <c r="B1" s="912"/>
      <c r="C1" s="912"/>
      <c r="D1" s="912"/>
      <c r="E1" s="912"/>
      <c r="F1" s="912"/>
      <c r="G1" s="912"/>
      <c r="H1" s="912"/>
      <c r="I1" s="912"/>
      <c r="J1" s="912"/>
      <c r="K1" s="912"/>
      <c r="L1" s="912"/>
      <c r="M1" s="912"/>
      <c r="N1" s="912"/>
      <c r="O1" s="912"/>
      <c r="P1" s="912"/>
      <c r="Q1" s="912"/>
    </row>
    <row r="2" spans="1:17" ht="18" customHeight="1" thickBot="1">
      <c r="B2" s="181"/>
      <c r="C2" s="181"/>
    </row>
    <row r="3" spans="1:17" ht="18" customHeight="1" thickBot="1">
      <c r="B3" s="181"/>
      <c r="C3" s="181"/>
      <c r="H3" s="913" t="s">
        <v>332</v>
      </c>
      <c r="I3" s="914"/>
      <c r="J3" s="914"/>
      <c r="K3" s="914"/>
      <c r="L3" s="915"/>
      <c r="M3" s="916">
        <f>'1-1_児童数計算表'!$M$3</f>
        <v>0</v>
      </c>
      <c r="N3" s="917"/>
      <c r="O3" s="917"/>
      <c r="P3" s="917"/>
      <c r="Q3" s="918"/>
    </row>
    <row r="4" spans="1:17" ht="18" customHeight="1">
      <c r="B4" s="181"/>
      <c r="C4" s="181"/>
      <c r="H4" s="182"/>
      <c r="I4" s="182"/>
      <c r="J4" s="182"/>
      <c r="K4" s="182"/>
      <c r="L4" s="182"/>
      <c r="M4" s="182"/>
      <c r="N4" s="182"/>
      <c r="O4" s="182"/>
      <c r="P4" s="182"/>
      <c r="Q4" s="182"/>
    </row>
    <row r="5" spans="1:17" ht="18" customHeight="1">
      <c r="B5" s="180" t="s">
        <v>352</v>
      </c>
      <c r="H5" s="182"/>
      <c r="I5" s="182"/>
      <c r="J5" s="182"/>
      <c r="K5" s="182"/>
      <c r="L5" s="182"/>
      <c r="M5" s="182"/>
      <c r="N5" s="182"/>
      <c r="O5" s="182"/>
      <c r="P5" s="182"/>
      <c r="Q5" s="182"/>
    </row>
    <row r="6" spans="1:17" ht="18" customHeight="1">
      <c r="B6" s="180" t="s">
        <v>333</v>
      </c>
      <c r="H6" s="182"/>
      <c r="I6" s="182"/>
      <c r="J6" s="182"/>
      <c r="K6" s="182"/>
      <c r="L6" s="182"/>
      <c r="M6" s="182"/>
      <c r="N6" s="182"/>
      <c r="O6" s="182"/>
      <c r="P6" s="182"/>
      <c r="Q6" s="182"/>
    </row>
    <row r="7" spans="1:17" ht="18" customHeight="1">
      <c r="B7" s="180" t="s">
        <v>334</v>
      </c>
      <c r="C7" s="183"/>
      <c r="H7" s="182"/>
      <c r="I7" s="182"/>
      <c r="J7" s="182"/>
      <c r="K7" s="182"/>
      <c r="L7" s="182"/>
      <c r="M7" s="182"/>
      <c r="N7" s="182"/>
      <c r="O7" s="182"/>
      <c r="P7" s="182"/>
      <c r="Q7" s="182"/>
    </row>
    <row r="8" spans="1:17" ht="18" customHeight="1">
      <c r="B8" s="183"/>
      <c r="C8" s="183"/>
      <c r="H8" s="182"/>
      <c r="I8" s="182"/>
      <c r="J8" s="182"/>
      <c r="K8" s="182"/>
      <c r="L8" s="182"/>
      <c r="M8" s="182"/>
      <c r="N8" s="182"/>
      <c r="O8" s="182"/>
      <c r="P8" s="182"/>
      <c r="Q8" s="182"/>
    </row>
    <row r="9" spans="1:17" ht="18" customHeight="1" thickBot="1">
      <c r="A9" s="184" t="s">
        <v>867</v>
      </c>
    </row>
    <row r="10" spans="1:17" ht="17.25" customHeight="1">
      <c r="B10" s="919" t="s">
        <v>343</v>
      </c>
      <c r="C10" s="920"/>
      <c r="D10" s="920"/>
      <c r="E10" s="185">
        <v>4</v>
      </c>
      <c r="F10" s="186">
        <v>5</v>
      </c>
      <c r="G10" s="186">
        <v>6</v>
      </c>
      <c r="H10" s="186">
        <v>7</v>
      </c>
      <c r="I10" s="186">
        <v>8</v>
      </c>
      <c r="J10" s="186">
        <v>9</v>
      </c>
      <c r="K10" s="186">
        <v>10</v>
      </c>
      <c r="L10" s="186">
        <v>11</v>
      </c>
      <c r="M10" s="186">
        <v>12</v>
      </c>
      <c r="N10" s="186">
        <v>1</v>
      </c>
      <c r="O10" s="186">
        <v>2</v>
      </c>
      <c r="P10" s="187">
        <v>3</v>
      </c>
      <c r="Q10" s="923" t="s">
        <v>335</v>
      </c>
    </row>
    <row r="11" spans="1:17" ht="17.25" customHeight="1">
      <c r="B11" s="921"/>
      <c r="C11" s="922"/>
      <c r="D11" s="922"/>
      <c r="E11" s="925" t="s">
        <v>336</v>
      </c>
      <c r="F11" s="926"/>
      <c r="G11" s="926"/>
      <c r="H11" s="926"/>
      <c r="I11" s="926"/>
      <c r="J11" s="926"/>
      <c r="K11" s="926"/>
      <c r="L11" s="926"/>
      <c r="M11" s="926"/>
      <c r="N11" s="926"/>
      <c r="O11" s="926"/>
      <c r="P11" s="927"/>
      <c r="Q11" s="924"/>
    </row>
    <row r="12" spans="1:17" ht="17.25" customHeight="1">
      <c r="B12" s="904" t="s">
        <v>353</v>
      </c>
      <c r="C12" s="908"/>
      <c r="D12" s="188" t="s">
        <v>337</v>
      </c>
      <c r="E12" s="171"/>
      <c r="F12" s="172"/>
      <c r="G12" s="172"/>
      <c r="H12" s="172"/>
      <c r="I12" s="172"/>
      <c r="J12" s="172"/>
      <c r="K12" s="172"/>
      <c r="L12" s="172"/>
      <c r="M12" s="172"/>
      <c r="N12" s="172"/>
      <c r="O12" s="172"/>
      <c r="P12" s="173"/>
      <c r="Q12" s="189">
        <f>ROUND(SUM(E12:P12)/12,0)</f>
        <v>0</v>
      </c>
    </row>
    <row r="13" spans="1:17" ht="17.25" customHeight="1">
      <c r="B13" s="909"/>
      <c r="C13" s="910"/>
      <c r="D13" s="190" t="s">
        <v>338</v>
      </c>
      <c r="E13" s="191"/>
      <c r="F13" s="192" t="str">
        <f>IFERROR(F12/$E12,"")</f>
        <v/>
      </c>
      <c r="G13" s="192" t="str">
        <f t="shared" ref="G13:P13" si="0">IFERROR(G12/$E12,"")</f>
        <v/>
      </c>
      <c r="H13" s="192" t="str">
        <f t="shared" si="0"/>
        <v/>
      </c>
      <c r="I13" s="192" t="str">
        <f t="shared" si="0"/>
        <v/>
      </c>
      <c r="J13" s="192" t="str">
        <f t="shared" si="0"/>
        <v/>
      </c>
      <c r="K13" s="192" t="str">
        <f t="shared" si="0"/>
        <v/>
      </c>
      <c r="L13" s="192" t="str">
        <f t="shared" si="0"/>
        <v/>
      </c>
      <c r="M13" s="192" t="str">
        <f t="shared" si="0"/>
        <v/>
      </c>
      <c r="N13" s="192" t="str">
        <f t="shared" si="0"/>
        <v/>
      </c>
      <c r="O13" s="192" t="str">
        <f t="shared" si="0"/>
        <v/>
      </c>
      <c r="P13" s="193" t="str">
        <f t="shared" si="0"/>
        <v/>
      </c>
      <c r="Q13" s="194" t="s">
        <v>339</v>
      </c>
    </row>
    <row r="14" spans="1:17" ht="17.25" customHeight="1">
      <c r="B14" s="904" t="s">
        <v>354</v>
      </c>
      <c r="C14" s="908"/>
      <c r="D14" s="188" t="s">
        <v>337</v>
      </c>
      <c r="E14" s="171"/>
      <c r="F14" s="172"/>
      <c r="G14" s="172"/>
      <c r="H14" s="172"/>
      <c r="I14" s="172"/>
      <c r="J14" s="172"/>
      <c r="K14" s="172"/>
      <c r="L14" s="172"/>
      <c r="M14" s="172"/>
      <c r="N14" s="172"/>
      <c r="O14" s="172"/>
      <c r="P14" s="173"/>
      <c r="Q14" s="189">
        <f>ROUND(SUM(E14:P14)/12,0)</f>
        <v>0</v>
      </c>
    </row>
    <row r="15" spans="1:17" ht="17.25" customHeight="1">
      <c r="B15" s="909"/>
      <c r="C15" s="910"/>
      <c r="D15" s="190" t="s">
        <v>338</v>
      </c>
      <c r="E15" s="191"/>
      <c r="F15" s="192" t="str">
        <f>IFERROR(F14/$E14,"")</f>
        <v/>
      </c>
      <c r="G15" s="192" t="str">
        <f t="shared" ref="G15:P15" si="1">IFERROR(G14/$E14,"")</f>
        <v/>
      </c>
      <c r="H15" s="192" t="str">
        <f t="shared" si="1"/>
        <v/>
      </c>
      <c r="I15" s="192" t="str">
        <f t="shared" si="1"/>
        <v/>
      </c>
      <c r="J15" s="192" t="str">
        <f t="shared" si="1"/>
        <v/>
      </c>
      <c r="K15" s="192" t="str">
        <f t="shared" si="1"/>
        <v/>
      </c>
      <c r="L15" s="192" t="str">
        <f t="shared" si="1"/>
        <v/>
      </c>
      <c r="M15" s="192" t="str">
        <f t="shared" si="1"/>
        <v/>
      </c>
      <c r="N15" s="192" t="str">
        <f t="shared" si="1"/>
        <v/>
      </c>
      <c r="O15" s="192" t="str">
        <f t="shared" si="1"/>
        <v/>
      </c>
      <c r="P15" s="193" t="str">
        <f t="shared" si="1"/>
        <v/>
      </c>
      <c r="Q15" s="194" t="s">
        <v>339</v>
      </c>
    </row>
    <row r="16" spans="1:17" ht="17.25" customHeight="1">
      <c r="B16" s="899" t="s">
        <v>340</v>
      </c>
      <c r="C16" s="900"/>
      <c r="D16" s="188" t="s">
        <v>337</v>
      </c>
      <c r="E16" s="171"/>
      <c r="F16" s="172"/>
      <c r="G16" s="172"/>
      <c r="H16" s="172"/>
      <c r="I16" s="172"/>
      <c r="J16" s="172"/>
      <c r="K16" s="172"/>
      <c r="L16" s="172"/>
      <c r="M16" s="172"/>
      <c r="N16" s="172"/>
      <c r="O16" s="172"/>
      <c r="P16" s="173"/>
      <c r="Q16" s="189">
        <f>ROUND(SUM(E16:P16)/12,0)</f>
        <v>0</v>
      </c>
    </row>
    <row r="17" spans="1:17" ht="17.25" customHeight="1">
      <c r="B17" s="899"/>
      <c r="C17" s="900"/>
      <c r="D17" s="190" t="s">
        <v>338</v>
      </c>
      <c r="E17" s="191"/>
      <c r="F17" s="192" t="str">
        <f>IFERROR(F16/$E16,"")</f>
        <v/>
      </c>
      <c r="G17" s="192" t="str">
        <f t="shared" ref="G17:P17" si="2">IFERROR(G16/$E16,"")</f>
        <v/>
      </c>
      <c r="H17" s="192" t="str">
        <f t="shared" si="2"/>
        <v/>
      </c>
      <c r="I17" s="192" t="str">
        <f t="shared" si="2"/>
        <v/>
      </c>
      <c r="J17" s="192" t="str">
        <f t="shared" si="2"/>
        <v/>
      </c>
      <c r="K17" s="192" t="str">
        <f t="shared" si="2"/>
        <v/>
      </c>
      <c r="L17" s="192" t="str">
        <f t="shared" si="2"/>
        <v/>
      </c>
      <c r="M17" s="192" t="str">
        <f t="shared" si="2"/>
        <v/>
      </c>
      <c r="N17" s="192" t="str">
        <f t="shared" si="2"/>
        <v/>
      </c>
      <c r="O17" s="192" t="str">
        <f t="shared" si="2"/>
        <v/>
      </c>
      <c r="P17" s="193" t="str">
        <f t="shared" si="2"/>
        <v/>
      </c>
      <c r="Q17" s="194"/>
    </row>
    <row r="18" spans="1:17" ht="17.25" customHeight="1">
      <c r="B18" s="928"/>
      <c r="C18" s="930" t="s">
        <v>350</v>
      </c>
      <c r="D18" s="188" t="s">
        <v>337</v>
      </c>
      <c r="E18" s="171"/>
      <c r="F18" s="172"/>
      <c r="G18" s="172"/>
      <c r="H18" s="172"/>
      <c r="I18" s="172"/>
      <c r="J18" s="172"/>
      <c r="K18" s="172"/>
      <c r="L18" s="172"/>
      <c r="M18" s="172"/>
      <c r="N18" s="172"/>
      <c r="O18" s="172"/>
      <c r="P18" s="173"/>
      <c r="Q18" s="189">
        <f>ROUND(SUM(E18:P18)/12,0)</f>
        <v>0</v>
      </c>
    </row>
    <row r="19" spans="1:17" ht="17.25" customHeight="1">
      <c r="B19" s="929"/>
      <c r="C19" s="931"/>
      <c r="D19" s="190" t="s">
        <v>338</v>
      </c>
      <c r="E19" s="191"/>
      <c r="F19" s="192" t="str">
        <f>IFERROR(F18/$E18,"")</f>
        <v/>
      </c>
      <c r="G19" s="192" t="str">
        <f t="shared" ref="G19:P19" si="3">IFERROR(G18/$E18,"")</f>
        <v/>
      </c>
      <c r="H19" s="192" t="str">
        <f t="shared" si="3"/>
        <v/>
      </c>
      <c r="I19" s="192" t="str">
        <f t="shared" si="3"/>
        <v/>
      </c>
      <c r="J19" s="192" t="str">
        <f t="shared" si="3"/>
        <v/>
      </c>
      <c r="K19" s="192" t="str">
        <f t="shared" si="3"/>
        <v/>
      </c>
      <c r="L19" s="192" t="str">
        <f t="shared" si="3"/>
        <v/>
      </c>
      <c r="M19" s="192" t="str">
        <f t="shared" si="3"/>
        <v/>
      </c>
      <c r="N19" s="192" t="str">
        <f t="shared" si="3"/>
        <v/>
      </c>
      <c r="O19" s="192" t="str">
        <f t="shared" si="3"/>
        <v/>
      </c>
      <c r="P19" s="193" t="str">
        <f t="shared" si="3"/>
        <v/>
      </c>
      <c r="Q19" s="194"/>
    </row>
    <row r="20" spans="1:17" ht="17.25" customHeight="1">
      <c r="B20" s="904" t="s">
        <v>351</v>
      </c>
      <c r="C20" s="908"/>
      <c r="D20" s="188" t="s">
        <v>337</v>
      </c>
      <c r="E20" s="171"/>
      <c r="F20" s="172"/>
      <c r="G20" s="172"/>
      <c r="H20" s="172"/>
      <c r="I20" s="172"/>
      <c r="J20" s="172"/>
      <c r="K20" s="172"/>
      <c r="L20" s="172"/>
      <c r="M20" s="172"/>
      <c r="N20" s="172"/>
      <c r="O20" s="172"/>
      <c r="P20" s="173"/>
      <c r="Q20" s="189">
        <f>ROUND(SUM(E20:P20)/12,0)</f>
        <v>0</v>
      </c>
    </row>
    <row r="21" spans="1:17" ht="17.25" customHeight="1">
      <c r="B21" s="909"/>
      <c r="C21" s="911"/>
      <c r="D21" s="190" t="s">
        <v>338</v>
      </c>
      <c r="E21" s="191"/>
      <c r="F21" s="192" t="str">
        <f>IFERROR(F20/$E20,"")</f>
        <v/>
      </c>
      <c r="G21" s="192" t="str">
        <f t="shared" ref="G21:P21" si="4">IFERROR(G20/$E20,"")</f>
        <v/>
      </c>
      <c r="H21" s="192" t="str">
        <f t="shared" si="4"/>
        <v/>
      </c>
      <c r="I21" s="192" t="str">
        <f t="shared" si="4"/>
        <v/>
      </c>
      <c r="J21" s="192" t="str">
        <f t="shared" si="4"/>
        <v/>
      </c>
      <c r="K21" s="192" t="str">
        <f t="shared" si="4"/>
        <v/>
      </c>
      <c r="L21" s="192" t="str">
        <f t="shared" si="4"/>
        <v/>
      </c>
      <c r="M21" s="192" t="str">
        <f t="shared" si="4"/>
        <v/>
      </c>
      <c r="N21" s="192" t="str">
        <f t="shared" si="4"/>
        <v/>
      </c>
      <c r="O21" s="192" t="str">
        <f t="shared" si="4"/>
        <v/>
      </c>
      <c r="P21" s="193" t="str">
        <f t="shared" si="4"/>
        <v/>
      </c>
      <c r="Q21" s="194"/>
    </row>
    <row r="22" spans="1:17" ht="17.25" customHeight="1">
      <c r="B22" s="904" t="s">
        <v>355</v>
      </c>
      <c r="C22" s="908"/>
      <c r="D22" s="188" t="s">
        <v>337</v>
      </c>
      <c r="E22" s="171"/>
      <c r="F22" s="172"/>
      <c r="G22" s="172"/>
      <c r="H22" s="172"/>
      <c r="I22" s="172"/>
      <c r="J22" s="172"/>
      <c r="K22" s="172"/>
      <c r="L22" s="172"/>
      <c r="M22" s="172"/>
      <c r="N22" s="172"/>
      <c r="O22" s="172"/>
      <c r="P22" s="173"/>
      <c r="Q22" s="189">
        <f>ROUND(SUM(E22:P22)/12,0)</f>
        <v>0</v>
      </c>
    </row>
    <row r="23" spans="1:17" ht="17.25" customHeight="1">
      <c r="B23" s="909"/>
      <c r="C23" s="911"/>
      <c r="D23" s="190" t="s">
        <v>338</v>
      </c>
      <c r="E23" s="191"/>
      <c r="F23" s="192" t="str">
        <f>IFERROR(F22/$E22,"")</f>
        <v/>
      </c>
      <c r="G23" s="192" t="str">
        <f t="shared" ref="G23:P23" si="5">IFERROR(G22/$E22,"")</f>
        <v/>
      </c>
      <c r="H23" s="192" t="str">
        <f t="shared" si="5"/>
        <v/>
      </c>
      <c r="I23" s="192" t="str">
        <f t="shared" si="5"/>
        <v/>
      </c>
      <c r="J23" s="192" t="str">
        <f t="shared" si="5"/>
        <v/>
      </c>
      <c r="K23" s="192" t="str">
        <f t="shared" si="5"/>
        <v/>
      </c>
      <c r="L23" s="192" t="str">
        <f t="shared" si="5"/>
        <v/>
      </c>
      <c r="M23" s="192" t="str">
        <f t="shared" si="5"/>
        <v/>
      </c>
      <c r="N23" s="192" t="str">
        <f t="shared" si="5"/>
        <v/>
      </c>
      <c r="O23" s="192" t="str">
        <f t="shared" si="5"/>
        <v/>
      </c>
      <c r="P23" s="193" t="str">
        <f t="shared" si="5"/>
        <v/>
      </c>
      <c r="Q23" s="194"/>
    </row>
    <row r="24" spans="1:17" ht="17.25" customHeight="1">
      <c r="B24" s="904" t="s">
        <v>341</v>
      </c>
      <c r="C24" s="905"/>
      <c r="D24" s="188" t="s">
        <v>337</v>
      </c>
      <c r="E24" s="171"/>
      <c r="F24" s="172"/>
      <c r="G24" s="172"/>
      <c r="H24" s="172"/>
      <c r="I24" s="172"/>
      <c r="J24" s="172"/>
      <c r="K24" s="172"/>
      <c r="L24" s="172"/>
      <c r="M24" s="172"/>
      <c r="N24" s="172"/>
      <c r="O24" s="172"/>
      <c r="P24" s="173"/>
      <c r="Q24" s="189">
        <f>ROUND(SUM(E24:P24)/12,0)</f>
        <v>0</v>
      </c>
    </row>
    <row r="25" spans="1:17" ht="17.25" customHeight="1" thickBot="1">
      <c r="B25" s="906"/>
      <c r="C25" s="907"/>
      <c r="D25" s="195" t="s">
        <v>338</v>
      </c>
      <c r="E25" s="196"/>
      <c r="F25" s="197" t="str">
        <f>IFERROR(F24/$E24,"")</f>
        <v/>
      </c>
      <c r="G25" s="197" t="str">
        <f t="shared" ref="G25:P25" si="6">IFERROR(G24/$E24,"")</f>
        <v/>
      </c>
      <c r="H25" s="197" t="str">
        <f t="shared" si="6"/>
        <v/>
      </c>
      <c r="I25" s="197" t="str">
        <f t="shared" si="6"/>
        <v/>
      </c>
      <c r="J25" s="197" t="str">
        <f t="shared" si="6"/>
        <v/>
      </c>
      <c r="K25" s="197" t="str">
        <f t="shared" si="6"/>
        <v/>
      </c>
      <c r="L25" s="197" t="str">
        <f t="shared" si="6"/>
        <v/>
      </c>
      <c r="M25" s="197" t="str">
        <f t="shared" si="6"/>
        <v/>
      </c>
      <c r="N25" s="197" t="str">
        <f t="shared" si="6"/>
        <v/>
      </c>
      <c r="O25" s="197" t="str">
        <f t="shared" si="6"/>
        <v/>
      </c>
      <c r="P25" s="198" t="str">
        <f t="shared" si="6"/>
        <v/>
      </c>
      <c r="Q25" s="199"/>
    </row>
    <row r="26" spans="1:17" ht="17.25" customHeight="1" thickTop="1" thickBot="1">
      <c r="B26" s="901" t="s">
        <v>342</v>
      </c>
      <c r="C26" s="902"/>
      <c r="D26" s="200"/>
      <c r="E26" s="201">
        <f>SUM(E12,E14,E16,E20,E22,E24)</f>
        <v>0</v>
      </c>
      <c r="F26" s="202">
        <f t="shared" ref="F26:P26" si="7">SUM(F12,F14,F16,F20,F22,F24)</f>
        <v>0</v>
      </c>
      <c r="G26" s="202">
        <f t="shared" si="7"/>
        <v>0</v>
      </c>
      <c r="H26" s="202">
        <f t="shared" si="7"/>
        <v>0</v>
      </c>
      <c r="I26" s="202">
        <f t="shared" si="7"/>
        <v>0</v>
      </c>
      <c r="J26" s="202">
        <f t="shared" si="7"/>
        <v>0</v>
      </c>
      <c r="K26" s="202">
        <f t="shared" si="7"/>
        <v>0</v>
      </c>
      <c r="L26" s="202">
        <f t="shared" si="7"/>
        <v>0</v>
      </c>
      <c r="M26" s="202">
        <f t="shared" si="7"/>
        <v>0</v>
      </c>
      <c r="N26" s="202">
        <f t="shared" si="7"/>
        <v>0</v>
      </c>
      <c r="O26" s="202">
        <f t="shared" si="7"/>
        <v>0</v>
      </c>
      <c r="P26" s="202">
        <f t="shared" si="7"/>
        <v>0</v>
      </c>
      <c r="Q26" s="203">
        <f>SUM(Q12,Q14,Q16,Q20,Q22,Q24)</f>
        <v>0</v>
      </c>
    </row>
    <row r="27" spans="1:17" ht="17.25" customHeight="1">
      <c r="B27" s="182"/>
      <c r="C27" s="182"/>
      <c r="D27" s="182"/>
      <c r="F27" s="204"/>
      <c r="G27" s="204"/>
      <c r="H27" s="204"/>
      <c r="I27" s="204"/>
      <c r="J27" s="204"/>
      <c r="K27" s="204"/>
      <c r="L27" s="204"/>
      <c r="M27" s="204"/>
      <c r="N27" s="204"/>
      <c r="O27" s="204"/>
      <c r="P27" s="204"/>
      <c r="Q27" s="205"/>
    </row>
    <row r="28" spans="1:17" ht="17.25" customHeight="1">
      <c r="B28" s="182"/>
      <c r="C28" s="182"/>
      <c r="D28" s="182"/>
      <c r="F28" s="204"/>
      <c r="G28" s="204"/>
      <c r="H28" s="204"/>
      <c r="I28" s="204"/>
      <c r="J28" s="204"/>
      <c r="K28" s="204"/>
      <c r="L28" s="204"/>
      <c r="M28" s="204"/>
      <c r="N28" s="204"/>
      <c r="O28" s="204"/>
      <c r="P28" s="204"/>
    </row>
    <row r="29" spans="1:17" ht="17.25" customHeight="1" thickBot="1">
      <c r="A29" s="184" t="s">
        <v>868</v>
      </c>
      <c r="E29" s="206"/>
    </row>
    <row r="30" spans="1:17" ht="17.25" customHeight="1">
      <c r="B30" s="885" t="s">
        <v>869</v>
      </c>
      <c r="C30" s="886"/>
      <c r="D30" s="887"/>
      <c r="E30" s="185">
        <v>4</v>
      </c>
      <c r="F30" s="207">
        <v>5</v>
      </c>
      <c r="G30" s="207">
        <v>6</v>
      </c>
      <c r="H30" s="187">
        <v>7</v>
      </c>
      <c r="I30" s="186">
        <v>8</v>
      </c>
      <c r="J30" s="186">
        <v>9</v>
      </c>
      <c r="K30" s="208">
        <v>10</v>
      </c>
      <c r="L30" s="186">
        <v>11</v>
      </c>
      <c r="M30" s="186">
        <v>12</v>
      </c>
      <c r="N30" s="186">
        <v>1</v>
      </c>
      <c r="O30" s="186">
        <v>2</v>
      </c>
      <c r="P30" s="187">
        <v>3</v>
      </c>
      <c r="Q30" s="891" t="s">
        <v>335</v>
      </c>
    </row>
    <row r="31" spans="1:17" ht="17.25" customHeight="1">
      <c r="B31" s="888"/>
      <c r="C31" s="889"/>
      <c r="D31" s="890"/>
      <c r="E31" s="893" t="s">
        <v>336</v>
      </c>
      <c r="F31" s="894"/>
      <c r="G31" s="894"/>
      <c r="H31" s="895"/>
      <c r="I31" s="896" t="s">
        <v>356</v>
      </c>
      <c r="J31" s="897"/>
      <c r="K31" s="897"/>
      <c r="L31" s="897"/>
      <c r="M31" s="897"/>
      <c r="N31" s="897"/>
      <c r="O31" s="897"/>
      <c r="P31" s="898"/>
      <c r="Q31" s="892"/>
    </row>
    <row r="32" spans="1:17" ht="18" customHeight="1">
      <c r="B32" s="879" t="str">
        <f>$B$12</f>
        <v>５歳児</v>
      </c>
      <c r="C32" s="880"/>
      <c r="D32" s="209" t="s">
        <v>337</v>
      </c>
      <c r="E32" s="441"/>
      <c r="F32" s="174"/>
      <c r="G32" s="174"/>
      <c r="H32" s="175"/>
      <c r="I32" s="225" t="str">
        <f t="shared" ref="I32:P32" si="8">IFERROR($E$32*I13,"")</f>
        <v/>
      </c>
      <c r="J32" s="225" t="str">
        <f t="shared" si="8"/>
        <v/>
      </c>
      <c r="K32" s="225" t="str">
        <f t="shared" si="8"/>
        <v/>
      </c>
      <c r="L32" s="225" t="str">
        <f t="shared" si="8"/>
        <v/>
      </c>
      <c r="M32" s="225" t="str">
        <f t="shared" si="8"/>
        <v/>
      </c>
      <c r="N32" s="225" t="str">
        <f t="shared" si="8"/>
        <v/>
      </c>
      <c r="O32" s="225" t="str">
        <f t="shared" si="8"/>
        <v/>
      </c>
      <c r="P32" s="226" t="str">
        <f t="shared" si="8"/>
        <v/>
      </c>
      <c r="Q32" s="210">
        <f t="shared" ref="Q32:Q38" si="9">ROUND(SUM(E32:P32)/12,0)</f>
        <v>0</v>
      </c>
    </row>
    <row r="33" spans="1:17" ht="18" customHeight="1">
      <c r="B33" s="879" t="str">
        <f>$B$14</f>
        <v>４歳児</v>
      </c>
      <c r="C33" s="880"/>
      <c r="D33" s="209" t="s">
        <v>337</v>
      </c>
      <c r="E33" s="441"/>
      <c r="F33" s="174"/>
      <c r="G33" s="174"/>
      <c r="H33" s="175"/>
      <c r="I33" s="225" t="str">
        <f>IFERROR($E$33*I15,"")</f>
        <v/>
      </c>
      <c r="J33" s="225" t="str">
        <f t="shared" ref="J33:P33" si="10">IFERROR($E$33*J15,"")</f>
        <v/>
      </c>
      <c r="K33" s="225" t="str">
        <f t="shared" si="10"/>
        <v/>
      </c>
      <c r="L33" s="225" t="str">
        <f t="shared" si="10"/>
        <v/>
      </c>
      <c r="M33" s="225" t="str">
        <f t="shared" si="10"/>
        <v/>
      </c>
      <c r="N33" s="225" t="str">
        <f t="shared" si="10"/>
        <v/>
      </c>
      <c r="O33" s="225" t="str">
        <f t="shared" si="10"/>
        <v/>
      </c>
      <c r="P33" s="226" t="str">
        <f t="shared" si="10"/>
        <v/>
      </c>
      <c r="Q33" s="210">
        <f t="shared" si="9"/>
        <v>0</v>
      </c>
    </row>
    <row r="34" spans="1:17" ht="18" customHeight="1">
      <c r="B34" s="899" t="str">
        <f>$B$16</f>
        <v>３歳児</v>
      </c>
      <c r="C34" s="903"/>
      <c r="D34" s="211" t="s">
        <v>337</v>
      </c>
      <c r="E34" s="441"/>
      <c r="F34" s="174"/>
      <c r="G34" s="174"/>
      <c r="H34" s="175"/>
      <c r="I34" s="225" t="str">
        <f t="shared" ref="I34:P34" si="11">IFERROR($E$34*I17,"")</f>
        <v/>
      </c>
      <c r="J34" s="225" t="str">
        <f t="shared" si="11"/>
        <v/>
      </c>
      <c r="K34" s="225" t="str">
        <f t="shared" si="11"/>
        <v/>
      </c>
      <c r="L34" s="225" t="str">
        <f t="shared" si="11"/>
        <v/>
      </c>
      <c r="M34" s="225" t="str">
        <f t="shared" si="11"/>
        <v/>
      </c>
      <c r="N34" s="225" t="str">
        <f t="shared" si="11"/>
        <v/>
      </c>
      <c r="O34" s="225" t="str">
        <f t="shared" si="11"/>
        <v/>
      </c>
      <c r="P34" s="226" t="str">
        <f t="shared" si="11"/>
        <v/>
      </c>
      <c r="Q34" s="210">
        <f t="shared" si="9"/>
        <v>0</v>
      </c>
    </row>
    <row r="35" spans="1:17" ht="18" customHeight="1">
      <c r="B35" s="212"/>
      <c r="C35" s="213" t="str">
        <f>$C$18</f>
        <v>うち満３歳児</v>
      </c>
      <c r="D35" s="209" t="s">
        <v>337</v>
      </c>
      <c r="E35" s="441"/>
      <c r="F35" s="174"/>
      <c r="G35" s="174"/>
      <c r="H35" s="175"/>
      <c r="I35" s="225" t="str">
        <f t="shared" ref="I35:P35" si="12">IFERROR($E$35*I19,"")</f>
        <v/>
      </c>
      <c r="J35" s="225" t="str">
        <f t="shared" si="12"/>
        <v/>
      </c>
      <c r="K35" s="225" t="str">
        <f t="shared" si="12"/>
        <v/>
      </c>
      <c r="L35" s="225" t="str">
        <f t="shared" si="12"/>
        <v/>
      </c>
      <c r="M35" s="225" t="str">
        <f t="shared" si="12"/>
        <v/>
      </c>
      <c r="N35" s="225" t="str">
        <f t="shared" si="12"/>
        <v/>
      </c>
      <c r="O35" s="225" t="str">
        <f t="shared" si="12"/>
        <v/>
      </c>
      <c r="P35" s="226" t="str">
        <f t="shared" si="12"/>
        <v/>
      </c>
      <c r="Q35" s="210">
        <f t="shared" si="9"/>
        <v>0</v>
      </c>
    </row>
    <row r="36" spans="1:17" ht="18" customHeight="1">
      <c r="B36" s="879" t="str">
        <f>$B$20</f>
        <v>２歳児</v>
      </c>
      <c r="C36" s="880"/>
      <c r="D36" s="209" t="s">
        <v>337</v>
      </c>
      <c r="E36" s="441"/>
      <c r="F36" s="178"/>
      <c r="G36" s="178"/>
      <c r="H36" s="175"/>
      <c r="I36" s="225" t="str">
        <f t="shared" ref="I36:P36" si="13">IFERROR($E$36*I21,"")</f>
        <v/>
      </c>
      <c r="J36" s="225" t="str">
        <f t="shared" si="13"/>
        <v/>
      </c>
      <c r="K36" s="225" t="str">
        <f t="shared" si="13"/>
        <v/>
      </c>
      <c r="L36" s="225" t="str">
        <f t="shared" si="13"/>
        <v/>
      </c>
      <c r="M36" s="225" t="str">
        <f t="shared" si="13"/>
        <v/>
      </c>
      <c r="N36" s="225" t="str">
        <f t="shared" si="13"/>
        <v/>
      </c>
      <c r="O36" s="225" t="str">
        <f t="shared" si="13"/>
        <v/>
      </c>
      <c r="P36" s="226" t="str">
        <f t="shared" si="13"/>
        <v/>
      </c>
      <c r="Q36" s="210">
        <f t="shared" si="9"/>
        <v>0</v>
      </c>
    </row>
    <row r="37" spans="1:17" ht="18" customHeight="1">
      <c r="B37" s="879" t="str">
        <f>$B$22</f>
        <v>１歳児</v>
      </c>
      <c r="C37" s="880"/>
      <c r="D37" s="209" t="s">
        <v>337</v>
      </c>
      <c r="E37" s="441"/>
      <c r="F37" s="178"/>
      <c r="G37" s="178"/>
      <c r="H37" s="175"/>
      <c r="I37" s="225" t="str">
        <f>IFERROR($E$37*I23,"")</f>
        <v/>
      </c>
      <c r="J37" s="225" t="str">
        <f t="shared" ref="J37:P37" si="14">IFERROR($E$37*J23,"")</f>
        <v/>
      </c>
      <c r="K37" s="225" t="str">
        <f t="shared" si="14"/>
        <v/>
      </c>
      <c r="L37" s="225" t="str">
        <f t="shared" si="14"/>
        <v/>
      </c>
      <c r="M37" s="225" t="str">
        <f t="shared" si="14"/>
        <v/>
      </c>
      <c r="N37" s="225" t="str">
        <f t="shared" si="14"/>
        <v/>
      </c>
      <c r="O37" s="225" t="str">
        <f t="shared" si="14"/>
        <v/>
      </c>
      <c r="P37" s="226" t="str">
        <f t="shared" si="14"/>
        <v/>
      </c>
      <c r="Q37" s="210">
        <f t="shared" si="9"/>
        <v>0</v>
      </c>
    </row>
    <row r="38" spans="1:17" ht="18" customHeight="1" thickBot="1">
      <c r="B38" s="881" t="str">
        <f>$B$24</f>
        <v>０歳児</v>
      </c>
      <c r="C38" s="882"/>
      <c r="D38" s="214" t="s">
        <v>337</v>
      </c>
      <c r="E38" s="442"/>
      <c r="F38" s="179"/>
      <c r="G38" s="179"/>
      <c r="H38" s="177"/>
      <c r="I38" s="242" t="str">
        <f t="shared" ref="I38:P38" si="15">IFERROR($E$38*I25,"")</f>
        <v/>
      </c>
      <c r="J38" s="242" t="str">
        <f t="shared" si="15"/>
        <v/>
      </c>
      <c r="K38" s="242" t="str">
        <f t="shared" si="15"/>
        <v/>
      </c>
      <c r="L38" s="242" t="str">
        <f t="shared" si="15"/>
        <v/>
      </c>
      <c r="M38" s="242" t="str">
        <f t="shared" si="15"/>
        <v/>
      </c>
      <c r="N38" s="242" t="str">
        <f t="shared" si="15"/>
        <v/>
      </c>
      <c r="O38" s="242" t="str">
        <f t="shared" si="15"/>
        <v/>
      </c>
      <c r="P38" s="231" t="str">
        <f t="shared" si="15"/>
        <v/>
      </c>
      <c r="Q38" s="215">
        <f t="shared" si="9"/>
        <v>0</v>
      </c>
    </row>
    <row r="39" spans="1:17" ht="18" customHeight="1" thickTop="1" thickBot="1">
      <c r="B39" s="883" t="s">
        <v>342</v>
      </c>
      <c r="C39" s="884"/>
      <c r="D39" s="216"/>
      <c r="E39" s="217">
        <f>SUM(E32:E34,E36:E38)</f>
        <v>0</v>
      </c>
      <c r="F39" s="218">
        <f>SUM(F32:F34,F36:F38)</f>
        <v>0</v>
      </c>
      <c r="G39" s="219">
        <f>SUM(G32:G34,G36:G38)</f>
        <v>0</v>
      </c>
      <c r="H39" s="220">
        <f>SUM(H32:H34,H36:H38)</f>
        <v>0</v>
      </c>
      <c r="I39" s="220">
        <f t="shared" ref="I39:P39" si="16">SUM(I32:I34,I36:I38)</f>
        <v>0</v>
      </c>
      <c r="J39" s="220">
        <f t="shared" si="16"/>
        <v>0</v>
      </c>
      <c r="K39" s="220">
        <f t="shared" si="16"/>
        <v>0</v>
      </c>
      <c r="L39" s="220">
        <f t="shared" si="16"/>
        <v>0</v>
      </c>
      <c r="M39" s="220">
        <f t="shared" si="16"/>
        <v>0</v>
      </c>
      <c r="N39" s="220">
        <f t="shared" si="16"/>
        <v>0</v>
      </c>
      <c r="O39" s="220">
        <f t="shared" si="16"/>
        <v>0</v>
      </c>
      <c r="P39" s="220">
        <f t="shared" si="16"/>
        <v>0</v>
      </c>
      <c r="Q39" s="221">
        <f>SUM(Q32:Q34,Q36:Q38)</f>
        <v>0</v>
      </c>
    </row>
    <row r="40" spans="1:17" ht="17.25" customHeight="1">
      <c r="B40" s="222" t="s">
        <v>344</v>
      </c>
    </row>
    <row r="41" spans="1:17" ht="17.25" customHeight="1"/>
    <row r="42" spans="1:17" ht="17.25" customHeight="1"/>
    <row r="43" spans="1:17" ht="17.25" customHeight="1"/>
    <row r="44" spans="1:17" ht="17.25" customHeight="1"/>
    <row r="45" spans="1:17" ht="17.25" customHeight="1" thickBot="1">
      <c r="A45" s="184" t="s">
        <v>345</v>
      </c>
      <c r="E45" s="206"/>
    </row>
    <row r="46" spans="1:17" ht="17.25" customHeight="1">
      <c r="B46" s="885" t="s">
        <v>869</v>
      </c>
      <c r="C46" s="886"/>
      <c r="D46" s="887"/>
      <c r="E46" s="185">
        <v>4</v>
      </c>
      <c r="F46" s="207">
        <v>5</v>
      </c>
      <c r="G46" s="207">
        <v>6</v>
      </c>
      <c r="H46" s="187">
        <v>7</v>
      </c>
      <c r="I46" s="186">
        <v>8</v>
      </c>
      <c r="J46" s="186">
        <v>9</v>
      </c>
      <c r="K46" s="208">
        <v>10</v>
      </c>
      <c r="L46" s="186">
        <v>11</v>
      </c>
      <c r="M46" s="186">
        <v>12</v>
      </c>
      <c r="N46" s="186">
        <v>1</v>
      </c>
      <c r="O46" s="186">
        <v>2</v>
      </c>
      <c r="P46" s="187">
        <v>3</v>
      </c>
      <c r="Q46" s="891" t="s">
        <v>335</v>
      </c>
    </row>
    <row r="47" spans="1:17" ht="17.25" customHeight="1">
      <c r="B47" s="888"/>
      <c r="C47" s="889"/>
      <c r="D47" s="890"/>
      <c r="E47" s="893" t="s">
        <v>336</v>
      </c>
      <c r="F47" s="894"/>
      <c r="G47" s="894"/>
      <c r="H47" s="895"/>
      <c r="I47" s="896" t="s">
        <v>346</v>
      </c>
      <c r="J47" s="897"/>
      <c r="K47" s="897"/>
      <c r="L47" s="897"/>
      <c r="M47" s="897"/>
      <c r="N47" s="897"/>
      <c r="O47" s="897"/>
      <c r="P47" s="898"/>
      <c r="Q47" s="892"/>
    </row>
    <row r="48" spans="1:17" ht="18" customHeight="1">
      <c r="B48" s="879" t="str">
        <f>$B$12</f>
        <v>５歳児</v>
      </c>
      <c r="C48" s="880"/>
      <c r="D48" s="223" t="s">
        <v>337</v>
      </c>
      <c r="E48" s="224">
        <f t="shared" ref="E48:H54" si="17">E32</f>
        <v>0</v>
      </c>
      <c r="F48" s="225">
        <f t="shared" si="17"/>
        <v>0</v>
      </c>
      <c r="G48" s="225">
        <f t="shared" si="17"/>
        <v>0</v>
      </c>
      <c r="H48" s="226">
        <f t="shared" si="17"/>
        <v>0</v>
      </c>
      <c r="I48" s="174"/>
      <c r="J48" s="174"/>
      <c r="K48" s="174"/>
      <c r="L48" s="174"/>
      <c r="M48" s="174"/>
      <c r="N48" s="174"/>
      <c r="O48" s="174"/>
      <c r="P48" s="175"/>
      <c r="Q48" s="210">
        <f t="shared" ref="Q48:Q54" si="18">ROUND(SUM(E48:P48)/12,0)</f>
        <v>0</v>
      </c>
    </row>
    <row r="49" spans="2:17" ht="18" customHeight="1">
      <c r="B49" s="879" t="str">
        <f>$B$14</f>
        <v>４歳児</v>
      </c>
      <c r="C49" s="880"/>
      <c r="D49" s="223" t="s">
        <v>337</v>
      </c>
      <c r="E49" s="224">
        <f t="shared" si="17"/>
        <v>0</v>
      </c>
      <c r="F49" s="225">
        <f t="shared" si="17"/>
        <v>0</v>
      </c>
      <c r="G49" s="225">
        <f t="shared" si="17"/>
        <v>0</v>
      </c>
      <c r="H49" s="226">
        <f t="shared" si="17"/>
        <v>0</v>
      </c>
      <c r="I49" s="174"/>
      <c r="J49" s="174"/>
      <c r="K49" s="174"/>
      <c r="L49" s="174"/>
      <c r="M49" s="174"/>
      <c r="N49" s="174"/>
      <c r="O49" s="174"/>
      <c r="P49" s="175"/>
      <c r="Q49" s="210">
        <f t="shared" si="18"/>
        <v>0</v>
      </c>
    </row>
    <row r="50" spans="2:17" ht="18" customHeight="1">
      <c r="B50" s="899" t="str">
        <f>$B$16</f>
        <v>３歳児</v>
      </c>
      <c r="C50" s="900"/>
      <c r="D50" s="223" t="s">
        <v>337</v>
      </c>
      <c r="E50" s="224">
        <f t="shared" si="17"/>
        <v>0</v>
      </c>
      <c r="F50" s="225">
        <f t="shared" si="17"/>
        <v>0</v>
      </c>
      <c r="G50" s="225">
        <f t="shared" si="17"/>
        <v>0</v>
      </c>
      <c r="H50" s="226">
        <f t="shared" si="17"/>
        <v>0</v>
      </c>
      <c r="I50" s="174"/>
      <c r="J50" s="174"/>
      <c r="K50" s="174"/>
      <c r="L50" s="174"/>
      <c r="M50" s="174"/>
      <c r="N50" s="174"/>
      <c r="O50" s="174"/>
      <c r="P50" s="175"/>
      <c r="Q50" s="210">
        <f t="shared" si="18"/>
        <v>0</v>
      </c>
    </row>
    <row r="51" spans="2:17" ht="18" customHeight="1">
      <c r="B51" s="212"/>
      <c r="C51" s="213" t="str">
        <f>$C$18</f>
        <v>うち満３歳児</v>
      </c>
      <c r="D51" s="223" t="s">
        <v>337</v>
      </c>
      <c r="E51" s="224">
        <f t="shared" si="17"/>
        <v>0</v>
      </c>
      <c r="F51" s="225">
        <f t="shared" si="17"/>
        <v>0</v>
      </c>
      <c r="G51" s="225">
        <f t="shared" si="17"/>
        <v>0</v>
      </c>
      <c r="H51" s="226">
        <f t="shared" si="17"/>
        <v>0</v>
      </c>
      <c r="I51" s="174"/>
      <c r="J51" s="174"/>
      <c r="K51" s="174"/>
      <c r="L51" s="174"/>
      <c r="M51" s="174"/>
      <c r="N51" s="174"/>
      <c r="O51" s="174"/>
      <c r="P51" s="175"/>
      <c r="Q51" s="210">
        <f t="shared" si="18"/>
        <v>0</v>
      </c>
    </row>
    <row r="52" spans="2:17" ht="18" customHeight="1">
      <c r="B52" s="879" t="str">
        <f>$B$20</f>
        <v>２歳児</v>
      </c>
      <c r="C52" s="880"/>
      <c r="D52" s="223" t="s">
        <v>337</v>
      </c>
      <c r="E52" s="224">
        <f t="shared" si="17"/>
        <v>0</v>
      </c>
      <c r="F52" s="227">
        <f t="shared" si="17"/>
        <v>0</v>
      </c>
      <c r="G52" s="227">
        <f t="shared" si="17"/>
        <v>0</v>
      </c>
      <c r="H52" s="226">
        <f t="shared" si="17"/>
        <v>0</v>
      </c>
      <c r="I52" s="174"/>
      <c r="J52" s="174"/>
      <c r="K52" s="174"/>
      <c r="L52" s="174"/>
      <c r="M52" s="174"/>
      <c r="N52" s="174"/>
      <c r="O52" s="174"/>
      <c r="P52" s="175"/>
      <c r="Q52" s="210">
        <f t="shared" si="18"/>
        <v>0</v>
      </c>
    </row>
    <row r="53" spans="2:17" ht="18" customHeight="1">
      <c r="B53" s="879" t="str">
        <f>$B$22</f>
        <v>１歳児</v>
      </c>
      <c r="C53" s="880"/>
      <c r="D53" s="223" t="s">
        <v>337</v>
      </c>
      <c r="E53" s="224">
        <f t="shared" si="17"/>
        <v>0</v>
      </c>
      <c r="F53" s="227">
        <f t="shared" si="17"/>
        <v>0</v>
      </c>
      <c r="G53" s="227">
        <f t="shared" si="17"/>
        <v>0</v>
      </c>
      <c r="H53" s="226">
        <f t="shared" si="17"/>
        <v>0</v>
      </c>
      <c r="I53" s="174"/>
      <c r="J53" s="174"/>
      <c r="K53" s="174"/>
      <c r="L53" s="174"/>
      <c r="M53" s="174"/>
      <c r="N53" s="174"/>
      <c r="O53" s="174"/>
      <c r="P53" s="175"/>
      <c r="Q53" s="210">
        <f t="shared" si="18"/>
        <v>0</v>
      </c>
    </row>
    <row r="54" spans="2:17" ht="18" customHeight="1" thickBot="1">
      <c r="B54" s="881" t="str">
        <f>$B$24</f>
        <v>０歳児</v>
      </c>
      <c r="C54" s="882"/>
      <c r="D54" s="228" t="s">
        <v>337</v>
      </c>
      <c r="E54" s="229">
        <f t="shared" si="17"/>
        <v>0</v>
      </c>
      <c r="F54" s="230">
        <f t="shared" si="17"/>
        <v>0</v>
      </c>
      <c r="G54" s="230">
        <f t="shared" si="17"/>
        <v>0</v>
      </c>
      <c r="H54" s="231">
        <f t="shared" si="17"/>
        <v>0</v>
      </c>
      <c r="I54" s="176"/>
      <c r="J54" s="176"/>
      <c r="K54" s="176"/>
      <c r="L54" s="176"/>
      <c r="M54" s="176"/>
      <c r="N54" s="176"/>
      <c r="O54" s="176"/>
      <c r="P54" s="177"/>
      <c r="Q54" s="215">
        <f t="shared" si="18"/>
        <v>0</v>
      </c>
    </row>
    <row r="55" spans="2:17" ht="18" customHeight="1" thickTop="1" thickBot="1">
      <c r="B55" s="901" t="s">
        <v>342</v>
      </c>
      <c r="C55" s="902"/>
      <c r="D55" s="232"/>
      <c r="E55" s="217">
        <f>SUM(E48:E50,E52:E54)</f>
        <v>0</v>
      </c>
      <c r="F55" s="218">
        <f t="shared" ref="F55:P55" si="19">SUM(F48:F50,F52:F54)</f>
        <v>0</v>
      </c>
      <c r="G55" s="219">
        <f t="shared" si="19"/>
        <v>0</v>
      </c>
      <c r="H55" s="233">
        <f t="shared" si="19"/>
        <v>0</v>
      </c>
      <c r="I55" s="233">
        <f t="shared" si="19"/>
        <v>0</v>
      </c>
      <c r="J55" s="233">
        <f t="shared" si="19"/>
        <v>0</v>
      </c>
      <c r="K55" s="233">
        <f t="shared" si="19"/>
        <v>0</v>
      </c>
      <c r="L55" s="233">
        <f t="shared" si="19"/>
        <v>0</v>
      </c>
      <c r="M55" s="233">
        <f t="shared" si="19"/>
        <v>0</v>
      </c>
      <c r="N55" s="233">
        <f t="shared" si="19"/>
        <v>0</v>
      </c>
      <c r="O55" s="233">
        <f t="shared" si="19"/>
        <v>0</v>
      </c>
      <c r="P55" s="233">
        <f t="shared" si="19"/>
        <v>0</v>
      </c>
      <c r="Q55" s="221">
        <f>SUM(Q48:Q50,Q52:Q54)</f>
        <v>0</v>
      </c>
    </row>
    <row r="56" spans="2:17" ht="17.25" customHeight="1">
      <c r="B56" s="222" t="s">
        <v>344</v>
      </c>
      <c r="E56" s="234"/>
      <c r="F56" s="234"/>
      <c r="G56" s="234"/>
      <c r="H56" s="234"/>
      <c r="I56" s="234"/>
      <c r="J56" s="234"/>
      <c r="K56" s="234"/>
      <c r="L56" s="234"/>
      <c r="M56" s="234"/>
      <c r="N56" s="234"/>
      <c r="O56" s="234"/>
      <c r="P56" s="234"/>
      <c r="Q56" s="234"/>
    </row>
    <row r="57" spans="2:17" ht="17.25" customHeight="1">
      <c r="E57" s="234"/>
      <c r="F57" s="234"/>
      <c r="G57" s="234"/>
      <c r="H57" s="234"/>
      <c r="I57" s="234"/>
      <c r="J57" s="234"/>
      <c r="K57" s="234"/>
      <c r="L57" s="234"/>
      <c r="M57" s="234"/>
      <c r="N57" s="234"/>
      <c r="O57" s="234"/>
      <c r="P57" s="234"/>
      <c r="Q57" s="234"/>
    </row>
    <row r="58" spans="2:17" ht="17.25" customHeight="1" thickBot="1">
      <c r="B58" s="235" t="s">
        <v>347</v>
      </c>
      <c r="C58" s="236"/>
    </row>
    <row r="59" spans="2:17" ht="94.5" customHeight="1" thickBot="1">
      <c r="B59" s="876" t="s">
        <v>348</v>
      </c>
      <c r="C59" s="877"/>
      <c r="D59" s="877"/>
      <c r="E59" s="877"/>
      <c r="F59" s="877"/>
      <c r="G59" s="877"/>
      <c r="H59" s="877"/>
      <c r="I59" s="877"/>
      <c r="J59" s="877"/>
      <c r="K59" s="877"/>
      <c r="L59" s="877"/>
      <c r="M59" s="877"/>
      <c r="N59" s="877"/>
      <c r="O59" s="877"/>
      <c r="P59" s="877"/>
      <c r="Q59" s="878"/>
    </row>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sheetData>
  <mergeCells count="38">
    <mergeCell ref="Q46:Q47"/>
    <mergeCell ref="E47:H47"/>
    <mergeCell ref="I47:P47"/>
    <mergeCell ref="B59:Q59"/>
    <mergeCell ref="B49:C49"/>
    <mergeCell ref="B50:C50"/>
    <mergeCell ref="B52:C52"/>
    <mergeCell ref="B53:C53"/>
    <mergeCell ref="B54:C54"/>
    <mergeCell ref="B55:C55"/>
    <mergeCell ref="B48:C48"/>
    <mergeCell ref="B38:C38"/>
    <mergeCell ref="B39:C39"/>
    <mergeCell ref="B46:D47"/>
    <mergeCell ref="B22:C23"/>
    <mergeCell ref="B24:C25"/>
    <mergeCell ref="B26:C26"/>
    <mergeCell ref="B30:D31"/>
    <mergeCell ref="B32:C32"/>
    <mergeCell ref="B33:C33"/>
    <mergeCell ref="B34:C34"/>
    <mergeCell ref="B36:C36"/>
    <mergeCell ref="B37:C37"/>
    <mergeCell ref="Q30:Q31"/>
    <mergeCell ref="E31:H31"/>
    <mergeCell ref="I31:P31"/>
    <mergeCell ref="B20:C21"/>
    <mergeCell ref="A1:Q1"/>
    <mergeCell ref="H3:L3"/>
    <mergeCell ref="M3:Q3"/>
    <mergeCell ref="B10:D11"/>
    <mergeCell ref="Q10:Q11"/>
    <mergeCell ref="E11:P11"/>
    <mergeCell ref="B12:C13"/>
    <mergeCell ref="B14:C15"/>
    <mergeCell ref="B16:C17"/>
    <mergeCell ref="B18:B19"/>
    <mergeCell ref="C18:C19"/>
  </mergeCells>
  <phoneticPr fontId="4"/>
  <dataValidations count="1">
    <dataValidation type="whole" allowBlank="1" showInputMessage="1" showErrorMessage="1" sqref="E12:P12 E14:P14 E16:P16 E18:P18 E20:P20 E22:P22 E24:P24 E32:H38 I48:P54" xr:uid="{C1CADE8B-E2A5-46C7-8B4E-B02F5DAA9AC2}">
      <formula1>0</formula1>
      <formula2>1000</formula2>
    </dataValidation>
  </dataValidations>
  <pageMargins left="0.61" right="0.27559055118110237" top="0.55118110236220474" bottom="0.19685039370078741" header="0.31496062992125984" footer="0.19685039370078741"/>
  <pageSetup paperSize="9" scale="71"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V62"/>
  <sheetViews>
    <sheetView view="pageBreakPreview" zoomScaleNormal="70" zoomScaleSheetLayoutView="100" workbookViewId="0">
      <selection activeCell="E3" sqref="E3:E4"/>
    </sheetView>
  </sheetViews>
  <sheetFormatPr defaultRowHeight="18.75"/>
  <cols>
    <col min="1" max="1" width="3.5" customWidth="1"/>
    <col min="4" max="6" width="15.625" customWidth="1"/>
    <col min="8" max="9" width="18.375" customWidth="1"/>
    <col min="12" max="13" width="19.125" customWidth="1"/>
    <col min="14" max="14" width="3.375" customWidth="1"/>
    <col min="16" max="16" width="15.625" customWidth="1"/>
    <col min="19" max="19" width="15.625" customWidth="1"/>
    <col min="22" max="22" width="18.375" customWidth="1"/>
  </cols>
  <sheetData>
    <row r="1" spans="1:22" ht="33">
      <c r="A1" s="124" t="s">
        <v>278</v>
      </c>
      <c r="B1" s="125"/>
      <c r="C1" s="125"/>
      <c r="D1" s="125"/>
      <c r="E1" s="125"/>
      <c r="F1" s="125"/>
      <c r="G1" s="125"/>
      <c r="H1" s="125"/>
      <c r="I1" s="125"/>
      <c r="J1" s="125"/>
      <c r="K1" s="125"/>
      <c r="L1" s="125"/>
      <c r="M1" s="125"/>
    </row>
    <row r="3" spans="1:22" ht="19.5" thickBot="1">
      <c r="B3" t="s">
        <v>81</v>
      </c>
      <c r="E3" s="1605" t="s">
        <v>901</v>
      </c>
    </row>
    <row r="4" spans="1:22" ht="19.5" thickBot="1">
      <c r="B4" s="69" t="s">
        <v>74</v>
      </c>
      <c r="C4" s="75"/>
      <c r="D4" s="875"/>
      <c r="E4" s="1606">
        <f>処遇改善等加算に係る経験年数算定表!AF90</f>
        <v>0</v>
      </c>
    </row>
    <row r="5" spans="1:22" ht="19.5" thickBot="1">
      <c r="B5" s="69" t="s">
        <v>79</v>
      </c>
      <c r="C5" s="75"/>
      <c r="D5" s="427"/>
      <c r="E5" t="s">
        <v>84</v>
      </c>
    </row>
    <row r="6" spans="1:22" ht="19.5" thickBot="1">
      <c r="B6" s="75"/>
      <c r="C6" s="75"/>
      <c r="D6" s="65" t="s">
        <v>286</v>
      </c>
      <c r="E6" s="65" t="s">
        <v>287</v>
      </c>
      <c r="F6" s="65" t="s">
        <v>288</v>
      </c>
      <c r="H6" s="168" t="s">
        <v>281</v>
      </c>
      <c r="I6" s="71">
        <f>SUM($D$10)</f>
        <v>0</v>
      </c>
      <c r="J6" s="65" t="e">
        <f>VLOOKUP($I$6,【リスト】!$K$2:$L$24,2,TRUE)</f>
        <v>#N/A</v>
      </c>
      <c r="K6" s="65"/>
      <c r="L6" s="65"/>
      <c r="M6" s="65"/>
    </row>
    <row r="7" spans="1:22" ht="19.5" thickBot="1">
      <c r="B7" s="69" t="s">
        <v>78</v>
      </c>
      <c r="C7" s="75"/>
      <c r="D7" s="429"/>
      <c r="E7" s="429"/>
      <c r="F7" s="429"/>
      <c r="H7" s="168" t="s">
        <v>306</v>
      </c>
      <c r="I7" s="71">
        <f>SUM($E$10:$F$10)</f>
        <v>0</v>
      </c>
      <c r="J7" s="65" t="e">
        <f>VLOOKUP($I$7,【リスト】!$I$2:$J$25,2,TRUE)</f>
        <v>#N/A</v>
      </c>
      <c r="K7" s="65"/>
      <c r="L7" s="65"/>
      <c r="M7" s="65"/>
    </row>
    <row r="8" spans="1:22" ht="19.5" thickBot="1">
      <c r="B8" s="69" t="s">
        <v>779</v>
      </c>
      <c r="C8" s="163"/>
      <c r="D8" s="164"/>
      <c r="E8" s="428"/>
      <c r="F8" s="428"/>
      <c r="H8" s="168" t="s">
        <v>307</v>
      </c>
      <c r="I8" s="71">
        <f>SUM($E$7:$F$7)</f>
        <v>0</v>
      </c>
      <c r="J8" s="65" t="e">
        <f>VLOOKUP($I$8,【リスト】!$I$2:$J$25,2,TRUE)</f>
        <v>#N/A</v>
      </c>
      <c r="K8" s="65"/>
      <c r="L8" s="65"/>
      <c r="M8" s="65"/>
    </row>
    <row r="9" spans="1:22" ht="19.5" thickBot="1">
      <c r="B9" s="69" t="s">
        <v>780</v>
      </c>
      <c r="C9" s="163"/>
      <c r="D9" s="164"/>
      <c r="E9" s="428"/>
      <c r="F9" s="428"/>
      <c r="H9" s="168" t="s">
        <v>781</v>
      </c>
      <c r="I9" s="71">
        <f>SUM($E$8:$F$8)</f>
        <v>0</v>
      </c>
      <c r="J9" s="65" t="e">
        <f>VLOOKUP($I$10,【リスト】!$I$2:$J$25,2,TRUE)</f>
        <v>#N/A</v>
      </c>
      <c r="K9" s="65"/>
      <c r="L9" s="65"/>
      <c r="M9" s="65"/>
    </row>
    <row r="10" spans="1:22">
      <c r="B10" s="69" t="s">
        <v>80</v>
      </c>
      <c r="C10" s="163"/>
      <c r="D10" s="165">
        <f>SUM(D7)</f>
        <v>0</v>
      </c>
      <c r="E10" s="166">
        <f>IF($D$5=【リスト】!$B$3,SUM(E7:E9),SUM(E7))</f>
        <v>0</v>
      </c>
      <c r="F10" s="166">
        <f>IF($D$5=【リスト】!$B$3,SUM(F7:F9),SUM(F7))</f>
        <v>0</v>
      </c>
      <c r="H10" s="168" t="s">
        <v>782</v>
      </c>
      <c r="I10" s="71">
        <f>SUM($E$9:$F$9)</f>
        <v>0</v>
      </c>
      <c r="J10" s="65" t="e">
        <f>VLOOKUP($I$10,【リスト】!$I$2:$J$25,2,TRUE)</f>
        <v>#N/A</v>
      </c>
      <c r="K10" s="65"/>
      <c r="L10" s="65"/>
      <c r="M10" s="65"/>
    </row>
    <row r="11" spans="1:22">
      <c r="H11" s="168" t="s">
        <v>282</v>
      </c>
      <c r="I11" s="71">
        <f>SUM($D$10:$E$10)</f>
        <v>0</v>
      </c>
      <c r="J11" s="65" t="e">
        <f>VLOOKUP($I$11,【リスト】!$K$2:$L$24,2,TRUE)</f>
        <v>#N/A</v>
      </c>
      <c r="K11" s="65"/>
      <c r="L11" s="65"/>
      <c r="M11" s="65"/>
    </row>
    <row r="12" spans="1:22">
      <c r="B12" s="64" t="s">
        <v>284</v>
      </c>
      <c r="H12" s="168" t="s">
        <v>283</v>
      </c>
      <c r="I12" s="71">
        <f>SUM($D$10:$F$10)</f>
        <v>0</v>
      </c>
      <c r="O12" s="238" t="s">
        <v>358</v>
      </c>
      <c r="P12" s="238"/>
      <c r="Q12" s="238"/>
      <c r="R12" s="238"/>
      <c r="S12" s="238"/>
    </row>
    <row r="13" spans="1:22" ht="19.5" thickBot="1">
      <c r="C13" s="70" t="s">
        <v>86</v>
      </c>
      <c r="D13" s="77" t="s">
        <v>289</v>
      </c>
      <c r="H13" s="61"/>
      <c r="I13" s="169"/>
      <c r="O13" s="239" t="s">
        <v>360</v>
      </c>
      <c r="P13" s="240" t="s">
        <v>362</v>
      </c>
      <c r="Q13" s="238"/>
      <c r="R13" s="239" t="s">
        <v>784</v>
      </c>
      <c r="S13" s="240" t="s">
        <v>362</v>
      </c>
      <c r="U13" s="239" t="s">
        <v>783</v>
      </c>
      <c r="V13" s="240" t="s">
        <v>362</v>
      </c>
    </row>
    <row r="14" spans="1:22" ht="19.5" thickBot="1">
      <c r="C14" s="76" t="s">
        <v>304</v>
      </c>
      <c r="D14" s="429"/>
      <c r="H14" s="61"/>
      <c r="I14" s="169"/>
      <c r="O14" s="241">
        <v>0</v>
      </c>
      <c r="P14" s="237">
        <f>'1-1_児童数計算表'!$Q$38</f>
        <v>0</v>
      </c>
      <c r="Q14" s="238"/>
      <c r="R14" s="241">
        <v>0</v>
      </c>
      <c r="S14" s="237">
        <f>'1-2_児童数計算表_分園1'!$Q$38</f>
        <v>0</v>
      </c>
      <c r="U14" s="241">
        <v>0</v>
      </c>
      <c r="V14" s="237">
        <f>'1-2_児童数計算表_分園2'!$Q$38</f>
        <v>0</v>
      </c>
    </row>
    <row r="15" spans="1:22" ht="19.5" thickBot="1">
      <c r="C15" s="76">
        <v>3</v>
      </c>
      <c r="D15" s="429"/>
      <c r="E15" t="s">
        <v>305</v>
      </c>
      <c r="H15" s="61"/>
      <c r="I15" s="169"/>
      <c r="O15" s="241">
        <v>1</v>
      </c>
      <c r="P15" s="237">
        <f>'1-1_児童数計算表'!$Q$37</f>
        <v>0</v>
      </c>
      <c r="Q15" s="238"/>
      <c r="R15" s="241">
        <v>1</v>
      </c>
      <c r="S15" s="237">
        <f>'1-2_児童数計算表_分園1'!$Q$37</f>
        <v>0</v>
      </c>
      <c r="U15" s="241">
        <v>1</v>
      </c>
      <c r="V15" s="237">
        <f>'1-2_児童数計算表_分園2'!$Q$37</f>
        <v>0</v>
      </c>
    </row>
    <row r="16" spans="1:22" ht="19.5" thickBot="1">
      <c r="C16" s="76">
        <v>4</v>
      </c>
      <c r="D16" s="429"/>
      <c r="H16" s="61"/>
      <c r="I16" s="169"/>
      <c r="O16" s="241">
        <v>2</v>
      </c>
      <c r="P16" s="237">
        <f>'1-1_児童数計算表'!$Q$36</f>
        <v>0</v>
      </c>
      <c r="Q16" s="238"/>
      <c r="R16" s="241">
        <v>2</v>
      </c>
      <c r="S16" s="237">
        <f>'1-2_児童数計算表_分園1'!$Q$36</f>
        <v>0</v>
      </c>
      <c r="U16" s="241">
        <v>2</v>
      </c>
      <c r="V16" s="237">
        <f>'1-2_児童数計算表_分園2'!$Q$36</f>
        <v>0</v>
      </c>
    </row>
    <row r="17" spans="2:22" ht="19.5" thickBot="1">
      <c r="C17" s="76">
        <v>5</v>
      </c>
      <c r="D17" s="429"/>
      <c r="H17" s="61"/>
      <c r="I17" s="169"/>
      <c r="O17" s="241" t="s">
        <v>304</v>
      </c>
      <c r="P17" s="237">
        <f>'1-1_児童数計算表'!$Q$35</f>
        <v>0</v>
      </c>
      <c r="Q17" s="238"/>
      <c r="R17" s="241" t="s">
        <v>304</v>
      </c>
      <c r="S17" s="237">
        <f>'1-2_児童数計算表_分園1'!$Q$35</f>
        <v>0</v>
      </c>
      <c r="U17" s="241" t="s">
        <v>304</v>
      </c>
      <c r="V17" s="237">
        <f>'1-2_児童数計算表_分園2'!$Q$35</f>
        <v>0</v>
      </c>
    </row>
    <row r="18" spans="2:22" ht="19.5" thickBot="1">
      <c r="C18" s="70" t="s">
        <v>85</v>
      </c>
      <c r="D18" s="78">
        <f>SUM(D14:D17)</f>
        <v>0</v>
      </c>
      <c r="H18" s="61"/>
      <c r="I18" s="169"/>
      <c r="O18" s="241">
        <v>3</v>
      </c>
      <c r="P18" s="237">
        <f>'1-1_児童数計算表'!$Q$34-'1-1_児童数計算表'!$Q$35</f>
        <v>0</v>
      </c>
      <c r="Q18" s="238"/>
      <c r="R18" s="241">
        <v>3</v>
      </c>
      <c r="S18" s="237">
        <f>'1-2_児童数計算表_分園1'!$Q$34-'1-2_児童数計算表_分園1'!$Q$35</f>
        <v>0</v>
      </c>
      <c r="U18" s="241">
        <v>3</v>
      </c>
      <c r="V18" s="237">
        <f>'1-2_児童数計算表_分園2'!$Q$34-'1-2_児童数計算表_分園2'!$Q$35</f>
        <v>0</v>
      </c>
    </row>
    <row r="19" spans="2:22" ht="19.5" thickBot="1">
      <c r="H19" s="61"/>
      <c r="I19" s="169"/>
      <c r="O19" s="241">
        <v>4</v>
      </c>
      <c r="P19" s="237">
        <f>'1-1_児童数計算表'!$Q$33</f>
        <v>0</v>
      </c>
      <c r="Q19" s="238"/>
      <c r="R19" s="241">
        <v>4</v>
      </c>
      <c r="S19" s="237">
        <f>'1-2_児童数計算表_分園1'!$Q$33</f>
        <v>0</v>
      </c>
      <c r="U19" s="241">
        <v>4</v>
      </c>
      <c r="V19" s="237">
        <f>'1-2_児童数計算表_分園2'!$Q$33</f>
        <v>0</v>
      </c>
    </row>
    <row r="20" spans="2:22" ht="19.5" thickBot="1">
      <c r="B20" s="64" t="s">
        <v>285</v>
      </c>
      <c r="O20" s="241">
        <v>5</v>
      </c>
      <c r="P20" s="237">
        <f>'1-1_児童数計算表'!$Q$32</f>
        <v>0</v>
      </c>
      <c r="Q20" s="238"/>
      <c r="R20" s="241">
        <v>5</v>
      </c>
      <c r="S20" s="237">
        <f>'1-2_児童数計算表_分園1'!$Q$32</f>
        <v>0</v>
      </c>
      <c r="U20" s="241">
        <v>5</v>
      </c>
      <c r="V20" s="237">
        <f>'1-2_児童数計算表_分園2'!$Q$32</f>
        <v>0</v>
      </c>
    </row>
    <row r="21" spans="2:22" ht="19.5" thickBot="1">
      <c r="C21" s="70" t="s">
        <v>86</v>
      </c>
      <c r="D21" s="77" t="s">
        <v>82</v>
      </c>
      <c r="E21" s="77" t="s">
        <v>83</v>
      </c>
      <c r="G21" s="70" t="s">
        <v>785</v>
      </c>
      <c r="H21" s="77" t="s">
        <v>82</v>
      </c>
      <c r="I21" s="77" t="s">
        <v>83</v>
      </c>
      <c r="K21" s="70" t="s">
        <v>786</v>
      </c>
      <c r="L21" s="77" t="s">
        <v>82</v>
      </c>
      <c r="M21" s="77" t="s">
        <v>83</v>
      </c>
      <c r="O21" s="238"/>
      <c r="P21" s="238"/>
      <c r="Q21" s="238"/>
      <c r="R21" s="238"/>
      <c r="S21" s="238"/>
      <c r="U21" s="238"/>
      <c r="V21" s="238"/>
    </row>
    <row r="22" spans="2:22" ht="19.5" thickBot="1">
      <c r="C22" s="76">
        <v>0</v>
      </c>
      <c r="D22" s="429"/>
      <c r="E22" s="429"/>
      <c r="G22" s="76">
        <v>0</v>
      </c>
      <c r="H22" s="428"/>
      <c r="I22" s="428"/>
      <c r="K22" s="76">
        <v>0</v>
      </c>
      <c r="L22" s="428"/>
      <c r="M22" s="428"/>
      <c r="O22" s="238" t="s">
        <v>359</v>
      </c>
      <c r="P22" s="238"/>
      <c r="Q22" s="238"/>
      <c r="R22" s="238"/>
      <c r="S22" s="238"/>
      <c r="U22" s="238"/>
      <c r="V22" s="238"/>
    </row>
    <row r="23" spans="2:22" ht="19.5" thickBot="1">
      <c r="C23" s="76">
        <v>1</v>
      </c>
      <c r="D23" s="429"/>
      <c r="E23" s="429"/>
      <c r="G23" s="76">
        <v>1</v>
      </c>
      <c r="H23" s="428"/>
      <c r="I23" s="428"/>
      <c r="K23" s="76">
        <v>1</v>
      </c>
      <c r="L23" s="428"/>
      <c r="M23" s="428"/>
      <c r="O23" s="239" t="s">
        <v>360</v>
      </c>
      <c r="P23" s="240" t="s">
        <v>362</v>
      </c>
      <c r="Q23" s="238"/>
      <c r="R23" s="239" t="s">
        <v>361</v>
      </c>
      <c r="S23" s="240" t="s">
        <v>362</v>
      </c>
      <c r="U23" s="239" t="s">
        <v>361</v>
      </c>
      <c r="V23" s="240" t="s">
        <v>362</v>
      </c>
    </row>
    <row r="24" spans="2:22" ht="19.5" thickBot="1">
      <c r="C24" s="76">
        <v>2</v>
      </c>
      <c r="D24" s="429"/>
      <c r="E24" s="429"/>
      <c r="G24" s="76">
        <v>2</v>
      </c>
      <c r="H24" s="428"/>
      <c r="I24" s="428"/>
      <c r="K24" s="76">
        <v>2</v>
      </c>
      <c r="L24" s="428"/>
      <c r="M24" s="428"/>
      <c r="O24" s="241">
        <v>0</v>
      </c>
      <c r="P24" s="237">
        <f>'1-1_児童数計算表'!$Q$54</f>
        <v>0</v>
      </c>
      <c r="Q24" s="238"/>
      <c r="R24" s="241">
        <v>0</v>
      </c>
      <c r="S24" s="237">
        <f>'1-2_児童数計算表_分園1'!$Q$54</f>
        <v>0</v>
      </c>
      <c r="U24" s="241">
        <v>0</v>
      </c>
      <c r="V24" s="237">
        <f>'1-2_児童数計算表_分園2'!$Q$54</f>
        <v>0</v>
      </c>
    </row>
    <row r="25" spans="2:22" ht="19.5" thickBot="1">
      <c r="C25" s="76">
        <v>3</v>
      </c>
      <c r="D25" s="429"/>
      <c r="E25" s="429"/>
      <c r="G25" s="76">
        <v>3</v>
      </c>
      <c r="H25" s="428"/>
      <c r="I25" s="428"/>
      <c r="K25" s="76">
        <v>3</v>
      </c>
      <c r="L25" s="428"/>
      <c r="M25" s="428"/>
      <c r="O25" s="241">
        <v>1</v>
      </c>
      <c r="P25" s="237">
        <f>'1-1_児童数計算表'!$Q$53</f>
        <v>0</v>
      </c>
      <c r="Q25" s="238"/>
      <c r="R25" s="241">
        <v>1</v>
      </c>
      <c r="S25" s="237">
        <f>'1-2_児童数計算表_分園1'!$Q$53</f>
        <v>0</v>
      </c>
      <c r="U25" s="241">
        <v>1</v>
      </c>
      <c r="V25" s="237">
        <f>'1-2_児童数計算表_分園2'!$Q$53</f>
        <v>0</v>
      </c>
    </row>
    <row r="26" spans="2:22" ht="19.5" thickBot="1">
      <c r="C26" s="76">
        <v>4</v>
      </c>
      <c r="D26" s="429"/>
      <c r="E26" s="429"/>
      <c r="G26" s="76">
        <v>4</v>
      </c>
      <c r="H26" s="428"/>
      <c r="I26" s="428"/>
      <c r="K26" s="76">
        <v>4</v>
      </c>
      <c r="L26" s="428"/>
      <c r="M26" s="428"/>
      <c r="O26" s="241">
        <v>2</v>
      </c>
      <c r="P26" s="237">
        <f>'1-1_児童数計算表'!$Q$52</f>
        <v>0</v>
      </c>
      <c r="Q26" s="238"/>
      <c r="R26" s="241">
        <v>2</v>
      </c>
      <c r="S26" s="237">
        <f>'1-2_児童数計算表_分園1'!$Q$52</f>
        <v>0</v>
      </c>
      <c r="U26" s="241">
        <v>2</v>
      </c>
      <c r="V26" s="237">
        <f>'1-2_児童数計算表_分園2'!$Q$52</f>
        <v>0</v>
      </c>
    </row>
    <row r="27" spans="2:22" ht="19.5" thickBot="1">
      <c r="C27" s="76">
        <v>5</v>
      </c>
      <c r="D27" s="429"/>
      <c r="E27" s="429"/>
      <c r="G27" s="76">
        <v>5</v>
      </c>
      <c r="H27" s="428"/>
      <c r="I27" s="428"/>
      <c r="K27" s="76">
        <v>5</v>
      </c>
      <c r="L27" s="428"/>
      <c r="M27" s="428"/>
      <c r="O27" s="241" t="s">
        <v>304</v>
      </c>
      <c r="P27" s="237">
        <f>'1-1_児童数計算表'!$Q$51</f>
        <v>0</v>
      </c>
      <c r="Q27" s="238"/>
      <c r="R27" s="241" t="s">
        <v>304</v>
      </c>
      <c r="S27" s="237">
        <f>'1-2_児童数計算表_分園1'!$Q$51</f>
        <v>0</v>
      </c>
      <c r="U27" s="241" t="s">
        <v>304</v>
      </c>
      <c r="V27" s="237">
        <f>'1-2_児童数計算表_分園2'!$Q$51</f>
        <v>0</v>
      </c>
    </row>
    <row r="28" spans="2:22" ht="19.5" thickBot="1">
      <c r="C28" s="70" t="s">
        <v>85</v>
      </c>
      <c r="D28" s="78">
        <f>SUM(D22:D27)</f>
        <v>0</v>
      </c>
      <c r="E28" s="78">
        <f>SUM(E22:E27)</f>
        <v>0</v>
      </c>
      <c r="G28" s="70" t="s">
        <v>85</v>
      </c>
      <c r="H28" s="78">
        <f>IF($D$5=【リスト】!$B$3,SUM(H22:H27),0)</f>
        <v>0</v>
      </c>
      <c r="I28" s="78">
        <f>IF($D$5=【リスト】!$B$3,SUM(I22:I27),0)</f>
        <v>0</v>
      </c>
      <c r="K28" s="70" t="s">
        <v>85</v>
      </c>
      <c r="L28" s="78">
        <f>IF($D$5=【リスト】!$B$3,SUM(L22:L27),0)</f>
        <v>0</v>
      </c>
      <c r="M28" s="78">
        <f>IF($D$5=【リスト】!$B$3,SUM(M22:M27),0)</f>
        <v>0</v>
      </c>
      <c r="O28" s="241">
        <v>3</v>
      </c>
      <c r="P28" s="237">
        <f>'1-1_児童数計算表'!$Q$50-'1-1_児童数計算表'!$Q$51</f>
        <v>0</v>
      </c>
      <c r="Q28" s="238"/>
      <c r="R28" s="241">
        <v>3</v>
      </c>
      <c r="S28" s="237">
        <f>'1-2_児童数計算表_分園1'!$Q$50-'1-2_児童数計算表_分園1'!$Q$51</f>
        <v>0</v>
      </c>
      <c r="U28" s="241">
        <v>3</v>
      </c>
      <c r="V28" s="237">
        <f>'1-2_児童数計算表_分園2'!$Q$50-'1-2_児童数計算表_分園2'!$Q$51</f>
        <v>0</v>
      </c>
    </row>
    <row r="29" spans="2:22" ht="19.5" thickBot="1">
      <c r="C29" s="70" t="s">
        <v>92</v>
      </c>
      <c r="D29" s="71">
        <f>SUM(D28:E28,H28:I28,L28:M28)</f>
        <v>0</v>
      </c>
      <c r="O29" s="241">
        <v>4</v>
      </c>
      <c r="P29" s="237">
        <f>'1-1_児童数計算表'!$Q$49</f>
        <v>0</v>
      </c>
      <c r="Q29" s="238"/>
      <c r="R29" s="241">
        <v>4</v>
      </c>
      <c r="S29" s="237">
        <f>'1-2_児童数計算表_分園1'!$Q$49</f>
        <v>0</v>
      </c>
      <c r="U29" s="241">
        <v>4</v>
      </c>
      <c r="V29" s="237">
        <f>'1-2_児童数計算表_分園2'!$Q$49</f>
        <v>0</v>
      </c>
    </row>
    <row r="30" spans="2:22" ht="19.5" thickBot="1">
      <c r="H30" s="168" t="s">
        <v>308</v>
      </c>
      <c r="I30" s="71">
        <f>SUM($D$18,$D$29)</f>
        <v>0</v>
      </c>
      <c r="O30" s="241">
        <v>5</v>
      </c>
      <c r="P30" s="237">
        <f>'1-1_児童数計算表'!$Q$48</f>
        <v>0</v>
      </c>
      <c r="Q30" s="238"/>
      <c r="R30" s="241">
        <v>5</v>
      </c>
      <c r="S30" s="237">
        <f>'1-2_児童数計算表_分園1'!$Q$48</f>
        <v>0</v>
      </c>
      <c r="U30" s="241">
        <v>5</v>
      </c>
      <c r="V30" s="237">
        <f>'1-2_児童数計算表_分園2'!$Q$48</f>
        <v>0</v>
      </c>
    </row>
    <row r="31" spans="2:22" ht="19.5" thickBot="1">
      <c r="B31" t="s">
        <v>101</v>
      </c>
    </row>
    <row r="32" spans="2:22" ht="19.5" thickBot="1">
      <c r="C32" s="72" t="s">
        <v>290</v>
      </c>
      <c r="D32" s="73"/>
      <c r="E32" s="73"/>
      <c r="F32" s="427"/>
    </row>
    <row r="33" spans="3:9" ht="19.5" thickBot="1">
      <c r="C33" s="72" t="s">
        <v>291</v>
      </c>
      <c r="D33" s="73"/>
      <c r="E33" s="73"/>
      <c r="F33" s="427"/>
    </row>
    <row r="34" spans="3:9" ht="19.5" thickBot="1">
      <c r="C34" s="72" t="s">
        <v>88</v>
      </c>
      <c r="D34" s="73"/>
      <c r="E34" s="73"/>
      <c r="F34" s="427"/>
    </row>
    <row r="35" spans="3:9" ht="19.5" thickBot="1">
      <c r="C35" s="72" t="s">
        <v>89</v>
      </c>
      <c r="D35" s="73"/>
      <c r="E35" s="73"/>
      <c r="F35" s="427"/>
      <c r="G35" s="170" t="str">
        <f>IF(AND($F$35=【リスト】!$C$2,$F$41=【リスト】!$C$2),"チーム保育加配加算との併給不可","")</f>
        <v/>
      </c>
    </row>
    <row r="36" spans="3:9" ht="19.5" thickBot="1">
      <c r="C36" s="72" t="s">
        <v>90</v>
      </c>
      <c r="D36" s="73"/>
      <c r="E36" s="73"/>
      <c r="F36" s="427"/>
      <c r="I36" s="61"/>
    </row>
    <row r="37" spans="3:9" ht="19.5" thickBot="1">
      <c r="C37" s="72" t="s">
        <v>292</v>
      </c>
      <c r="D37" s="73"/>
      <c r="E37" s="73"/>
      <c r="F37" s="427"/>
    </row>
    <row r="38" spans="3:9" ht="19.5" thickBot="1">
      <c r="C38" s="72" t="s">
        <v>293</v>
      </c>
      <c r="D38" s="73"/>
      <c r="E38" s="73"/>
      <c r="F38" s="427"/>
      <c r="I38" s="61" t="str">
        <f>IF(F39=【リスト】!$C$2,"休日保育の年間延べ利用子ども数を選択↓","")</f>
        <v/>
      </c>
    </row>
    <row r="39" spans="3:9" ht="19.5" thickBot="1">
      <c r="C39" s="72" t="s">
        <v>12</v>
      </c>
      <c r="D39" s="73"/>
      <c r="E39" s="73"/>
      <c r="F39" s="853"/>
      <c r="H39" s="61"/>
      <c r="I39" s="431"/>
    </row>
    <row r="40" spans="3:9" ht="19.5" thickBot="1">
      <c r="C40" s="72" t="s">
        <v>102</v>
      </c>
      <c r="D40" s="73"/>
      <c r="E40" s="73"/>
      <c r="F40" s="853"/>
      <c r="I40" s="61" t="str">
        <f>IF(F41=【リスト】!$C$2,"加配人数を選択↓","")</f>
        <v/>
      </c>
    </row>
    <row r="41" spans="3:9" ht="19.5" thickBot="1">
      <c r="C41" s="72" t="s">
        <v>294</v>
      </c>
      <c r="D41" s="73"/>
      <c r="E41" s="73"/>
      <c r="F41" s="427"/>
      <c r="I41" s="428"/>
    </row>
    <row r="42" spans="3:9" ht="19.5" thickBot="1">
      <c r="C42" s="72" t="s">
        <v>295</v>
      </c>
      <c r="D42" s="73"/>
      <c r="E42" s="73"/>
      <c r="F42" s="427"/>
      <c r="I42" s="61" t="str">
        <f>IF(F43&lt;&gt;"","週当たり給食実施日数を選択↓","")</f>
        <v/>
      </c>
    </row>
    <row r="43" spans="3:9" ht="19.5" thickBot="1">
      <c r="C43" s="72" t="s">
        <v>296</v>
      </c>
      <c r="D43" s="73"/>
      <c r="E43" s="73"/>
      <c r="F43" s="427"/>
      <c r="I43" s="432"/>
    </row>
    <row r="44" spans="3:9" ht="19.5" thickBot="1">
      <c r="C44" s="72" t="s">
        <v>300</v>
      </c>
      <c r="D44" s="73"/>
      <c r="E44" s="73"/>
      <c r="F44" s="427"/>
    </row>
    <row r="45" spans="3:9" ht="19.5" thickBot="1">
      <c r="C45" s="72" t="s">
        <v>103</v>
      </c>
      <c r="D45" s="73"/>
      <c r="E45" s="73"/>
      <c r="F45" s="430"/>
    </row>
    <row r="46" spans="3:9" ht="19.5" thickBot="1">
      <c r="C46" s="72" t="s">
        <v>301</v>
      </c>
      <c r="D46" s="73"/>
      <c r="E46" s="73"/>
      <c r="F46" s="427"/>
    </row>
    <row r="47" spans="3:9" ht="19.5" thickBot="1">
      <c r="C47" s="72" t="s">
        <v>302</v>
      </c>
      <c r="D47" s="73"/>
      <c r="E47" s="73"/>
      <c r="F47" s="427"/>
    </row>
    <row r="48" spans="3:9" ht="19.5" thickBot="1">
      <c r="C48" s="72" t="s">
        <v>303</v>
      </c>
      <c r="D48" s="73"/>
      <c r="E48" s="73"/>
      <c r="F48" s="427"/>
    </row>
    <row r="49" spans="2:9" ht="19.5" thickBot="1">
      <c r="C49" s="72" t="s">
        <v>104</v>
      </c>
      <c r="D49" s="73"/>
      <c r="E49" s="73"/>
      <c r="F49" s="430"/>
    </row>
    <row r="50" spans="2:9" ht="19.5" thickBot="1">
      <c r="C50" s="72" t="s">
        <v>777</v>
      </c>
      <c r="D50" s="73"/>
      <c r="E50" s="73"/>
      <c r="F50" s="430"/>
    </row>
    <row r="51" spans="2:9">
      <c r="H51" s="65"/>
      <c r="I51" s="65"/>
    </row>
    <row r="52" spans="2:9" ht="19.5" thickBot="1">
      <c r="B52" t="s">
        <v>107</v>
      </c>
    </row>
    <row r="53" spans="2:9" ht="19.5" thickBot="1">
      <c r="C53" s="80" t="s">
        <v>151</v>
      </c>
      <c r="D53" s="81"/>
      <c r="E53" s="81"/>
      <c r="F53" s="82" t="e">
        <f>VLOOKUP($D$4,【リスト】!$A$2:$P$13,15,FALSE)</f>
        <v>#N/A</v>
      </c>
    </row>
    <row r="54" spans="2:9" ht="19.5" thickBot="1">
      <c r="C54" s="80" t="s">
        <v>152</v>
      </c>
      <c r="D54" s="81"/>
      <c r="E54" s="81"/>
      <c r="F54" s="82" t="e">
        <f>VLOOKUP($D$4,【リスト】!$A$2:$P$13,16,FALSE)</f>
        <v>#N/A</v>
      </c>
    </row>
    <row r="56" spans="2:9" ht="19.5" thickBot="1">
      <c r="B56" t="s">
        <v>147</v>
      </c>
    </row>
    <row r="57" spans="2:9" ht="19.5" thickBot="1">
      <c r="C57" s="433">
        <v>12</v>
      </c>
      <c r="D57" t="s">
        <v>148</v>
      </c>
    </row>
    <row r="59" spans="2:9" ht="19.5" thickBot="1">
      <c r="B59" s="79" t="s">
        <v>149</v>
      </c>
    </row>
    <row r="60" spans="2:9" ht="19.5" thickBot="1">
      <c r="D60" s="83" t="s">
        <v>327</v>
      </c>
      <c r="E60" s="83" t="s">
        <v>328</v>
      </c>
      <c r="F60" s="83" t="s">
        <v>331</v>
      </c>
    </row>
    <row r="61" spans="2:9" ht="19.5" thickBot="1">
      <c r="C61" s="83" t="s">
        <v>105</v>
      </c>
      <c r="D61" s="84" t="e">
        <f>SUM(計算_区分12_1号!D22:G22)</f>
        <v>#N/A</v>
      </c>
      <c r="E61" s="84" t="e">
        <f>SUM(計算_区分12_23号!D23:AA23)</f>
        <v>#N/A</v>
      </c>
      <c r="F61" s="84" t="e">
        <f>SUM(D61:E61)</f>
        <v>#N/A</v>
      </c>
    </row>
    <row r="62" spans="2:9" ht="19.5" thickBot="1">
      <c r="C62" s="83" t="s">
        <v>106</v>
      </c>
      <c r="D62" s="84" t="e">
        <f>SUM(計算_区分12_1号!D42:G42)</f>
        <v>#N/A</v>
      </c>
      <c r="E62" s="84" t="e">
        <f>SUM(計算_区分12_23号!D42:AA42)</f>
        <v>#N/A</v>
      </c>
      <c r="F62" s="84" t="e">
        <f>SUM(D62:E62)</f>
        <v>#N/A</v>
      </c>
    </row>
  </sheetData>
  <phoneticPr fontId="4"/>
  <conditionalFormatting sqref="I43">
    <cfRule type="expression" dxfId="13" priority="11">
      <formula>$F$43&lt;&gt;""</formula>
    </cfRule>
  </conditionalFormatting>
  <dataValidations count="2">
    <dataValidation type="whole" allowBlank="1" showInputMessage="1" showErrorMessage="1" sqref="D14:D17 D22:E27 H22:I27 D7:F9 L22:M27" xr:uid="{2D77AD47-7A41-41B9-826B-6968E09382CA}">
      <formula1>0</formula1>
      <formula2>1000</formula2>
    </dataValidation>
    <dataValidation type="whole" allowBlank="1" showInputMessage="1" showErrorMessage="1" sqref="C57" xr:uid="{FE72E3F0-E055-4EFA-AB0E-4CC2FFD97962}">
      <formula1>1</formula1>
      <formula2>12</formula2>
    </dataValidation>
  </dataValidations>
  <pageMargins left="0.7" right="0.7" top="0.75" bottom="0.75" header="0.3" footer="0.3"/>
  <pageSetup paperSize="9" scale="47"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C73A8AD0-72F9-4784-8D76-8EB5BCD561C5}">
            <xm:f>$D$5=【リスト】!$B$3</xm:f>
            <x14:dxf>
              <fill>
                <patternFill>
                  <bgColor theme="4" tint="0.79998168889431442"/>
                </patternFill>
              </fill>
            </x14:dxf>
          </x14:cfRule>
          <xm:sqref>E8:F9</xm:sqref>
        </x14:conditionalFormatting>
        <x14:conditionalFormatting xmlns:xm="http://schemas.microsoft.com/office/excel/2006/main">
          <x14:cfRule type="expression" priority="14" id="{60F6E9B5-4031-4D08-A47E-43D8F707C369}">
            <xm:f>$D$5=【リスト】!$B$3</xm:f>
            <x14:dxf>
              <fill>
                <patternFill>
                  <bgColor theme="4" tint="0.79998168889431442"/>
                </patternFill>
              </fill>
            </x14:dxf>
          </x14:cfRule>
          <xm:sqref>H22:I27</xm:sqref>
        </x14:conditionalFormatting>
        <x14:conditionalFormatting xmlns:xm="http://schemas.microsoft.com/office/excel/2006/main">
          <x14:cfRule type="expression" priority="13" id="{DA941AE6-0702-4558-BAC4-938441470D3C}">
            <xm:f>$F$39=【リスト】!$C$2</xm:f>
            <x14:dxf>
              <fill>
                <patternFill>
                  <bgColor theme="4" tint="0.79998168889431442"/>
                </patternFill>
              </fill>
            </x14:dxf>
          </x14:cfRule>
          <xm:sqref>I39</xm:sqref>
        </x14:conditionalFormatting>
        <x14:conditionalFormatting xmlns:xm="http://schemas.microsoft.com/office/excel/2006/main">
          <x14:cfRule type="expression" priority="12" id="{E3FEFE51-0714-430D-B257-F187457498BF}">
            <xm:f>$F$41=【リスト】!$C$2</xm:f>
            <x14:dxf>
              <fill>
                <patternFill>
                  <bgColor theme="4" tint="0.79998168889431442"/>
                </patternFill>
              </fill>
            </x14:dxf>
          </x14:cfRule>
          <xm:sqref>I41</xm:sqref>
        </x14:conditionalFormatting>
        <x14:conditionalFormatting xmlns:xm="http://schemas.microsoft.com/office/excel/2006/main">
          <x14:cfRule type="expression" priority="1" id="{F11645E9-BF6D-4BB7-927B-1C860A09F603}">
            <xm:f>$D$5=【リスト】!$B$3</xm:f>
            <x14:dxf>
              <fill>
                <patternFill>
                  <bgColor theme="4" tint="0.79998168889431442"/>
                </patternFill>
              </fill>
            </x14:dxf>
          </x14:cfRule>
          <xm:sqref>L22:M27</xm:sqref>
        </x14:conditionalFormatting>
        <x14:conditionalFormatting xmlns:xm="http://schemas.microsoft.com/office/excel/2006/main">
          <x14:cfRule type="expression" priority="8" id="{35F3A7F2-84DE-4F8C-AF6A-AE3339A99A2C}">
            <xm:f>$D$5=【リスト】!$B$3</xm:f>
            <x14:dxf>
              <fill>
                <patternFill>
                  <bgColor theme="4" tint="0.79998168889431442"/>
                </patternFill>
              </fill>
            </x14:dxf>
          </x14:cfRule>
          <xm:sqref>S14:S20</xm:sqref>
        </x14:conditionalFormatting>
        <x14:conditionalFormatting xmlns:xm="http://schemas.microsoft.com/office/excel/2006/main">
          <x14:cfRule type="expression" priority="6" id="{B46581ED-36E6-4DBD-9276-A532B94AE6A3}">
            <xm:f>$D$5=【リスト】!$B$3</xm:f>
            <x14:dxf>
              <fill>
                <patternFill>
                  <bgColor theme="4" tint="0.79998168889431442"/>
                </patternFill>
              </fill>
            </x14:dxf>
          </x14:cfRule>
          <xm:sqref>S24:S30</xm:sqref>
        </x14:conditionalFormatting>
        <x14:conditionalFormatting xmlns:xm="http://schemas.microsoft.com/office/excel/2006/main">
          <x14:cfRule type="expression" priority="5" id="{C7E914D0-048E-4D68-825B-6FC145268C0F}">
            <xm:f>$D$5=【リスト】!$B$3</xm:f>
            <x14:dxf>
              <fill>
                <patternFill>
                  <bgColor theme="4" tint="0.79998168889431442"/>
                </patternFill>
              </fill>
            </x14:dxf>
          </x14:cfRule>
          <xm:sqref>V14:V20</xm:sqref>
        </x14:conditionalFormatting>
        <x14:conditionalFormatting xmlns:xm="http://schemas.microsoft.com/office/excel/2006/main">
          <x14:cfRule type="expression" priority="4" id="{C2A81E39-D755-42BD-AE3F-0786A5B43F26}">
            <xm:f>$D$5=【リスト】!$B$3</xm:f>
            <x14:dxf>
              <fill>
                <patternFill>
                  <bgColor theme="4" tint="0.79998168889431442"/>
                </patternFill>
              </fill>
            </x14:dxf>
          </x14:cfRule>
          <xm:sqref>V24:V30</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8AE11187-CA3A-4CD5-A404-EF694261384F}">
          <x14:formula1>
            <xm:f>【リスト】!$B$2:$B$3</xm:f>
          </x14:formula1>
          <xm:sqref>D5</xm:sqref>
        </x14:dataValidation>
        <x14:dataValidation type="list" allowBlank="1" showInputMessage="1" showErrorMessage="1" xr:uid="{CCBBA551-DDE9-4E60-8859-C92E3CD6D249}">
          <x14:formula1>
            <xm:f>【リスト】!$C$2:$C$3</xm:f>
          </x14:formula1>
          <xm:sqref>F44 F32:F42 F46:F48</xm:sqref>
        </x14:dataValidation>
        <x14:dataValidation type="list" allowBlank="1" showInputMessage="1" showErrorMessage="1" xr:uid="{EF7FE433-3133-4B7E-AC8E-6D6F9F3FB952}">
          <x14:formula1>
            <xm:f>【リスト】!$D$2:$D$4</xm:f>
          </x14:formula1>
          <xm:sqref>F45</xm:sqref>
        </x14:dataValidation>
        <x14:dataValidation type="list" allowBlank="1" showInputMessage="1" showErrorMessage="1" xr:uid="{ECE875D7-0E23-4036-BDA5-4847A1EF3936}">
          <x14:formula1>
            <xm:f>【リスト】!$E$2:$E$5</xm:f>
          </x14:formula1>
          <xm:sqref>F49</xm:sqref>
        </x14:dataValidation>
        <x14:dataValidation type="list" allowBlank="1" showInputMessage="1" showErrorMessage="1" xr:uid="{B9B182D6-CC8E-4FCA-BFCF-62D649AA45CB}">
          <x14:formula1>
            <xm:f>【リスト】!$F$2:$F$15</xm:f>
          </x14:formula1>
          <xm:sqref>I39</xm:sqref>
        </x14:dataValidation>
        <x14:dataValidation type="list" allowBlank="1" showInputMessage="1" showErrorMessage="1" xr:uid="{0B13CBB0-AA82-487D-A776-DC715B80E3AD}">
          <x14:formula1>
            <xm:f>【リスト】!$G$2:$G$8</xm:f>
          </x14:formula1>
          <xm:sqref>I41</xm:sqref>
        </x14:dataValidation>
        <x14:dataValidation type="list" allowBlank="1" showInputMessage="1" showErrorMessage="1" xr:uid="{FE447814-9BA3-4FE3-A08A-8FCFEDBEA7CB}">
          <x14:formula1>
            <xm:f>【リスト】!$H$2:$H$6</xm:f>
          </x14:formula1>
          <xm:sqref>F50</xm:sqref>
        </x14:dataValidation>
        <x14:dataValidation type="list" allowBlank="1" showInputMessage="1" showErrorMessage="1" xr:uid="{2D7FE4D1-749C-4976-8728-4AE050CC5CC7}">
          <x14:formula1>
            <xm:f>【リスト】!$M$2:$M$3</xm:f>
          </x14:formula1>
          <xm:sqref>F43</xm:sqref>
        </x14:dataValidation>
        <x14:dataValidation type="list" allowBlank="1" showInputMessage="1" showErrorMessage="1" xr:uid="{6E4D7F93-56DE-41F9-812D-601FFFCBD8FD}">
          <x14:formula1>
            <xm:f>【リスト】!$N$2:$N$8</xm:f>
          </x14:formula1>
          <xm:sqref>I43</xm:sqref>
        </x14:dataValidation>
        <x14:dataValidation type="list" allowBlank="1" showInputMessage="1" showErrorMessage="1" xr:uid="{A20CFD0A-4AAD-48B2-94EB-C0E5F565F173}">
          <x14:formula1>
            <xm:f>【リスト】!$A$2:$A$13</xm:f>
          </x14:formula1>
          <xm:sqref>D4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BC178-639B-4E16-9333-83743DD4613F}">
  <sheetPr>
    <pageSetUpPr fitToPage="1"/>
  </sheetPr>
  <dimension ref="A1:AC131"/>
  <sheetViews>
    <sheetView view="pageBreakPreview" topLeftCell="A17" zoomScale="85" zoomScaleNormal="70" zoomScaleSheetLayoutView="85" workbookViewId="0">
      <selection activeCell="I54" sqref="I54"/>
    </sheetView>
  </sheetViews>
  <sheetFormatPr defaultColWidth="9" defaultRowHeight="18.75"/>
  <cols>
    <col min="1" max="1" width="2.875" style="262" customWidth="1"/>
    <col min="2" max="2" width="3" style="264" customWidth="1"/>
    <col min="3" max="3" width="14.75" style="264" customWidth="1"/>
    <col min="4" max="4" width="28.25" style="264" customWidth="1"/>
    <col min="5" max="6" width="10" style="266" customWidth="1"/>
    <col min="7" max="7" width="12.125" style="266" customWidth="1"/>
    <col min="8" max="8" width="13.125" style="266" customWidth="1"/>
    <col min="9" max="9" width="10" style="260" customWidth="1"/>
    <col min="10" max="10" width="10" style="262" customWidth="1"/>
    <col min="11" max="11" width="11" style="262" bestFit="1" customWidth="1"/>
    <col min="12" max="17" width="13.125" style="262" customWidth="1"/>
    <col min="18" max="18" width="3.375" style="262" customWidth="1"/>
    <col min="19" max="19" width="1.375" style="262" customWidth="1"/>
    <col min="20" max="20" width="14.25" style="262" customWidth="1"/>
    <col min="21" max="21" width="11.625" style="262" customWidth="1"/>
    <col min="22" max="22" width="9" style="262"/>
    <col min="23" max="23" width="1.375" style="262" customWidth="1"/>
    <col min="24" max="24" width="14.25" style="262" customWidth="1"/>
    <col min="25" max="25" width="11.625" style="262" customWidth="1"/>
    <col min="26" max="16384" width="9" style="262"/>
  </cols>
  <sheetData>
    <row r="1" spans="1:29" s="261" customFormat="1" ht="31.5" customHeight="1">
      <c r="A1" s="257" t="s">
        <v>363</v>
      </c>
      <c r="B1" s="258"/>
      <c r="C1" s="258"/>
      <c r="D1" s="258"/>
      <c r="E1" s="259"/>
      <c r="F1" s="259"/>
      <c r="G1" s="259"/>
      <c r="H1" s="259"/>
      <c r="I1" s="260"/>
      <c r="R1" s="262"/>
      <c r="S1" s="262"/>
      <c r="T1" s="262"/>
      <c r="U1" s="262"/>
      <c r="V1" s="262"/>
      <c r="W1" s="262"/>
      <c r="X1" s="262"/>
      <c r="Y1" s="262"/>
      <c r="Z1" s="262"/>
    </row>
    <row r="2" spans="1:29" s="261" customFormat="1" ht="18.75" customHeight="1" thickBot="1">
      <c r="A2" s="263"/>
      <c r="B2" s="258"/>
      <c r="C2" s="258"/>
      <c r="D2" s="258"/>
      <c r="E2" s="259"/>
      <c r="F2" s="259"/>
      <c r="G2" s="259"/>
      <c r="H2" s="259"/>
      <c r="I2" s="260"/>
      <c r="R2" s="262"/>
      <c r="S2" s="262"/>
      <c r="T2" s="262"/>
      <c r="U2" s="262"/>
      <c r="V2" s="262"/>
      <c r="W2" s="262"/>
      <c r="X2" s="262"/>
      <c r="Y2" s="262"/>
      <c r="Z2" s="262"/>
    </row>
    <row r="3" spans="1:29" ht="19.5" customHeight="1" thickBot="1">
      <c r="A3" s="264"/>
      <c r="B3" s="952" t="s">
        <v>332</v>
      </c>
      <c r="C3" s="953"/>
      <c r="D3" s="954">
        <f>'1-1_児童数計算表'!$M$3</f>
        <v>0</v>
      </c>
      <c r="E3" s="955"/>
      <c r="F3" s="955"/>
      <c r="G3" s="955"/>
      <c r="H3" s="956"/>
    </row>
    <row r="4" spans="1:29" ht="19.5" customHeight="1">
      <c r="A4" s="264"/>
      <c r="C4" s="265"/>
      <c r="D4" s="265"/>
      <c r="E4" s="265"/>
      <c r="F4" s="265"/>
      <c r="G4" s="265"/>
    </row>
    <row r="5" spans="1:29" ht="19.5" customHeight="1" thickBot="1">
      <c r="A5" s="267" t="s">
        <v>364</v>
      </c>
      <c r="E5" s="265"/>
      <c r="F5" s="265"/>
      <c r="G5" s="265"/>
    </row>
    <row r="6" spans="1:29" ht="33" customHeight="1" thickBot="1">
      <c r="A6" s="267"/>
      <c r="B6" s="957"/>
      <c r="C6" s="958"/>
      <c r="D6" s="958"/>
      <c r="E6" s="268" t="s">
        <v>365</v>
      </c>
      <c r="F6" s="269" t="s">
        <v>366</v>
      </c>
      <c r="G6" s="265"/>
      <c r="J6" s="269" t="s">
        <v>366</v>
      </c>
      <c r="N6" s="269" t="s">
        <v>366</v>
      </c>
      <c r="S6" s="270" t="s">
        <v>358</v>
      </c>
      <c r="T6" s="270"/>
      <c r="U6" s="270"/>
      <c r="V6" s="270"/>
      <c r="W6" s="270"/>
      <c r="X6" s="270"/>
      <c r="Y6" s="270"/>
    </row>
    <row r="7" spans="1:29" ht="37.5" customHeight="1" thickBot="1">
      <c r="A7" s="267"/>
      <c r="B7" s="959" t="s">
        <v>79</v>
      </c>
      <c r="C7" s="934"/>
      <c r="D7" s="934"/>
      <c r="E7" s="847" t="s">
        <v>747</v>
      </c>
      <c r="F7" s="269" t="s">
        <v>367</v>
      </c>
      <c r="G7" s="265"/>
      <c r="J7" s="271" t="str">
        <f>IF(E7="あり","分園分を記入","入力不要")</f>
        <v>入力不要</v>
      </c>
      <c r="N7" s="271" t="str">
        <f>IF(E7="あり","分園分を記入","入力不要")</f>
        <v>入力不要</v>
      </c>
      <c r="S7" s="272" t="s">
        <v>360</v>
      </c>
      <c r="T7" s="273"/>
      <c r="U7" s="274" t="s">
        <v>362</v>
      </c>
      <c r="V7" s="270"/>
      <c r="W7" s="275" t="s">
        <v>784</v>
      </c>
      <c r="X7" s="275"/>
      <c r="Y7" s="274" t="s">
        <v>362</v>
      </c>
      <c r="AA7" s="275" t="s">
        <v>783</v>
      </c>
      <c r="AB7" s="275"/>
      <c r="AC7" s="274" t="s">
        <v>362</v>
      </c>
    </row>
    <row r="8" spans="1:29" ht="19.5" customHeight="1" thickBot="1">
      <c r="A8" s="267"/>
      <c r="B8" s="959" t="s">
        <v>368</v>
      </c>
      <c r="C8" s="934"/>
      <c r="D8" s="934"/>
      <c r="E8" s="934"/>
      <c r="F8" s="276">
        <f>F9+F10</f>
        <v>0</v>
      </c>
      <c r="G8" s="265"/>
      <c r="J8" s="276">
        <f>J9+J10</f>
        <v>0</v>
      </c>
      <c r="N8" s="276">
        <f>N9+N10</f>
        <v>0</v>
      </c>
      <c r="S8" s="277" t="s">
        <v>430</v>
      </c>
      <c r="T8" s="278"/>
      <c r="U8" s="279">
        <f>SUM('1-1_児童数計算表'!$Q$32:$Q$33)</f>
        <v>0</v>
      </c>
      <c r="V8" s="270"/>
      <c r="W8" s="280" t="s">
        <v>430</v>
      </c>
      <c r="X8" s="281"/>
      <c r="Y8" s="279">
        <f>SUM('1-2_児童数計算表_分園1'!$Q$32:$Q$33)</f>
        <v>0</v>
      </c>
      <c r="AA8" s="280" t="s">
        <v>430</v>
      </c>
      <c r="AB8" s="281"/>
      <c r="AC8" s="279">
        <f>SUM('1-2_児童数計算表_分園2'!$Q$32:$Q$33)</f>
        <v>0</v>
      </c>
    </row>
    <row r="9" spans="1:29" ht="19.5" customHeight="1" thickBot="1">
      <c r="A9" s="267"/>
      <c r="B9" s="282"/>
      <c r="C9" s="934" t="s">
        <v>369</v>
      </c>
      <c r="D9" s="934"/>
      <c r="E9" s="934"/>
      <c r="F9" s="283">
        <f>'2_区分12加算額計算表'!$D$7</f>
        <v>0</v>
      </c>
      <c r="G9" s="265"/>
      <c r="J9" s="283">
        <f>'2_区分12加算額計算表'!$D$8</f>
        <v>0</v>
      </c>
      <c r="N9" s="283">
        <f>'2_区分12加算額計算表'!$D$9</f>
        <v>0</v>
      </c>
      <c r="S9" s="280" t="s">
        <v>433</v>
      </c>
      <c r="T9" s="278"/>
      <c r="U9" s="279">
        <f>'1-1_児童数計算表'!$Q$34</f>
        <v>0</v>
      </c>
      <c r="V9" s="270"/>
      <c r="W9" s="280" t="s">
        <v>433</v>
      </c>
      <c r="X9" s="281"/>
      <c r="Y9" s="279">
        <f>'1-2_児童数計算表_分園1'!$Q$34</f>
        <v>0</v>
      </c>
      <c r="AA9" s="280" t="s">
        <v>433</v>
      </c>
      <c r="AB9" s="281"/>
      <c r="AC9" s="279">
        <f>'1-2_児童数計算表_分園2'!$Q$34</f>
        <v>0</v>
      </c>
    </row>
    <row r="10" spans="1:29" ht="19.5" customHeight="1" thickBot="1">
      <c r="A10" s="267"/>
      <c r="B10" s="282"/>
      <c r="C10" s="934" t="s">
        <v>370</v>
      </c>
      <c r="D10" s="934"/>
      <c r="E10" s="934"/>
      <c r="F10" s="283">
        <f>SUM('2_区分12加算額計算表'!$E$7:$F$7)</f>
        <v>0</v>
      </c>
      <c r="G10" s="265"/>
      <c r="J10" s="283">
        <f>SUM('2_区分12加算額計算表'!$E$8:$F$8)</f>
        <v>0</v>
      </c>
      <c r="N10" s="283">
        <f>SUM('2_区分12加算額計算表'!$E$9:$F$9)</f>
        <v>0</v>
      </c>
      <c r="S10" s="280"/>
      <c r="T10" s="278" t="s">
        <v>432</v>
      </c>
      <c r="U10" s="279">
        <f>'1-1_児童数計算表'!$Q$35</f>
        <v>0</v>
      </c>
      <c r="V10" s="270"/>
      <c r="W10" s="280"/>
      <c r="X10" s="281" t="s">
        <v>432</v>
      </c>
      <c r="Y10" s="279">
        <f>'1-2_児童数計算表_分園1'!$Q$35</f>
        <v>0</v>
      </c>
      <c r="AA10" s="280"/>
      <c r="AB10" s="281" t="s">
        <v>432</v>
      </c>
      <c r="AC10" s="279">
        <f>'1-2_児童数計算表_分園2'!$Q$35</f>
        <v>0</v>
      </c>
    </row>
    <row r="11" spans="1:29" ht="19.5" customHeight="1" thickBot="1">
      <c r="A11" s="267"/>
      <c r="B11" s="960" t="s">
        <v>371</v>
      </c>
      <c r="C11" s="961"/>
      <c r="D11" s="961"/>
      <c r="E11" s="961"/>
      <c r="F11" s="284">
        <f>F12+F13+F15+F17</f>
        <v>0</v>
      </c>
      <c r="G11" s="265"/>
      <c r="J11" s="284">
        <f>J12+J13+J15+J17</f>
        <v>0</v>
      </c>
      <c r="N11" s="284">
        <f>N12+N13+N15+N17</f>
        <v>0</v>
      </c>
      <c r="S11" s="280" t="s">
        <v>431</v>
      </c>
      <c r="T11" s="278"/>
      <c r="U11" s="279">
        <f>SUM('1-1_児童数計算表'!$Q$36:$Q$37)</f>
        <v>0</v>
      </c>
      <c r="V11" s="270"/>
      <c r="W11" s="280" t="s">
        <v>431</v>
      </c>
      <c r="X11" s="281"/>
      <c r="Y11" s="279">
        <f>SUM('1-2_児童数計算表_分園1'!$Q$36:$Q$37)</f>
        <v>0</v>
      </c>
      <c r="AA11" s="280" t="s">
        <v>431</v>
      </c>
      <c r="AB11" s="281"/>
      <c r="AC11" s="279">
        <f>SUM('1-2_児童数計算表_分園2'!$Q$36:$Q$37)</f>
        <v>0</v>
      </c>
    </row>
    <row r="12" spans="1:29" ht="19.5" customHeight="1" thickBot="1">
      <c r="A12" s="267"/>
      <c r="B12" s="285"/>
      <c r="C12" s="962" t="s">
        <v>372</v>
      </c>
      <c r="D12" s="963"/>
      <c r="E12" s="286"/>
      <c r="F12" s="250"/>
      <c r="G12" s="265"/>
      <c r="J12" s="250"/>
      <c r="N12" s="250"/>
      <c r="S12" s="280"/>
      <c r="T12" s="278" t="s">
        <v>434</v>
      </c>
      <c r="U12" s="279">
        <f>'1-1_児童数計算表'!$Q$37</f>
        <v>0</v>
      </c>
      <c r="V12" s="270"/>
      <c r="W12" s="280"/>
      <c r="X12" s="287" t="s">
        <v>434</v>
      </c>
      <c r="Y12" s="279">
        <f>'1-2_児童数計算表_分園1'!$Q$37</f>
        <v>0</v>
      </c>
      <c r="AA12" s="280"/>
      <c r="AB12" s="287" t="s">
        <v>434</v>
      </c>
      <c r="AC12" s="279">
        <f>'1-2_児童数計算表_分園2'!$Q$37</f>
        <v>0</v>
      </c>
    </row>
    <row r="13" spans="1:29" ht="19.5" customHeight="1" thickBot="1">
      <c r="A13" s="267"/>
      <c r="B13" s="285"/>
      <c r="C13" s="962" t="s">
        <v>373</v>
      </c>
      <c r="D13" s="963"/>
      <c r="E13" s="286"/>
      <c r="F13" s="251"/>
      <c r="G13" s="265"/>
      <c r="J13" s="251"/>
      <c r="N13" s="251"/>
      <c r="S13" s="280" t="s">
        <v>435</v>
      </c>
      <c r="T13" s="278"/>
      <c r="U13" s="279">
        <f>'1-1_児童数計算表'!$Q$38</f>
        <v>0</v>
      </c>
      <c r="V13" s="270"/>
      <c r="W13" s="280" t="s">
        <v>435</v>
      </c>
      <c r="X13" s="281"/>
      <c r="Y13" s="279">
        <f>'1-2_児童数計算表_分園1'!$Q$38</f>
        <v>0</v>
      </c>
      <c r="AA13" s="280" t="s">
        <v>435</v>
      </c>
      <c r="AB13" s="281"/>
      <c r="AC13" s="279">
        <f>'1-2_児童数計算表_分園2'!$Q$38</f>
        <v>0</v>
      </c>
    </row>
    <row r="14" spans="1:29" ht="19.5" customHeight="1">
      <c r="A14" s="267"/>
      <c r="B14" s="285"/>
      <c r="C14" s="288" t="s">
        <v>374</v>
      </c>
      <c r="D14" s="289"/>
      <c r="E14" s="286"/>
      <c r="F14" s="251"/>
      <c r="G14" s="265"/>
      <c r="J14" s="251"/>
      <c r="N14" s="251"/>
      <c r="S14" s="270"/>
      <c r="T14" s="270"/>
      <c r="U14" s="270"/>
      <c r="V14" s="270"/>
      <c r="W14" s="270"/>
      <c r="X14" s="270"/>
      <c r="Y14" s="270"/>
      <c r="AA14" s="270"/>
      <c r="AB14" s="270"/>
      <c r="AC14" s="270"/>
    </row>
    <row r="15" spans="1:29" ht="19.5" customHeight="1">
      <c r="A15" s="267"/>
      <c r="B15" s="285"/>
      <c r="C15" s="950" t="s">
        <v>375</v>
      </c>
      <c r="D15" s="951"/>
      <c r="E15" s="286"/>
      <c r="F15" s="252"/>
      <c r="G15" s="290"/>
      <c r="J15" s="252"/>
      <c r="N15" s="252"/>
    </row>
    <row r="16" spans="1:29" ht="19.5" customHeight="1">
      <c r="A16" s="267"/>
      <c r="B16" s="285"/>
      <c r="C16" s="950" t="s">
        <v>376</v>
      </c>
      <c r="D16" s="951"/>
      <c r="E16" s="291"/>
      <c r="F16" s="253"/>
      <c r="G16" s="265"/>
      <c r="J16" s="253"/>
      <c r="N16" s="253"/>
      <c r="S16" s="270" t="s">
        <v>359</v>
      </c>
      <c r="T16" s="270"/>
      <c r="U16" s="270"/>
      <c r="V16" s="270"/>
      <c r="W16" s="270"/>
      <c r="X16" s="270"/>
      <c r="Y16" s="270"/>
      <c r="AA16" s="270"/>
      <c r="AB16" s="270"/>
      <c r="AC16" s="270"/>
    </row>
    <row r="17" spans="1:29" ht="19.5" customHeight="1" thickBot="1">
      <c r="A17" s="264"/>
      <c r="B17" s="292"/>
      <c r="C17" s="937" t="s">
        <v>341</v>
      </c>
      <c r="D17" s="938"/>
      <c r="E17" s="293"/>
      <c r="F17" s="254"/>
      <c r="G17" s="265"/>
      <c r="J17" s="254"/>
      <c r="N17" s="254"/>
      <c r="S17" s="275" t="s">
        <v>360</v>
      </c>
      <c r="T17" s="275"/>
      <c r="U17" s="274" t="s">
        <v>362</v>
      </c>
      <c r="V17" s="270"/>
      <c r="W17" s="275" t="s">
        <v>361</v>
      </c>
      <c r="X17" s="275"/>
      <c r="Y17" s="274" t="s">
        <v>362</v>
      </c>
      <c r="AA17" s="275" t="s">
        <v>361</v>
      </c>
      <c r="AB17" s="275"/>
      <c r="AC17" s="274" t="s">
        <v>362</v>
      </c>
    </row>
    <row r="18" spans="1:29" ht="32.25" customHeight="1" thickBot="1">
      <c r="A18" s="264"/>
      <c r="B18" s="294" t="s">
        <v>377</v>
      </c>
      <c r="C18" s="939" t="s">
        <v>378</v>
      </c>
      <c r="D18" s="939"/>
      <c r="E18" s="939"/>
      <c r="F18" s="939"/>
      <c r="G18" s="939"/>
      <c r="H18" s="939"/>
      <c r="I18" s="939"/>
      <c r="J18" s="939"/>
      <c r="K18" s="939"/>
      <c r="L18" s="939"/>
      <c r="M18" s="752"/>
      <c r="N18" s="752"/>
      <c r="O18" s="752"/>
      <c r="P18" s="752"/>
      <c r="Q18" s="752"/>
      <c r="S18" s="280" t="s">
        <v>430</v>
      </c>
      <c r="T18" s="278"/>
      <c r="U18" s="279">
        <f>SUM('1-1_児童数計算表'!$Q$48:$Q$49)</f>
        <v>0</v>
      </c>
      <c r="V18" s="270"/>
      <c r="W18" s="280" t="s">
        <v>430</v>
      </c>
      <c r="X18" s="281"/>
      <c r="Y18" s="279">
        <f>SUM('1-2_児童数計算表_分園1'!$Q$48:$Q$49)</f>
        <v>0</v>
      </c>
      <c r="AA18" s="280" t="s">
        <v>430</v>
      </c>
      <c r="AB18" s="281"/>
      <c r="AC18" s="279">
        <f>SUM('1-2_児童数計算表_分園2'!$Q$48:$Q$49)</f>
        <v>0</v>
      </c>
    </row>
    <row r="19" spans="1:29" ht="19.5" customHeight="1" thickBot="1">
      <c r="A19" s="264"/>
      <c r="B19" s="295"/>
      <c r="C19" s="296"/>
      <c r="D19" s="296"/>
      <c r="E19" s="296"/>
      <c r="F19" s="296"/>
      <c r="G19" s="296"/>
      <c r="H19" s="296"/>
      <c r="S19" s="280" t="s">
        <v>433</v>
      </c>
      <c r="T19" s="278"/>
      <c r="U19" s="279">
        <f>'1-1_児童数計算表'!$Q$50</f>
        <v>0</v>
      </c>
      <c r="V19" s="270"/>
      <c r="W19" s="280" t="s">
        <v>433</v>
      </c>
      <c r="X19" s="281"/>
      <c r="Y19" s="279">
        <f>'1-2_児童数計算表_分園1'!$Q$50</f>
        <v>0</v>
      </c>
      <c r="AA19" s="280" t="s">
        <v>433</v>
      </c>
      <c r="AB19" s="281"/>
      <c r="AC19" s="279">
        <f>'1-2_児童数計算表_分園2'!$Q$50</f>
        <v>0</v>
      </c>
    </row>
    <row r="20" spans="1:29" ht="19.5" customHeight="1" thickBot="1">
      <c r="A20" s="267" t="s">
        <v>379</v>
      </c>
      <c r="S20" s="280"/>
      <c r="T20" s="278" t="s">
        <v>432</v>
      </c>
      <c r="U20" s="279">
        <f>'1-1_児童数計算表'!$Q$51</f>
        <v>0</v>
      </c>
      <c r="V20" s="270"/>
      <c r="W20" s="280"/>
      <c r="X20" s="281" t="s">
        <v>432</v>
      </c>
      <c r="Y20" s="279">
        <f>'1-2_児童数計算表_分園1'!$Q$51</f>
        <v>0</v>
      </c>
      <c r="AA20" s="280"/>
      <c r="AB20" s="281" t="s">
        <v>432</v>
      </c>
      <c r="AC20" s="279">
        <f>'1-2_児童数計算表_分園2'!$Q$51</f>
        <v>0</v>
      </c>
    </row>
    <row r="21" spans="1:29" ht="19.5" customHeight="1" thickBot="1">
      <c r="A21" s="267"/>
      <c r="E21" s="940" t="s">
        <v>380</v>
      </c>
      <c r="F21" s="941"/>
      <c r="G21" s="941"/>
      <c r="H21" s="942"/>
      <c r="I21" s="943" t="s">
        <v>787</v>
      </c>
      <c r="J21" s="944"/>
      <c r="K21" s="944"/>
      <c r="L21" s="945"/>
      <c r="M21" s="943" t="s">
        <v>788</v>
      </c>
      <c r="N21" s="944"/>
      <c r="O21" s="944"/>
      <c r="P21" s="945"/>
      <c r="Q21" s="756"/>
      <c r="S21" s="280" t="s">
        <v>431</v>
      </c>
      <c r="T21" s="278"/>
      <c r="U21" s="279">
        <f>SUM('1-1_児童数計算表'!$Q$52:$Q$53)</f>
        <v>0</v>
      </c>
      <c r="V21" s="270"/>
      <c r="W21" s="280" t="s">
        <v>431</v>
      </c>
      <c r="X21" s="281"/>
      <c r="Y21" s="279">
        <f>SUM('1-2_児童数計算表_分園1'!$Q$52:$Q$53)</f>
        <v>0</v>
      </c>
      <c r="AA21" s="280" t="s">
        <v>431</v>
      </c>
      <c r="AB21" s="281"/>
      <c r="AC21" s="279">
        <f>SUM('1-2_児童数計算表_分園2'!$Q$52:$Q$53)</f>
        <v>0</v>
      </c>
    </row>
    <row r="22" spans="1:29" ht="31.5" customHeight="1" thickBot="1">
      <c r="B22" s="297"/>
      <c r="C22" s="298"/>
      <c r="D22" s="298"/>
      <c r="E22" s="299" t="s">
        <v>365</v>
      </c>
      <c r="F22" s="300" t="s">
        <v>366</v>
      </c>
      <c r="G22" s="946" t="s">
        <v>381</v>
      </c>
      <c r="H22" s="947"/>
      <c r="I22" s="301" t="s">
        <v>365</v>
      </c>
      <c r="J22" s="300" t="s">
        <v>366</v>
      </c>
      <c r="K22" s="946" t="s">
        <v>381</v>
      </c>
      <c r="L22" s="947"/>
      <c r="M22" s="301" t="s">
        <v>365</v>
      </c>
      <c r="N22" s="300" t="s">
        <v>366</v>
      </c>
      <c r="O22" s="946" t="s">
        <v>381</v>
      </c>
      <c r="P22" s="947"/>
      <c r="Q22" s="757"/>
      <c r="S22" s="280"/>
      <c r="T22" s="278" t="s">
        <v>434</v>
      </c>
      <c r="U22" s="279">
        <f>'1-1_児童数計算表'!$Q$53</f>
        <v>0</v>
      </c>
      <c r="V22" s="270"/>
      <c r="W22" s="280"/>
      <c r="X22" s="281" t="s">
        <v>434</v>
      </c>
      <c r="Y22" s="279">
        <f>'1-2_児童数計算表_分園1'!$Q$53</f>
        <v>0</v>
      </c>
      <c r="AA22" s="280"/>
      <c r="AB22" s="281" t="s">
        <v>434</v>
      </c>
      <c r="AC22" s="279">
        <f>'1-2_児童数計算表_分園2'!$Q$53</f>
        <v>0</v>
      </c>
    </row>
    <row r="23" spans="1:29" ht="17.25" customHeight="1" thickBot="1">
      <c r="B23" s="302" t="s">
        <v>382</v>
      </c>
      <c r="C23" s="303" t="s">
        <v>383</v>
      </c>
      <c r="D23" s="303"/>
      <c r="E23" s="304"/>
      <c r="F23" s="305"/>
      <c r="G23" s="306"/>
      <c r="H23" s="307"/>
      <c r="I23" s="308"/>
      <c r="J23" s="305"/>
      <c r="K23" s="306"/>
      <c r="L23" s="307"/>
      <c r="M23" s="308"/>
      <c r="N23" s="305"/>
      <c r="O23" s="306"/>
      <c r="P23" s="307"/>
      <c r="Q23" s="758"/>
      <c r="S23" s="280" t="s">
        <v>435</v>
      </c>
      <c r="T23" s="278"/>
      <c r="U23" s="279">
        <f>'1-1_児童数計算表'!$Q$54</f>
        <v>0</v>
      </c>
      <c r="V23" s="270"/>
      <c r="W23" s="280" t="s">
        <v>435</v>
      </c>
      <c r="X23" s="281"/>
      <c r="Y23" s="279">
        <f>'1-2_児童数計算表_分園1'!$Q$54</f>
        <v>0</v>
      </c>
      <c r="AA23" s="280" t="s">
        <v>435</v>
      </c>
      <c r="AB23" s="281"/>
      <c r="AC23" s="279">
        <f>'1-2_児童数計算表_分園2'!$Q$54</f>
        <v>0</v>
      </c>
    </row>
    <row r="24" spans="1:29" ht="17.25" customHeight="1">
      <c r="B24" s="309"/>
      <c r="C24" s="310" t="s">
        <v>384</v>
      </c>
      <c r="D24" s="311"/>
      <c r="E24" s="312"/>
      <c r="F24" s="313">
        <f>F12</f>
        <v>0</v>
      </c>
      <c r="G24" s="314">
        <f>IF($E$25="あり",ROUNDDOWN($F$12*1/25,1),ROUNDDOWN($F$12*1/30,1))</f>
        <v>0</v>
      </c>
      <c r="H24" s="315">
        <f>ROUNDDOWN(G24,1)</f>
        <v>0</v>
      </c>
      <c r="I24" s="310"/>
      <c r="J24" s="313">
        <f>IF(E7="あり",J12,0)</f>
        <v>0</v>
      </c>
      <c r="K24" s="314">
        <f>IF($E$7="あり",IF(I25="あり",ROUNDDOWN($J$12*1/25,1),ROUNDDOWN($J$12*1/30,1)),0)</f>
        <v>0</v>
      </c>
      <c r="L24" s="315">
        <f>ROUNDDOWN(K24,1)</f>
        <v>0</v>
      </c>
      <c r="M24" s="310"/>
      <c r="N24" s="313">
        <f>IF(E7="あり",N12,0)</f>
        <v>0</v>
      </c>
      <c r="O24" s="314">
        <f>IF($E$7="あり",IF(M25="あり",ROUNDDOWN($N$12*1/25,1),ROUNDDOWN($N$12*1/30,1)),0)</f>
        <v>0</v>
      </c>
      <c r="P24" s="315">
        <f>ROUNDDOWN(O24,1)</f>
        <v>0</v>
      </c>
      <c r="Q24" s="759"/>
    </row>
    <row r="25" spans="1:29" ht="17.25" customHeight="1">
      <c r="B25" s="309"/>
      <c r="C25" s="316" t="s">
        <v>385</v>
      </c>
      <c r="D25" s="286"/>
      <c r="E25" s="317" t="str">
        <f>IF('2_区分12加算額計算表'!$F$35=【リスト】!$C$2,"あり","なし")</f>
        <v>なし</v>
      </c>
      <c r="F25" s="318"/>
      <c r="G25" s="319"/>
      <c r="H25" s="320"/>
      <c r="I25" s="321" t="str">
        <f>E25</f>
        <v>なし</v>
      </c>
      <c r="J25" s="318"/>
      <c r="K25" s="319"/>
      <c r="L25" s="320"/>
      <c r="M25" s="321" t="str">
        <f>I25</f>
        <v>なし</v>
      </c>
      <c r="N25" s="318"/>
      <c r="O25" s="319"/>
      <c r="P25" s="320"/>
      <c r="Q25" s="759"/>
    </row>
    <row r="26" spans="1:29" ht="17.25" customHeight="1">
      <c r="B26" s="309"/>
      <c r="C26" s="322" t="s">
        <v>386</v>
      </c>
      <c r="D26" s="286"/>
      <c r="E26" s="323"/>
      <c r="F26" s="324">
        <f>F13</f>
        <v>0</v>
      </c>
      <c r="G26" s="325">
        <f>IF($E$27="あり",IF($E$28="あり",ROUNDDOWN(($F$13-$F$14)*1/15,1)+ROUNDDOWN($F$14*1/6,1),ROUNDDOWN($F$13*1/15,1)),IF($E$28="あり",ROUNDDOWN(($F$13-$F$14)*1/20,1)+ROUNDDOWN($F$14*1/6,1),ROUNDDOWN($F$13*1/20,1)))</f>
        <v>0</v>
      </c>
      <c r="H26" s="320">
        <f>ROUNDDOWN(G26,1)</f>
        <v>0</v>
      </c>
      <c r="I26" s="326"/>
      <c r="J26" s="327">
        <f>IF(E$7="あり",J13,0)</f>
        <v>0</v>
      </c>
      <c r="K26" s="325">
        <f>IF(E7="あり",IF($I$27="あり",IF($I$28="あり",ROUNDDOWN(($J$13-$J$14)*1/15,1)+ROUNDDOWN($J$14*1/6,1),ROUNDDOWN($J$13*1/15,1)),IF($I$28="あり",ROUNDDOWN(($J$13-$J$14)*1/20,1)+ROUNDDOWN($J$14*1/6,1),ROUNDDOWN($J$13*1/20,1))),0)</f>
        <v>0</v>
      </c>
      <c r="L26" s="320">
        <f>ROUNDDOWN(K26,1)</f>
        <v>0</v>
      </c>
      <c r="M26" s="326"/>
      <c r="N26" s="327">
        <f>IF(E$7="あり",N13,0)</f>
        <v>0</v>
      </c>
      <c r="O26" s="325">
        <f>IF(E7="あり",IF($M$27="あり",IF($M$28="あり",ROUNDDOWN(($N$13-$N$14)*1/15,1)+ROUNDDOWN($N$14*1/6,1),ROUNDDOWN($N$13*1/15,1)),IF($M$28="あり",ROUNDDOWN(($N$13-$N$14)*1/20,1)+ROUNDDOWN($N$14*1/6,1),ROUNDDOWN($N$13*1/20,1))),0)</f>
        <v>0</v>
      </c>
      <c r="P26" s="320">
        <f>ROUNDDOWN(O26,1)</f>
        <v>0</v>
      </c>
      <c r="Q26" s="759"/>
    </row>
    <row r="27" spans="1:29" ht="17.25" customHeight="1">
      <c r="B27" s="309"/>
      <c r="C27" s="316" t="s">
        <v>387</v>
      </c>
      <c r="D27" s="286"/>
      <c r="E27" s="317" t="str">
        <f>IF('2_区分12加算額計算表'!$F$34=【リスト】!$C$2,"あり","なし")</f>
        <v>なし</v>
      </c>
      <c r="F27" s="318"/>
      <c r="G27" s="319"/>
      <c r="H27" s="320"/>
      <c r="I27" s="321" t="str">
        <f>E27</f>
        <v>なし</v>
      </c>
      <c r="J27" s="318"/>
      <c r="K27" s="319"/>
      <c r="L27" s="320"/>
      <c r="M27" s="321" t="str">
        <f>I27</f>
        <v>なし</v>
      </c>
      <c r="N27" s="318"/>
      <c r="O27" s="319"/>
      <c r="P27" s="320"/>
      <c r="Q27" s="759"/>
    </row>
    <row r="28" spans="1:29" ht="17.25" customHeight="1">
      <c r="B28" s="309"/>
      <c r="C28" s="316" t="s">
        <v>388</v>
      </c>
      <c r="D28" s="286"/>
      <c r="E28" s="317" t="str">
        <f>IF('2_区分12加算額計算表'!$F$37=【リスト】!$C$2,"あり","なし")</f>
        <v>なし</v>
      </c>
      <c r="F28" s="318"/>
      <c r="G28" s="319"/>
      <c r="H28" s="320"/>
      <c r="I28" s="321" t="str">
        <f>E28</f>
        <v>なし</v>
      </c>
      <c r="J28" s="318"/>
      <c r="K28" s="319"/>
      <c r="L28" s="320"/>
      <c r="M28" s="321" t="str">
        <f>I28</f>
        <v>なし</v>
      </c>
      <c r="N28" s="318"/>
      <c r="O28" s="319"/>
      <c r="P28" s="320"/>
      <c r="Q28" s="759"/>
    </row>
    <row r="29" spans="1:29" ht="17.25" customHeight="1">
      <c r="B29" s="309"/>
      <c r="C29" s="328" t="s">
        <v>375</v>
      </c>
      <c r="D29" s="329"/>
      <c r="E29" s="330"/>
      <c r="F29" s="327">
        <f>F15</f>
        <v>0</v>
      </c>
      <c r="G29" s="331">
        <f>IF(E30="なし",F29*1/6,(F29-F16)*1/6+F16*1/5)</f>
        <v>0</v>
      </c>
      <c r="H29" s="332">
        <f>ROUNDDOWN(G29,1)</f>
        <v>0</v>
      </c>
      <c r="I29" s="330"/>
      <c r="J29" s="324">
        <f>IF(E$7="あり",J15,0)</f>
        <v>0</v>
      </c>
      <c r="K29" s="333" t="str">
        <f>IF(OR(E7="なし",TRIM(E7)=""),"0.00",IF(I30="なし",J29*1/6,(J29-J16)*1/6+J16*1/5))</f>
        <v>0.00</v>
      </c>
      <c r="L29" s="332">
        <f>ROUNDDOWN(K29,1)</f>
        <v>0</v>
      </c>
      <c r="M29" s="330"/>
      <c r="N29" s="324">
        <f>IF(E$7="あり",N15,0)</f>
        <v>0</v>
      </c>
      <c r="O29" s="333" t="str">
        <f>IF(OR(E7="なし",TRIM(E7)=""),"0.00",IF(M30="なし",N29*1/6,(N29-N16)*1/6+N16*1/5))</f>
        <v>0.00</v>
      </c>
      <c r="P29" s="332">
        <f>ROUNDDOWN(O29,1)</f>
        <v>0</v>
      </c>
      <c r="Q29" s="759"/>
    </row>
    <row r="30" spans="1:29" ht="17.25" customHeight="1">
      <c r="B30" s="309"/>
      <c r="C30" s="334" t="s">
        <v>389</v>
      </c>
      <c r="E30" s="335" t="str">
        <f>IF('2_区分12加算額計算表'!$F$36=【リスト】!$C$2,"あり","なし")</f>
        <v>なし</v>
      </c>
      <c r="F30" s="336"/>
      <c r="G30" s="337"/>
      <c r="H30" s="338"/>
      <c r="I30" s="339" t="str">
        <f>E30</f>
        <v>なし</v>
      </c>
      <c r="J30" s="318"/>
      <c r="K30" s="319"/>
      <c r="L30" s="320"/>
      <c r="M30" s="339" t="str">
        <f>I30</f>
        <v>なし</v>
      </c>
      <c r="N30" s="318"/>
      <c r="O30" s="319"/>
      <c r="P30" s="320"/>
      <c r="Q30" s="759"/>
    </row>
    <row r="31" spans="1:29" ht="17.25" customHeight="1" thickBot="1">
      <c r="B31" s="309"/>
      <c r="C31" s="340" t="s">
        <v>341</v>
      </c>
      <c r="D31" s="341"/>
      <c r="E31" s="342"/>
      <c r="F31" s="343">
        <f>F17</f>
        <v>0</v>
      </c>
      <c r="G31" s="344">
        <f>F31*1/3</f>
        <v>0</v>
      </c>
      <c r="H31" s="345">
        <f>ROUNDDOWN(G31,1)</f>
        <v>0</v>
      </c>
      <c r="I31" s="342"/>
      <c r="J31" s="346">
        <f>IF(E$7="あり",J17,0)</f>
        <v>0</v>
      </c>
      <c r="K31" s="344">
        <f>J31*1/3</f>
        <v>0</v>
      </c>
      <c r="L31" s="345">
        <f>ROUNDDOWN(K31,1)</f>
        <v>0</v>
      </c>
      <c r="M31" s="342"/>
      <c r="N31" s="346">
        <f>IF(E$7="あり",N17,0)</f>
        <v>0</v>
      </c>
      <c r="O31" s="344">
        <f>N31*1/3</f>
        <v>0</v>
      </c>
      <c r="P31" s="345">
        <f>ROUNDDOWN(O31,1)</f>
        <v>0</v>
      </c>
      <c r="Q31" s="759"/>
    </row>
    <row r="32" spans="1:29" ht="17.25" customHeight="1" thickTop="1">
      <c r="B32" s="347"/>
      <c r="C32" s="292" t="s">
        <v>390</v>
      </c>
      <c r="D32" s="348"/>
      <c r="E32" s="349"/>
      <c r="F32" s="350"/>
      <c r="G32" s="351"/>
      <c r="H32" s="352">
        <f>ROUND(SUM(H24:H31),0)</f>
        <v>0</v>
      </c>
      <c r="I32" s="353"/>
      <c r="J32" s="350"/>
      <c r="K32" s="351"/>
      <c r="L32" s="352">
        <f>ROUND(SUM(L24:L31),0)</f>
        <v>0</v>
      </c>
      <c r="M32" s="353"/>
      <c r="N32" s="350"/>
      <c r="O32" s="351"/>
      <c r="P32" s="352">
        <f>ROUND(SUM(P24:P31),0)</f>
        <v>0</v>
      </c>
      <c r="Q32" s="760"/>
    </row>
    <row r="33" spans="2:17" ht="17.25" customHeight="1">
      <c r="B33" s="354" t="s">
        <v>311</v>
      </c>
      <c r="C33" s="355" t="s">
        <v>391</v>
      </c>
      <c r="D33" s="355"/>
      <c r="E33" s="356"/>
      <c r="F33" s="357"/>
      <c r="G33" s="358"/>
      <c r="H33" s="359">
        <f>IF(F10=0,0,IF(F10&lt;=90,1,0.8))</f>
        <v>0</v>
      </c>
      <c r="I33" s="360"/>
      <c r="J33" s="357"/>
      <c r="K33" s="358"/>
      <c r="L33" s="359">
        <f>IF(E7="あり",IF(J10=0,0,IF(J10&lt;=90,1,0.8)),0)</f>
        <v>0</v>
      </c>
      <c r="M33" s="360"/>
      <c r="N33" s="357"/>
      <c r="O33" s="358"/>
      <c r="P33" s="359">
        <f>IF(E7="あり",IF(N10=0,0,IF(N10&lt;=90,1,0.8)),0)</f>
        <v>0</v>
      </c>
      <c r="Q33" s="761"/>
    </row>
    <row r="34" spans="2:17" ht="17.25" customHeight="1">
      <c r="B34" s="354" t="s">
        <v>392</v>
      </c>
      <c r="C34" s="355" t="s">
        <v>393</v>
      </c>
      <c r="D34" s="355"/>
      <c r="E34" s="356"/>
      <c r="F34" s="357"/>
      <c r="G34" s="358"/>
      <c r="H34" s="359">
        <f>IF(F10=0,0,IF(F10&lt;=20,1,(IF(F10&lt;=40,1.4,(IF(F10&lt;=150,2,3))))))</f>
        <v>0</v>
      </c>
      <c r="I34" s="360"/>
      <c r="J34" s="357"/>
      <c r="K34" s="358"/>
      <c r="L34" s="359">
        <f>IF(E7="あり",IF(J10=0,0,IF(J10&lt;=20,1,IF(J10&lt;=40,1.4,IF(J10&lt;=150,2,3) ))),0)</f>
        <v>0</v>
      </c>
      <c r="M34" s="360"/>
      <c r="N34" s="357"/>
      <c r="O34" s="358"/>
      <c r="P34" s="359">
        <f>IF(E7="あり",IF(N10=0,0,IF(N10&lt;=20,1,IF(N10&lt;=40,1.4,IF(N10&lt;=150,2,3) ))),0)</f>
        <v>0</v>
      </c>
      <c r="Q34" s="761"/>
    </row>
    <row r="35" spans="2:17" ht="17.25" customHeight="1">
      <c r="B35" s="354" t="s">
        <v>394</v>
      </c>
      <c r="C35" s="355" t="s">
        <v>395</v>
      </c>
      <c r="D35" s="355"/>
      <c r="E35" s="361" t="str">
        <f>IF('2_区分12加算額計算表'!$D$28&gt;0,"あり","なし")</f>
        <v>なし</v>
      </c>
      <c r="F35" s="357"/>
      <c r="G35" s="358"/>
      <c r="H35" s="359">
        <f>IF(E35="あり",1.4,0)</f>
        <v>0</v>
      </c>
      <c r="I35" s="362" t="str">
        <f>IF('2_区分12加算額計算表'!$H$28&gt;0,"あり","なし")</f>
        <v>なし</v>
      </c>
      <c r="J35" s="363"/>
      <c r="K35" s="358"/>
      <c r="L35" s="359">
        <f>IF(E7="あり",IF(I35="あり",1.4,0),0)</f>
        <v>0</v>
      </c>
      <c r="M35" s="362" t="str">
        <f>IF('2_区分12加算額計算表'!$H$28&gt;0,"あり","なし")</f>
        <v>なし</v>
      </c>
      <c r="N35" s="363"/>
      <c r="O35" s="358"/>
      <c r="P35" s="359">
        <f>IF(E7="あり",IF(M35="あり",1.4,0),0)</f>
        <v>0</v>
      </c>
      <c r="Q35" s="761"/>
    </row>
    <row r="36" spans="2:17" ht="17.25" customHeight="1">
      <c r="B36" s="354" t="s">
        <v>396</v>
      </c>
      <c r="C36" s="355" t="s">
        <v>397</v>
      </c>
      <c r="D36" s="355"/>
      <c r="E36" s="364" t="str">
        <f>IF('2_区分12加算額計算表'!$F$33=【リスト】!$C$2,"あり","なし")</f>
        <v>なし</v>
      </c>
      <c r="F36" s="365"/>
      <c r="G36" s="358"/>
      <c r="H36" s="359">
        <f>IF(E36="あり",1,0)</f>
        <v>0</v>
      </c>
      <c r="I36" s="932" t="str">
        <f>IF($E$7="あり","本園分で選択","－")</f>
        <v>－</v>
      </c>
      <c r="J36" s="933"/>
      <c r="K36" s="358"/>
      <c r="L36" s="359"/>
      <c r="M36" s="932" t="str">
        <f>IF($E$7="あり","本園分で選択","－")</f>
        <v>－</v>
      </c>
      <c r="N36" s="933"/>
      <c r="O36" s="358"/>
      <c r="P36" s="359"/>
      <c r="Q36" s="761"/>
    </row>
    <row r="37" spans="2:17" ht="17.25" customHeight="1" thickBot="1">
      <c r="B37" s="354" t="s">
        <v>398</v>
      </c>
      <c r="C37" s="355" t="s">
        <v>399</v>
      </c>
      <c r="D37" s="355"/>
      <c r="E37" s="361" t="str">
        <f>IF('2_区分12加算額計算表'!$F$38=【リスト】!$C$2,"あり","なし")</f>
        <v>なし</v>
      </c>
      <c r="F37" s="870"/>
      <c r="G37" s="358"/>
      <c r="H37" s="359">
        <f>IF(E37="あり",0.8,0)</f>
        <v>0</v>
      </c>
      <c r="I37" s="932" t="str">
        <f>IF($E$7="あり","本園分で選択","－")</f>
        <v>－</v>
      </c>
      <c r="J37" s="933"/>
      <c r="K37" s="358"/>
      <c r="L37" s="359"/>
      <c r="M37" s="932" t="str">
        <f>IF($E$7="あり","本園分で選択","－")</f>
        <v>－</v>
      </c>
      <c r="N37" s="933"/>
      <c r="O37" s="358"/>
      <c r="P37" s="359"/>
      <c r="Q37" s="761"/>
    </row>
    <row r="38" spans="2:17" ht="17.25" customHeight="1" thickBot="1">
      <c r="B38" s="354" t="s">
        <v>400</v>
      </c>
      <c r="C38" s="355" t="s">
        <v>162</v>
      </c>
      <c r="D38" s="355"/>
      <c r="E38" s="366" t="str">
        <f>IF('2_区分12加算額計算表'!$F$41=【リスト】!$C$2,"あり","なし")</f>
        <v>なし</v>
      </c>
      <c r="F38" s="283">
        <f>'2_区分12加算額計算表'!$I$41</f>
        <v>0</v>
      </c>
      <c r="G38" s="358"/>
      <c r="H38" s="359">
        <f>IF(E38="あり",F38,0)</f>
        <v>0</v>
      </c>
      <c r="I38" s="932" t="str">
        <f t="shared" ref="I38:I48" si="0">IF($E$7="あり","本園分で選択","－")</f>
        <v>－</v>
      </c>
      <c r="J38" s="933"/>
      <c r="K38" s="358"/>
      <c r="L38" s="359"/>
      <c r="M38" s="932" t="str">
        <f t="shared" ref="M38:M48" si="1">IF($E$7="あり","本園分で選択","－")</f>
        <v>－</v>
      </c>
      <c r="N38" s="933"/>
      <c r="O38" s="358"/>
      <c r="P38" s="359"/>
      <c r="Q38" s="761"/>
    </row>
    <row r="39" spans="2:17" ht="17.25" customHeight="1">
      <c r="B39" s="354" t="s">
        <v>401</v>
      </c>
      <c r="C39" s="355" t="s">
        <v>402</v>
      </c>
      <c r="D39" s="355"/>
      <c r="E39" s="361" t="str">
        <f>IF('2_区分12加算額計算表'!$F$42=【リスト】!$C$2,"あり","なし")</f>
        <v>なし</v>
      </c>
      <c r="F39" s="367"/>
      <c r="G39" s="358"/>
      <c r="H39" s="359">
        <f>IF(F9=0,0,IF(E39="あり",IF(F9&lt;=150,0.8,1.5),0))</f>
        <v>0</v>
      </c>
      <c r="I39" s="932" t="str">
        <f t="shared" si="0"/>
        <v>－</v>
      </c>
      <c r="J39" s="933"/>
      <c r="K39" s="358"/>
      <c r="L39" s="359"/>
      <c r="M39" s="932" t="str">
        <f t="shared" si="1"/>
        <v>－</v>
      </c>
      <c r="N39" s="933"/>
      <c r="O39" s="358"/>
      <c r="P39" s="359"/>
      <c r="Q39" s="761"/>
    </row>
    <row r="40" spans="2:17" ht="17.25" customHeight="1">
      <c r="B40" s="368" t="s">
        <v>403</v>
      </c>
      <c r="C40" s="369" t="s">
        <v>404</v>
      </c>
      <c r="D40" s="370"/>
      <c r="E40" s="371" t="str">
        <f>IF('2_区分12加算額計算表'!$F$43=【リスト】!$M$2,"あり","なし")</f>
        <v>なし</v>
      </c>
      <c r="F40" s="372"/>
      <c r="G40" s="373"/>
      <c r="H40" s="374">
        <f>IF(F9=0,0,IF(E40="あり",IF(F9&lt;=150,2,3),0))</f>
        <v>0</v>
      </c>
      <c r="I40" s="948" t="str">
        <f t="shared" si="0"/>
        <v>－</v>
      </c>
      <c r="J40" s="949"/>
      <c r="K40" s="373"/>
      <c r="L40" s="375"/>
      <c r="M40" s="948" t="str">
        <f t="shared" si="1"/>
        <v>－</v>
      </c>
      <c r="N40" s="949"/>
      <c r="O40" s="373"/>
      <c r="P40" s="375"/>
      <c r="Q40" s="761"/>
    </row>
    <row r="41" spans="2:17" ht="17.25" customHeight="1">
      <c r="B41" s="354" t="s">
        <v>405</v>
      </c>
      <c r="C41" s="355" t="s">
        <v>13</v>
      </c>
      <c r="D41" s="355"/>
      <c r="E41" s="361" t="str">
        <f>IF('2_区分12加算額計算表'!$F$39=【リスト】!$C$2,"あり","なし")</f>
        <v>なし</v>
      </c>
      <c r="F41" s="357"/>
      <c r="G41" s="358"/>
      <c r="H41" s="359">
        <f>IF(E41="あり",0.5,0)</f>
        <v>0</v>
      </c>
      <c r="I41" s="932" t="str">
        <f t="shared" si="0"/>
        <v>－</v>
      </c>
      <c r="J41" s="933"/>
      <c r="K41" s="358"/>
      <c r="L41" s="359"/>
      <c r="M41" s="932" t="str">
        <f t="shared" si="1"/>
        <v>－</v>
      </c>
      <c r="N41" s="933"/>
      <c r="O41" s="358"/>
      <c r="P41" s="359"/>
      <c r="Q41" s="761"/>
    </row>
    <row r="42" spans="2:17" ht="17.25" customHeight="1">
      <c r="B42" s="354" t="s">
        <v>406</v>
      </c>
      <c r="C42" s="355" t="s">
        <v>407</v>
      </c>
      <c r="D42" s="355"/>
      <c r="E42" s="361" t="str">
        <f>IF('2_区分12加算額計算表'!$F$46=【リスト】!$C$2,"あり","なし")</f>
        <v>なし</v>
      </c>
      <c r="F42" s="357"/>
      <c r="G42" s="358"/>
      <c r="H42" s="359">
        <f>IF(E42="あり",0.8,0)</f>
        <v>0</v>
      </c>
      <c r="I42" s="932" t="str">
        <f t="shared" si="0"/>
        <v>－</v>
      </c>
      <c r="J42" s="933"/>
      <c r="K42" s="358"/>
      <c r="L42" s="359"/>
      <c r="M42" s="932" t="str">
        <f t="shared" si="1"/>
        <v>－</v>
      </c>
      <c r="N42" s="933"/>
      <c r="O42" s="358"/>
      <c r="P42" s="359"/>
      <c r="Q42" s="761"/>
    </row>
    <row r="43" spans="2:17" ht="17.25" customHeight="1">
      <c r="B43" s="354" t="s">
        <v>408</v>
      </c>
      <c r="C43" s="355" t="s">
        <v>409</v>
      </c>
      <c r="D43" s="355"/>
      <c r="E43" s="361" t="str">
        <f>IF('2_区分12加算額計算表'!$F$47=【リスト】!$C$2,"あり","なし")</f>
        <v>なし</v>
      </c>
      <c r="F43" s="357"/>
      <c r="G43" s="358"/>
      <c r="H43" s="359">
        <f>IF(E43="あり",0.8,0)</f>
        <v>0</v>
      </c>
      <c r="I43" s="932" t="str">
        <f t="shared" si="0"/>
        <v>－</v>
      </c>
      <c r="J43" s="933"/>
      <c r="K43" s="358"/>
      <c r="L43" s="359"/>
      <c r="M43" s="932" t="str">
        <f t="shared" si="1"/>
        <v>－</v>
      </c>
      <c r="N43" s="933"/>
      <c r="O43" s="358"/>
      <c r="P43" s="359"/>
      <c r="Q43" s="761"/>
    </row>
    <row r="44" spans="2:17" ht="17.25" customHeight="1">
      <c r="B44" s="354" t="s">
        <v>410</v>
      </c>
      <c r="C44" s="355" t="s">
        <v>411</v>
      </c>
      <c r="D44" s="355"/>
      <c r="E44" s="361" t="str">
        <f>IF('2_区分12加算額計算表'!$F$48=【リスト】!$C$2,"あり","なし")</f>
        <v>なし</v>
      </c>
      <c r="F44" s="357"/>
      <c r="G44" s="358"/>
      <c r="H44" s="359">
        <f>IF(E44="あり",0.8,0)</f>
        <v>0</v>
      </c>
      <c r="I44" s="932" t="str">
        <f t="shared" si="0"/>
        <v>－</v>
      </c>
      <c r="J44" s="933"/>
      <c r="K44" s="358"/>
      <c r="L44" s="359"/>
      <c r="M44" s="932" t="str">
        <f t="shared" si="1"/>
        <v>－</v>
      </c>
      <c r="N44" s="933"/>
      <c r="O44" s="358"/>
      <c r="P44" s="359"/>
      <c r="Q44" s="761"/>
    </row>
    <row r="45" spans="2:17" ht="17.25" customHeight="1">
      <c r="B45" s="354" t="s">
        <v>412</v>
      </c>
      <c r="C45" s="934" t="s">
        <v>15</v>
      </c>
      <c r="D45" s="935"/>
      <c r="E45" s="361" t="str">
        <f>IF('2_区分12加算額計算表'!$F$49=【リスト】!$E$2,"あり","なし")</f>
        <v>なし</v>
      </c>
      <c r="F45" s="365"/>
      <c r="G45" s="358"/>
      <c r="H45" s="359">
        <f>IF(E45="あり",0.6,0)</f>
        <v>0</v>
      </c>
      <c r="I45" s="376"/>
      <c r="J45" s="377"/>
      <c r="K45" s="358"/>
      <c r="L45" s="359"/>
      <c r="M45" s="750"/>
      <c r="N45" s="751"/>
      <c r="O45" s="358"/>
      <c r="P45" s="359"/>
      <c r="Q45" s="761"/>
    </row>
    <row r="46" spans="2:17" ht="17.25" customHeight="1" thickBot="1">
      <c r="B46" s="354" t="s">
        <v>413</v>
      </c>
      <c r="C46" s="378" t="s">
        <v>414</v>
      </c>
      <c r="D46" s="355"/>
      <c r="E46" s="361" t="str">
        <f>IF('2_区分12加算額計算表'!$F$32=【リスト】!$C$2,"あり","なし")</f>
        <v>なし</v>
      </c>
      <c r="F46" s="365"/>
      <c r="G46" s="358"/>
      <c r="H46" s="379">
        <f>IF(E46="あり",-1,0)</f>
        <v>0</v>
      </c>
      <c r="I46" s="932" t="str">
        <f t="shared" si="0"/>
        <v>－</v>
      </c>
      <c r="J46" s="933"/>
      <c r="K46" s="358"/>
      <c r="L46" s="379"/>
      <c r="M46" s="932" t="str">
        <f t="shared" si="1"/>
        <v>－</v>
      </c>
      <c r="N46" s="933"/>
      <c r="O46" s="358"/>
      <c r="P46" s="379"/>
      <c r="Q46" s="762"/>
    </row>
    <row r="47" spans="2:17" ht="44.25" customHeight="1" thickBot="1">
      <c r="B47" s="354" t="s">
        <v>415</v>
      </c>
      <c r="C47" s="936" t="s">
        <v>416</v>
      </c>
      <c r="D47" s="936"/>
      <c r="E47" s="362" t="str">
        <f>IF('2_区分12加算額計算表'!$F$44=【リスト】!$C$2,"該当","非該当")</f>
        <v>非該当</v>
      </c>
      <c r="F47" s="255"/>
      <c r="G47" s="380"/>
      <c r="H47" s="379">
        <f>IF(E47="該当",-F47,0)</f>
        <v>0</v>
      </c>
      <c r="I47" s="932" t="str">
        <f t="shared" si="0"/>
        <v>－</v>
      </c>
      <c r="J47" s="933"/>
      <c r="K47" s="380"/>
      <c r="L47" s="379"/>
      <c r="M47" s="932" t="str">
        <f t="shared" si="1"/>
        <v>－</v>
      </c>
      <c r="N47" s="933"/>
      <c r="O47" s="380"/>
      <c r="P47" s="379"/>
      <c r="Q47" s="762"/>
    </row>
    <row r="48" spans="2:17" ht="24" customHeight="1" thickBot="1">
      <c r="B48" s="354" t="s">
        <v>417</v>
      </c>
      <c r="C48" s="355" t="s">
        <v>418</v>
      </c>
      <c r="D48" s="355"/>
      <c r="E48" s="256"/>
      <c r="F48" s="255"/>
      <c r="G48" s="380"/>
      <c r="H48" s="379">
        <f>IF(E48="該当",-F48,0)</f>
        <v>0</v>
      </c>
      <c r="I48" s="932" t="str">
        <f t="shared" si="0"/>
        <v>－</v>
      </c>
      <c r="J48" s="933"/>
      <c r="K48" s="380"/>
      <c r="L48" s="379"/>
      <c r="M48" s="932" t="str">
        <f t="shared" si="1"/>
        <v>－</v>
      </c>
      <c r="N48" s="933"/>
      <c r="O48" s="380"/>
      <c r="P48" s="379"/>
      <c r="Q48" s="762"/>
    </row>
    <row r="49" spans="1:17" ht="24" customHeight="1" thickBot="1">
      <c r="B49" s="381" t="s">
        <v>419</v>
      </c>
      <c r="C49" s="382"/>
      <c r="D49" s="382"/>
      <c r="E49" s="383"/>
      <c r="F49" s="384"/>
      <c r="G49" s="385">
        <f>F9+F10</f>
        <v>0</v>
      </c>
      <c r="H49" s="386">
        <f>IF(G49&lt;=90,1.4,2.2)</f>
        <v>1.4</v>
      </c>
      <c r="I49" s="387"/>
      <c r="J49" s="384"/>
      <c r="K49" s="385">
        <f>IF(E7="あり",J9+J10,0)</f>
        <v>0</v>
      </c>
      <c r="L49" s="386">
        <f>IF(E7="あり",IF(K49&lt;=90,1.4,2.2),0)</f>
        <v>0</v>
      </c>
      <c r="M49" s="387"/>
      <c r="N49" s="384"/>
      <c r="O49" s="385">
        <f>IF(E7="あり",N9+N10,0)</f>
        <v>0</v>
      </c>
      <c r="P49" s="386">
        <f>IF(E7="あり",IF(O49&lt;=90,1.4,2.2),0)</f>
        <v>0</v>
      </c>
      <c r="Q49" s="761"/>
    </row>
    <row r="50" spans="1:17" ht="24" customHeight="1" thickTop="1" thickBot="1">
      <c r="B50" s="388" t="s">
        <v>342</v>
      </c>
      <c r="E50" s="389"/>
      <c r="F50" s="390"/>
      <c r="G50" s="391"/>
      <c r="H50" s="392">
        <f>SUM(H32:H49)</f>
        <v>1.4</v>
      </c>
      <c r="I50" s="264"/>
      <c r="J50" s="390"/>
      <c r="K50" s="391"/>
      <c r="L50" s="392">
        <f>SUM(L32:L49)</f>
        <v>0</v>
      </c>
      <c r="M50" s="264"/>
      <c r="N50" s="390"/>
      <c r="O50" s="391"/>
      <c r="P50" s="392">
        <f>SUM(P32:P49)</f>
        <v>0</v>
      </c>
      <c r="Q50" s="760"/>
    </row>
    <row r="51" spans="1:17" ht="24" customHeight="1" thickBot="1">
      <c r="B51" s="393" t="s">
        <v>420</v>
      </c>
      <c r="C51" s="394"/>
      <c r="D51" s="394"/>
      <c r="E51" s="395"/>
      <c r="F51" s="396"/>
      <c r="G51" s="397"/>
      <c r="H51" s="398">
        <f>ROUND(H50,0)</f>
        <v>1</v>
      </c>
      <c r="I51" s="394"/>
      <c r="J51" s="396"/>
      <c r="K51" s="397"/>
      <c r="L51" s="398">
        <f>ROUND(L50,0)</f>
        <v>0</v>
      </c>
      <c r="M51" s="394"/>
      <c r="N51" s="396"/>
      <c r="O51" s="397"/>
      <c r="P51" s="398">
        <f>ROUND(P50,0)</f>
        <v>0</v>
      </c>
      <c r="Q51" s="763"/>
    </row>
    <row r="52" spans="1:17" ht="12" customHeight="1">
      <c r="G52" s="399"/>
    </row>
    <row r="53" spans="1:17" ht="21.75" customHeight="1" thickBot="1">
      <c r="A53" s="400" t="s">
        <v>421</v>
      </c>
      <c r="E53" s="264"/>
      <c r="G53" s="401"/>
      <c r="H53" s="402" t="s">
        <v>422</v>
      </c>
      <c r="I53" s="403" t="s">
        <v>423</v>
      </c>
    </row>
    <row r="54" spans="1:17" ht="21.75" customHeight="1" thickBot="1">
      <c r="B54" s="404" t="s">
        <v>424</v>
      </c>
      <c r="C54" s="405"/>
      <c r="D54" s="405"/>
      <c r="E54" s="394"/>
      <c r="F54" s="406"/>
      <c r="G54" s="407">
        <f>(H51+L51+P51)/3</f>
        <v>0.33333333333333331</v>
      </c>
      <c r="H54" s="408">
        <f>IF(ROUND(G54,0)=0,1,ROUND(G54,0))</f>
        <v>1</v>
      </c>
      <c r="I54" s="869">
        <f>処遇改善等加算に係る経験年数算定表!AS88</f>
        <v>0</v>
      </c>
    </row>
    <row r="55" spans="1:17" ht="21.75" customHeight="1" thickBot="1">
      <c r="B55" s="409" t="s">
        <v>425</v>
      </c>
      <c r="C55" s="410"/>
      <c r="D55" s="410"/>
      <c r="E55" s="411"/>
      <c r="F55" s="412"/>
      <c r="G55" s="413">
        <f>(H51+L51+P51)/5</f>
        <v>0.2</v>
      </c>
      <c r="H55" s="414">
        <f>IF(ROUND(G55,0)=0,1,ROUND(G55,0))</f>
        <v>1</v>
      </c>
      <c r="I55" s="869">
        <f>処遇改善等加算に係る経験年数算定表!AT88</f>
        <v>0</v>
      </c>
    </row>
    <row r="56" spans="1:17" ht="21.75" customHeight="1">
      <c r="E56" s="264"/>
      <c r="H56" s="399"/>
      <c r="I56" s="266"/>
    </row>
    <row r="57" spans="1:17" ht="21.75" customHeight="1" thickBot="1">
      <c r="A57" s="267" t="s">
        <v>426</v>
      </c>
      <c r="E57" s="264"/>
    </row>
    <row r="58" spans="1:17" ht="21.75" customHeight="1" thickBot="1">
      <c r="B58" s="415"/>
      <c r="C58" s="416">
        <v>50420</v>
      </c>
      <c r="D58" s="417" t="s">
        <v>427</v>
      </c>
      <c r="E58" s="417"/>
      <c r="F58" s="418"/>
      <c r="G58" s="419"/>
      <c r="H58" s="247">
        <f>IF(I54="","実人数を入力してください",IF(ISBLANK(I54),C58*H54,IF(H54&lt;I54,C58*H54,C58*I54)))</f>
        <v>0</v>
      </c>
    </row>
    <row r="59" spans="1:17" ht="21.75" customHeight="1" thickBot="1">
      <c r="B59" s="420"/>
      <c r="C59" s="421">
        <v>6300</v>
      </c>
      <c r="D59" s="421" t="s">
        <v>428</v>
      </c>
      <c r="E59" s="421"/>
      <c r="F59" s="422"/>
      <c r="G59" s="423"/>
      <c r="H59" s="248">
        <f>IF(I55="","実人数を入力してください",IF(ISBLANK(I55),C59*H55,IF(H55&lt;I55,C59*H55,C59*I55)))</f>
        <v>0</v>
      </c>
    </row>
    <row r="60" spans="1:17" ht="21.75" customHeight="1" thickTop="1" thickBot="1">
      <c r="B60" s="424"/>
      <c r="C60" s="425" t="s">
        <v>429</v>
      </c>
      <c r="D60" s="426"/>
      <c r="E60" s="426"/>
      <c r="F60" s="426"/>
      <c r="G60" s="426"/>
      <c r="H60" s="249">
        <f>SUM(H58:H59)</f>
        <v>0</v>
      </c>
    </row>
    <row r="61" spans="1:17" ht="33.75" customHeight="1"/>
    <row r="62" spans="1:17" ht="33.75" customHeight="1"/>
    <row r="63" spans="1:17" ht="33.75" customHeight="1"/>
    <row r="64" spans="1:17" ht="33.75" customHeight="1"/>
    <row r="65" ht="33.75" customHeight="1"/>
    <row r="66" ht="33.75" customHeight="1"/>
    <row r="67" ht="33.75" customHeight="1"/>
    <row r="68" ht="33.75" customHeight="1"/>
    <row r="69" ht="33.75" customHeight="1"/>
    <row r="70" ht="33.7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row r="129" ht="20.25" customHeight="1"/>
    <row r="130" ht="20.25" customHeight="1"/>
    <row r="131" ht="20.25" customHeight="1"/>
  </sheetData>
  <mergeCells count="46">
    <mergeCell ref="M44:N44"/>
    <mergeCell ref="M46:N46"/>
    <mergeCell ref="M47:N47"/>
    <mergeCell ref="M48:N48"/>
    <mergeCell ref="M39:N39"/>
    <mergeCell ref="M40:N40"/>
    <mergeCell ref="M41:N41"/>
    <mergeCell ref="M42:N42"/>
    <mergeCell ref="M43:N43"/>
    <mergeCell ref="M21:P21"/>
    <mergeCell ref="O22:P22"/>
    <mergeCell ref="M36:N36"/>
    <mergeCell ref="M37:N37"/>
    <mergeCell ref="M38:N38"/>
    <mergeCell ref="C16:D16"/>
    <mergeCell ref="B3:C3"/>
    <mergeCell ref="D3:H3"/>
    <mergeCell ref="B6:D6"/>
    <mergeCell ref="B7:D7"/>
    <mergeCell ref="B8:E8"/>
    <mergeCell ref="C9:E9"/>
    <mergeCell ref="C10:E10"/>
    <mergeCell ref="B11:E11"/>
    <mergeCell ref="C12:D12"/>
    <mergeCell ref="C13:D13"/>
    <mergeCell ref="C15:D15"/>
    <mergeCell ref="I41:J41"/>
    <mergeCell ref="C17:D17"/>
    <mergeCell ref="C18:L18"/>
    <mergeCell ref="E21:H21"/>
    <mergeCell ref="I21:L21"/>
    <mergeCell ref="G22:H22"/>
    <mergeCell ref="K22:L22"/>
    <mergeCell ref="I36:J36"/>
    <mergeCell ref="I37:J37"/>
    <mergeCell ref="I38:J38"/>
    <mergeCell ref="I39:J39"/>
    <mergeCell ref="I40:J40"/>
    <mergeCell ref="I48:J48"/>
    <mergeCell ref="I42:J42"/>
    <mergeCell ref="I43:J43"/>
    <mergeCell ref="I44:J44"/>
    <mergeCell ref="C45:D45"/>
    <mergeCell ref="I46:J46"/>
    <mergeCell ref="C47:D47"/>
    <mergeCell ref="I47:J47"/>
  </mergeCells>
  <phoneticPr fontId="4"/>
  <dataValidations count="3">
    <dataValidation type="list" allowBlank="1" showInputMessage="1" showErrorMessage="1" sqref="E47:E48" xr:uid="{39F29AF5-DC69-44E5-B9E1-C28494BE9647}">
      <formula1>"　,該当,非該当"</formula1>
    </dataValidation>
    <dataValidation type="list" allowBlank="1" showInputMessage="1" showErrorMessage="1" sqref="E27:E28 E49 I35 E7 I27:I28 I49 E35:E46 E25 I25 E30 I30 M35 M27:M28 M49 M25 M30" xr:uid="{CE585CA6-0BA4-460E-B111-76EB086994F0}">
      <formula1>"　,あり,なし"</formula1>
    </dataValidation>
    <dataValidation type="whole" allowBlank="1" showInputMessage="1" showErrorMessage="1" sqref="F12:F17 J12:J17 I54:I55 N12:N17" xr:uid="{5A055C5B-D2D0-4123-A584-6611C50FD821}">
      <formula1>0</formula1>
      <formula2>1000</formula2>
    </dataValidation>
  </dataValidations>
  <pageMargins left="0.92" right="0.56000000000000005" top="0.75" bottom="0.37" header="0.3" footer="0.3"/>
  <pageSetup paperSize="9" scale="38"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0102C-FFA1-4622-8570-79148B4DDC60}">
  <sheetPr>
    <pageSetUpPr fitToPage="1"/>
  </sheetPr>
  <dimension ref="A1:BB141"/>
  <sheetViews>
    <sheetView showGridLines="0" view="pageBreakPreview" zoomScaleNormal="100" zoomScaleSheetLayoutView="100" workbookViewId="0">
      <pane ySplit="7" topLeftCell="A8" activePane="bottomLeft" state="frozenSplit"/>
      <selection activeCell="R22" sqref="R22"/>
      <selection pane="bottomLeft" activeCell="P8" sqref="P8"/>
    </sheetView>
  </sheetViews>
  <sheetFormatPr defaultColWidth="9" defaultRowHeight="14.25"/>
  <cols>
    <col min="1" max="1" width="3.625" style="764" customWidth="1"/>
    <col min="2" max="7" width="2.125" style="764" customWidth="1"/>
    <col min="8" max="8" width="2.75" style="764" customWidth="1"/>
    <col min="9" max="12" width="2.125" style="764" customWidth="1"/>
    <col min="13" max="13" width="1.75" style="764" customWidth="1"/>
    <col min="14" max="18" width="2.125" style="764" customWidth="1"/>
    <col min="19" max="19" width="2" style="764" customWidth="1"/>
    <col min="20" max="24" width="2.125" style="764" customWidth="1"/>
    <col min="25" max="26" width="2" style="764" customWidth="1"/>
    <col min="27" max="42" width="2.125" style="764" customWidth="1"/>
    <col min="43" max="44" width="4.125" style="833" customWidth="1"/>
    <col min="45" max="46" width="3.875" style="764" customWidth="1"/>
    <col min="47" max="48" width="9" style="765"/>
    <col min="49" max="16384" width="9" style="764"/>
  </cols>
  <sheetData>
    <row r="1" spans="1:51" ht="36.75" customHeight="1">
      <c r="B1" s="1123" t="s">
        <v>845</v>
      </c>
      <c r="C1" s="1123"/>
      <c r="D1" s="1123"/>
      <c r="E1" s="1123"/>
      <c r="F1" s="1123"/>
      <c r="G1" s="1123"/>
      <c r="H1" s="1123"/>
      <c r="I1" s="1123"/>
      <c r="J1" s="1123"/>
      <c r="K1" s="1123"/>
      <c r="L1" s="1123"/>
      <c r="M1" s="1123"/>
      <c r="N1" s="1123"/>
      <c r="O1" s="1123"/>
      <c r="P1" s="1123"/>
      <c r="Q1" s="1123"/>
      <c r="R1" s="1123"/>
      <c r="S1" s="1123"/>
      <c r="T1" s="1123"/>
      <c r="U1" s="1123"/>
      <c r="V1" s="1123"/>
      <c r="W1" s="1123"/>
      <c r="X1" s="1123"/>
      <c r="Y1" s="1123"/>
      <c r="Z1" s="1123"/>
      <c r="AA1" s="1123"/>
      <c r="AB1" s="1123"/>
      <c r="AC1" s="1123"/>
      <c r="AD1" s="1123"/>
      <c r="AE1" s="1123"/>
      <c r="AF1" s="1123"/>
      <c r="AG1" s="1123"/>
      <c r="AH1" s="1123"/>
      <c r="AI1" s="1123"/>
      <c r="AJ1" s="1123"/>
      <c r="AK1" s="1123"/>
      <c r="AL1" s="1123"/>
      <c r="AM1" s="1123"/>
      <c r="AN1" s="1123"/>
      <c r="AO1" s="1123"/>
      <c r="AP1" s="1123"/>
      <c r="AQ1" s="835"/>
      <c r="AR1" s="835"/>
    </row>
    <row r="2" spans="1:51" ht="6" customHeight="1" thickBot="1"/>
    <row r="3" spans="1:51">
      <c r="B3" s="1047" t="s">
        <v>844</v>
      </c>
      <c r="C3" s="1000"/>
      <c r="D3" s="1000"/>
      <c r="E3" s="1000"/>
      <c r="F3" s="1000"/>
      <c r="G3" s="1001"/>
      <c r="H3" s="1053"/>
      <c r="I3" s="1054"/>
      <c r="J3" s="1054"/>
      <c r="K3" s="1054"/>
      <c r="L3" s="1054"/>
      <c r="M3" s="1055"/>
      <c r="N3" s="1000" t="s">
        <v>843</v>
      </c>
      <c r="O3" s="1000"/>
      <c r="P3" s="1000"/>
      <c r="Q3" s="1000"/>
      <c r="R3" s="1000"/>
      <c r="S3" s="1001"/>
      <c r="T3" s="1000" t="s">
        <v>842</v>
      </c>
      <c r="U3" s="1000"/>
      <c r="V3" s="1000"/>
      <c r="W3" s="1000"/>
      <c r="X3" s="1000"/>
      <c r="Y3" s="1001"/>
      <c r="Z3" s="1026" t="s">
        <v>841</v>
      </c>
      <c r="AA3" s="1000"/>
      <c r="AB3" s="1000"/>
      <c r="AC3" s="1000"/>
      <c r="AD3" s="1000"/>
      <c r="AE3" s="1000"/>
      <c r="AF3" s="1028"/>
      <c r="AG3" s="1004"/>
      <c r="AH3" s="1004"/>
      <c r="AI3" s="1004"/>
      <c r="AJ3" s="1000" t="s">
        <v>822</v>
      </c>
      <c r="AK3" s="1020"/>
      <c r="AL3" s="1020"/>
      <c r="AM3" s="1008" t="s">
        <v>821</v>
      </c>
      <c r="AN3" s="1022"/>
      <c r="AO3" s="1022"/>
      <c r="AP3" s="1006" t="s">
        <v>829</v>
      </c>
      <c r="AQ3" s="983" t="s">
        <v>853</v>
      </c>
      <c r="AR3" s="984"/>
      <c r="AS3" s="970" t="s">
        <v>870</v>
      </c>
      <c r="AT3" s="971"/>
      <c r="AU3" s="971"/>
      <c r="AV3" s="972"/>
    </row>
    <row r="4" spans="1:51" ht="15" thickBot="1">
      <c r="B4" s="1048"/>
      <c r="C4" s="1002"/>
      <c r="D4" s="1002"/>
      <c r="E4" s="1002"/>
      <c r="F4" s="1002"/>
      <c r="G4" s="1003"/>
      <c r="H4" s="1056"/>
      <c r="I4" s="1057"/>
      <c r="J4" s="1057"/>
      <c r="K4" s="1057"/>
      <c r="L4" s="1057"/>
      <c r="M4" s="1058"/>
      <c r="N4" s="1002"/>
      <c r="O4" s="1002"/>
      <c r="P4" s="1002"/>
      <c r="Q4" s="1002"/>
      <c r="R4" s="1002"/>
      <c r="S4" s="1003"/>
      <c r="T4" s="1002"/>
      <c r="U4" s="1002"/>
      <c r="V4" s="1002"/>
      <c r="W4" s="1002"/>
      <c r="X4" s="1002"/>
      <c r="Y4" s="1003"/>
      <c r="Z4" s="1027"/>
      <c r="AA4" s="1002"/>
      <c r="AB4" s="1002"/>
      <c r="AC4" s="1002"/>
      <c r="AD4" s="1002"/>
      <c r="AE4" s="1002"/>
      <c r="AF4" s="1029"/>
      <c r="AG4" s="1005"/>
      <c r="AH4" s="1005"/>
      <c r="AI4" s="1005"/>
      <c r="AJ4" s="1002"/>
      <c r="AK4" s="1021"/>
      <c r="AL4" s="1021"/>
      <c r="AM4" s="1009"/>
      <c r="AN4" s="1023"/>
      <c r="AO4" s="1023"/>
      <c r="AP4" s="1007"/>
      <c r="AQ4" s="985"/>
      <c r="AR4" s="986"/>
      <c r="AS4" s="973"/>
      <c r="AT4" s="974"/>
      <c r="AU4" s="974"/>
      <c r="AV4" s="975"/>
    </row>
    <row r="5" spans="1:51" ht="14.25" customHeight="1">
      <c r="B5" s="1115" t="s">
        <v>840</v>
      </c>
      <c r="C5" s="1014" t="s">
        <v>839</v>
      </c>
      <c r="D5" s="1014"/>
      <c r="E5" s="1014"/>
      <c r="F5" s="1014"/>
      <c r="G5" s="1014"/>
      <c r="H5" s="1038"/>
      <c r="I5" s="1016" t="s">
        <v>838</v>
      </c>
      <c r="J5" s="1014"/>
      <c r="K5" s="1014"/>
      <c r="L5" s="1014"/>
      <c r="M5" s="1038"/>
      <c r="N5" s="1040" t="s">
        <v>837</v>
      </c>
      <c r="O5" s="1041"/>
      <c r="P5" s="1041"/>
      <c r="Q5" s="1041"/>
      <c r="R5" s="1041"/>
      <c r="S5" s="1042"/>
      <c r="T5" s="1124" t="s">
        <v>836</v>
      </c>
      <c r="U5" s="1124"/>
      <c r="V5" s="1124"/>
      <c r="W5" s="1124"/>
      <c r="X5" s="1124"/>
      <c r="Y5" s="1125"/>
      <c r="Z5" s="1049" t="s">
        <v>835</v>
      </c>
      <c r="AA5" s="1049"/>
      <c r="AB5" s="1049"/>
      <c r="AC5" s="1049"/>
      <c r="AD5" s="1049"/>
      <c r="AE5" s="1050"/>
      <c r="AF5" s="1013" t="s">
        <v>834</v>
      </c>
      <c r="AG5" s="1014"/>
      <c r="AH5" s="1014"/>
      <c r="AI5" s="1014"/>
      <c r="AJ5" s="1014"/>
      <c r="AK5" s="1014"/>
      <c r="AL5" s="1014"/>
      <c r="AM5" s="1014"/>
      <c r="AN5" s="1014"/>
      <c r="AO5" s="1014"/>
      <c r="AP5" s="1015"/>
      <c r="AQ5" s="987" t="s">
        <v>110</v>
      </c>
      <c r="AR5" s="988" t="s">
        <v>34</v>
      </c>
      <c r="AS5" s="964" t="s">
        <v>871</v>
      </c>
      <c r="AT5" s="967" t="s">
        <v>872</v>
      </c>
      <c r="AU5" s="976" t="s">
        <v>873</v>
      </c>
      <c r="AV5" s="977"/>
    </row>
    <row r="6" spans="1:51">
      <c r="B6" s="1116"/>
      <c r="C6" s="1014"/>
      <c r="D6" s="1014"/>
      <c r="E6" s="1014"/>
      <c r="F6" s="1014"/>
      <c r="G6" s="1014"/>
      <c r="H6" s="1038"/>
      <c r="I6" s="1016"/>
      <c r="J6" s="1014"/>
      <c r="K6" s="1014"/>
      <c r="L6" s="1014"/>
      <c r="M6" s="1038"/>
      <c r="N6" s="1043"/>
      <c r="O6" s="1041"/>
      <c r="P6" s="1041"/>
      <c r="Q6" s="1041"/>
      <c r="R6" s="1041"/>
      <c r="S6" s="1042"/>
      <c r="T6" s="1126"/>
      <c r="U6" s="1126"/>
      <c r="V6" s="1126"/>
      <c r="W6" s="1126"/>
      <c r="X6" s="1126"/>
      <c r="Y6" s="1127"/>
      <c r="Z6" s="1049"/>
      <c r="AA6" s="1049"/>
      <c r="AB6" s="1049"/>
      <c r="AC6" s="1049"/>
      <c r="AD6" s="1049"/>
      <c r="AE6" s="1050"/>
      <c r="AF6" s="1016"/>
      <c r="AG6" s="1014"/>
      <c r="AH6" s="1014"/>
      <c r="AI6" s="1014"/>
      <c r="AJ6" s="1014"/>
      <c r="AK6" s="1014"/>
      <c r="AL6" s="1014"/>
      <c r="AM6" s="1014"/>
      <c r="AN6" s="1014"/>
      <c r="AO6" s="1014"/>
      <c r="AP6" s="1015"/>
      <c r="AQ6" s="987"/>
      <c r="AR6" s="988"/>
      <c r="AS6" s="965"/>
      <c r="AT6" s="968"/>
      <c r="AU6" s="978" t="s">
        <v>833</v>
      </c>
      <c r="AV6" s="980" t="s">
        <v>832</v>
      </c>
      <c r="AW6" s="982" t="s">
        <v>875</v>
      </c>
    </row>
    <row r="7" spans="1:51" ht="15" thickBot="1">
      <c r="B7" s="1116"/>
      <c r="C7" s="1018"/>
      <c r="D7" s="1018"/>
      <c r="E7" s="1018"/>
      <c r="F7" s="1018"/>
      <c r="G7" s="1018"/>
      <c r="H7" s="1039"/>
      <c r="I7" s="1017"/>
      <c r="J7" s="1018"/>
      <c r="K7" s="1018"/>
      <c r="L7" s="1018"/>
      <c r="M7" s="1039"/>
      <c r="N7" s="1044"/>
      <c r="O7" s="1045"/>
      <c r="P7" s="1045"/>
      <c r="Q7" s="1045"/>
      <c r="R7" s="1045"/>
      <c r="S7" s="1046"/>
      <c r="T7" s="1128"/>
      <c r="U7" s="1128"/>
      <c r="V7" s="1128"/>
      <c r="W7" s="1128"/>
      <c r="X7" s="1128"/>
      <c r="Y7" s="1129"/>
      <c r="Z7" s="1051"/>
      <c r="AA7" s="1051"/>
      <c r="AB7" s="1051"/>
      <c r="AC7" s="1051"/>
      <c r="AD7" s="1051"/>
      <c r="AE7" s="1052"/>
      <c r="AF7" s="1017"/>
      <c r="AG7" s="1018"/>
      <c r="AH7" s="1018"/>
      <c r="AI7" s="1018"/>
      <c r="AJ7" s="1018"/>
      <c r="AK7" s="1018"/>
      <c r="AL7" s="1018"/>
      <c r="AM7" s="1018"/>
      <c r="AN7" s="1018"/>
      <c r="AO7" s="1018"/>
      <c r="AP7" s="1019"/>
      <c r="AQ7" s="987"/>
      <c r="AR7" s="988"/>
      <c r="AS7" s="966"/>
      <c r="AT7" s="969"/>
      <c r="AU7" s="979"/>
      <c r="AV7" s="981"/>
      <c r="AW7" s="982"/>
    </row>
    <row r="8" spans="1:51" ht="13.15" customHeight="1">
      <c r="A8" s="791">
        <v>1</v>
      </c>
      <c r="B8" s="1116"/>
      <c r="C8" s="1033"/>
      <c r="D8" s="1033"/>
      <c r="E8" s="1033"/>
      <c r="F8" s="1033"/>
      <c r="G8" s="1033"/>
      <c r="H8" s="1034"/>
      <c r="I8" s="1032"/>
      <c r="J8" s="1033"/>
      <c r="K8" s="1033"/>
      <c r="L8" s="1033"/>
      <c r="M8" s="1034"/>
      <c r="N8" s="1035"/>
      <c r="O8" s="1036"/>
      <c r="P8" s="823" t="s">
        <v>822</v>
      </c>
      <c r="Q8" s="1036"/>
      <c r="R8" s="1036"/>
      <c r="S8" s="822" t="s">
        <v>821</v>
      </c>
      <c r="T8" s="1037"/>
      <c r="U8" s="1037"/>
      <c r="V8" s="823" t="s">
        <v>822</v>
      </c>
      <c r="W8" s="1036"/>
      <c r="X8" s="1036"/>
      <c r="Y8" s="822" t="s">
        <v>821</v>
      </c>
      <c r="Z8" s="1030">
        <f t="shared" ref="Z8:Z39" si="0">(N8+T8)+QUOTIENT((Q8+W8),12)</f>
        <v>0</v>
      </c>
      <c r="AA8" s="1031"/>
      <c r="AB8" s="821" t="s">
        <v>822</v>
      </c>
      <c r="AC8" s="1031">
        <f t="shared" ref="AC8:AC39" si="1">MOD(Q8+W8,12)</f>
        <v>0</v>
      </c>
      <c r="AD8" s="1031"/>
      <c r="AE8" s="820" t="s">
        <v>821</v>
      </c>
      <c r="AF8" s="1010"/>
      <c r="AG8" s="1011"/>
      <c r="AH8" s="1037"/>
      <c r="AI8" s="1037"/>
      <c r="AJ8" s="819" t="s">
        <v>822</v>
      </c>
      <c r="AK8" s="1012"/>
      <c r="AL8" s="1012"/>
      <c r="AM8" s="819" t="s">
        <v>830</v>
      </c>
      <c r="AN8" s="1012"/>
      <c r="AO8" s="1012"/>
      <c r="AP8" s="818" t="s">
        <v>829</v>
      </c>
      <c r="AQ8" s="865"/>
      <c r="AR8" s="866"/>
      <c r="AS8" s="854">
        <f>IF(AND(Z8&gt;=7,AQ8="〇"),1,0)</f>
        <v>0</v>
      </c>
      <c r="AT8" s="855">
        <f>IF(AS8=1,0,IF(AND(Z8&gt;=3,OR(AQ8="〇",AR8="〇")),1,0))</f>
        <v>0</v>
      </c>
      <c r="AU8" s="857">
        <f>+IF(AND(Z8&gt;=7,OR(I8="家庭的保育補助者",I8="家庭的保育者",I8="保育士",I8="保育教諭",I8="教諭",I8="副園長(有資格者)",I8="看護師等",I8="教頭(有資格者)")),1,0)</f>
        <v>0</v>
      </c>
      <c r="AV8" s="858">
        <f t="shared" ref="AV8:AV39" si="2">+IF(AND(Z8&gt;=7,OR(I8="栄養士",I8="調理員")),1,0)</f>
        <v>0</v>
      </c>
      <c r="AW8" s="856" t="str">
        <f>IF(AND(AT8=1,OR(AU8=1,AV8=1)),35000,"")</f>
        <v/>
      </c>
      <c r="AX8" s="817"/>
      <c r="AY8" s="816"/>
    </row>
    <row r="9" spans="1:51" ht="13.15" customHeight="1">
      <c r="A9" s="791">
        <v>2</v>
      </c>
      <c r="B9" s="1116"/>
      <c r="C9" s="994"/>
      <c r="D9" s="995"/>
      <c r="E9" s="995"/>
      <c r="F9" s="995"/>
      <c r="G9" s="995"/>
      <c r="H9" s="996"/>
      <c r="I9" s="997"/>
      <c r="J9" s="995"/>
      <c r="K9" s="995"/>
      <c r="L9" s="995"/>
      <c r="M9" s="996"/>
      <c r="N9" s="998"/>
      <c r="O9" s="989"/>
      <c r="P9" s="815" t="s">
        <v>822</v>
      </c>
      <c r="Q9" s="989"/>
      <c r="R9" s="989"/>
      <c r="S9" s="814" t="s">
        <v>821</v>
      </c>
      <c r="T9" s="989"/>
      <c r="U9" s="989"/>
      <c r="V9" s="815" t="s">
        <v>822</v>
      </c>
      <c r="W9" s="989"/>
      <c r="X9" s="989"/>
      <c r="Y9" s="814" t="s">
        <v>821</v>
      </c>
      <c r="Z9" s="990">
        <f t="shared" si="0"/>
        <v>0</v>
      </c>
      <c r="AA9" s="991"/>
      <c r="AB9" s="813" t="s">
        <v>822</v>
      </c>
      <c r="AC9" s="991">
        <f t="shared" si="1"/>
        <v>0</v>
      </c>
      <c r="AD9" s="991"/>
      <c r="AE9" s="809" t="s">
        <v>821</v>
      </c>
      <c r="AF9" s="992"/>
      <c r="AG9" s="993"/>
      <c r="AH9" s="1130"/>
      <c r="AI9" s="1130"/>
      <c r="AJ9" s="812" t="s">
        <v>822</v>
      </c>
      <c r="AK9" s="999"/>
      <c r="AL9" s="999"/>
      <c r="AM9" s="812" t="s">
        <v>830</v>
      </c>
      <c r="AN9" s="999"/>
      <c r="AO9" s="999"/>
      <c r="AP9" s="811" t="s">
        <v>829</v>
      </c>
      <c r="AQ9" s="865"/>
      <c r="AR9" s="866"/>
      <c r="AS9" s="854">
        <f t="shared" ref="AS9:AS72" si="3">IF(AND(Z9&gt;=7,AQ9="〇"),1,0)</f>
        <v>0</v>
      </c>
      <c r="AT9" s="855">
        <f t="shared" ref="AT9:AT72" si="4">IF(AS9=1,0,IF(AND(Z9&gt;=3,OR(AQ9="〇",AR9="〇")),1,0))</f>
        <v>0</v>
      </c>
      <c r="AU9" s="857">
        <f t="shared" ref="AU9:AU72" si="5">+IF(AND(Z9&gt;=7,OR(I9="家庭的保育補助者",I9="家庭的保育者",I9="保育士",I9="保育教諭",I9="教諭",I9="副園長(有資格者)",I9="看護師等",I9="教頭(有資格者)")),1,0)</f>
        <v>0</v>
      </c>
      <c r="AV9" s="858">
        <f t="shared" si="2"/>
        <v>0</v>
      </c>
      <c r="AW9" s="856" t="str">
        <f t="shared" ref="AW9:AW72" si="6">IF(AND(AT9=1,OR(AU9=1,AV9=1)),35000,"")</f>
        <v/>
      </c>
      <c r="AX9" s="806"/>
      <c r="AY9" s="800"/>
    </row>
    <row r="10" spans="1:51" ht="13.15" customHeight="1">
      <c r="A10" s="791">
        <v>3</v>
      </c>
      <c r="B10" s="1116"/>
      <c r="C10" s="994"/>
      <c r="D10" s="995"/>
      <c r="E10" s="995"/>
      <c r="F10" s="995"/>
      <c r="G10" s="995"/>
      <c r="H10" s="996"/>
      <c r="I10" s="997"/>
      <c r="J10" s="995"/>
      <c r="K10" s="995"/>
      <c r="L10" s="995"/>
      <c r="M10" s="996"/>
      <c r="N10" s="998"/>
      <c r="O10" s="989"/>
      <c r="P10" s="815" t="s">
        <v>822</v>
      </c>
      <c r="Q10" s="989"/>
      <c r="R10" s="989"/>
      <c r="S10" s="822" t="s">
        <v>831</v>
      </c>
      <c r="T10" s="989"/>
      <c r="U10" s="989"/>
      <c r="V10" s="815" t="s">
        <v>822</v>
      </c>
      <c r="W10" s="989"/>
      <c r="X10" s="989"/>
      <c r="Y10" s="822" t="s">
        <v>831</v>
      </c>
      <c r="Z10" s="990">
        <f t="shared" si="0"/>
        <v>0</v>
      </c>
      <c r="AA10" s="991"/>
      <c r="AB10" s="813" t="s">
        <v>822</v>
      </c>
      <c r="AC10" s="991">
        <f t="shared" si="1"/>
        <v>0</v>
      </c>
      <c r="AD10" s="991"/>
      <c r="AE10" s="809" t="s">
        <v>821</v>
      </c>
      <c r="AF10" s="992"/>
      <c r="AG10" s="993"/>
      <c r="AH10" s="989"/>
      <c r="AI10" s="989"/>
      <c r="AJ10" s="812" t="s">
        <v>822</v>
      </c>
      <c r="AK10" s="999"/>
      <c r="AL10" s="999"/>
      <c r="AM10" s="812" t="s">
        <v>830</v>
      </c>
      <c r="AN10" s="999"/>
      <c r="AO10" s="999"/>
      <c r="AP10" s="811" t="s">
        <v>829</v>
      </c>
      <c r="AQ10" s="865"/>
      <c r="AR10" s="866"/>
      <c r="AS10" s="854">
        <f t="shared" si="3"/>
        <v>0</v>
      </c>
      <c r="AT10" s="855">
        <f t="shared" si="4"/>
        <v>0</v>
      </c>
      <c r="AU10" s="857">
        <f t="shared" si="5"/>
        <v>0</v>
      </c>
      <c r="AV10" s="858">
        <f t="shared" si="2"/>
        <v>0</v>
      </c>
      <c r="AW10" s="856" t="str">
        <f t="shared" si="6"/>
        <v/>
      </c>
      <c r="AX10" s="806"/>
      <c r="AY10" s="800"/>
    </row>
    <row r="11" spans="1:51" ht="13.15" customHeight="1">
      <c r="A11" s="791">
        <v>4</v>
      </c>
      <c r="B11" s="1116"/>
      <c r="C11" s="994"/>
      <c r="D11" s="995"/>
      <c r="E11" s="995"/>
      <c r="F11" s="995"/>
      <c r="G11" s="995"/>
      <c r="H11" s="996"/>
      <c r="I11" s="997"/>
      <c r="J11" s="995"/>
      <c r="K11" s="995"/>
      <c r="L11" s="995"/>
      <c r="M11" s="996"/>
      <c r="N11" s="998"/>
      <c r="O11" s="989"/>
      <c r="P11" s="815" t="s">
        <v>822</v>
      </c>
      <c r="Q11" s="989"/>
      <c r="R11" s="989"/>
      <c r="S11" s="814" t="s">
        <v>831</v>
      </c>
      <c r="T11" s="989"/>
      <c r="U11" s="989"/>
      <c r="V11" s="815" t="s">
        <v>822</v>
      </c>
      <c r="W11" s="989"/>
      <c r="X11" s="989"/>
      <c r="Y11" s="814" t="s">
        <v>831</v>
      </c>
      <c r="Z11" s="990">
        <f t="shared" si="0"/>
        <v>0</v>
      </c>
      <c r="AA11" s="991"/>
      <c r="AB11" s="813" t="s">
        <v>822</v>
      </c>
      <c r="AC11" s="991">
        <f t="shared" si="1"/>
        <v>0</v>
      </c>
      <c r="AD11" s="991"/>
      <c r="AE11" s="809" t="s">
        <v>821</v>
      </c>
      <c r="AF11" s="992"/>
      <c r="AG11" s="993"/>
      <c r="AH11" s="989"/>
      <c r="AI11" s="989"/>
      <c r="AJ11" s="812" t="s">
        <v>822</v>
      </c>
      <c r="AK11" s="999"/>
      <c r="AL11" s="999"/>
      <c r="AM11" s="812" t="s">
        <v>830</v>
      </c>
      <c r="AN11" s="999"/>
      <c r="AO11" s="999"/>
      <c r="AP11" s="811" t="s">
        <v>829</v>
      </c>
      <c r="AQ11" s="865"/>
      <c r="AR11" s="866"/>
      <c r="AS11" s="854">
        <f t="shared" si="3"/>
        <v>0</v>
      </c>
      <c r="AT11" s="855">
        <f t="shared" si="4"/>
        <v>0</v>
      </c>
      <c r="AU11" s="857">
        <f t="shared" si="5"/>
        <v>0</v>
      </c>
      <c r="AV11" s="858">
        <f t="shared" si="2"/>
        <v>0</v>
      </c>
      <c r="AW11" s="856" t="str">
        <f t="shared" si="6"/>
        <v/>
      </c>
      <c r="AX11" s="806"/>
      <c r="AY11" s="800"/>
    </row>
    <row r="12" spans="1:51" ht="13.15" customHeight="1">
      <c r="A12" s="791">
        <v>5</v>
      </c>
      <c r="B12" s="1116"/>
      <c r="C12" s="994"/>
      <c r="D12" s="995"/>
      <c r="E12" s="995"/>
      <c r="F12" s="995"/>
      <c r="G12" s="995"/>
      <c r="H12" s="996"/>
      <c r="I12" s="997"/>
      <c r="J12" s="995"/>
      <c r="K12" s="995"/>
      <c r="L12" s="995"/>
      <c r="M12" s="996"/>
      <c r="N12" s="998"/>
      <c r="O12" s="989"/>
      <c r="P12" s="815" t="s">
        <v>822</v>
      </c>
      <c r="Q12" s="989"/>
      <c r="R12" s="989"/>
      <c r="S12" s="822" t="s">
        <v>831</v>
      </c>
      <c r="T12" s="989"/>
      <c r="U12" s="989"/>
      <c r="V12" s="815" t="s">
        <v>822</v>
      </c>
      <c r="W12" s="989"/>
      <c r="X12" s="989"/>
      <c r="Y12" s="822" t="s">
        <v>831</v>
      </c>
      <c r="Z12" s="990">
        <f t="shared" si="0"/>
        <v>0</v>
      </c>
      <c r="AA12" s="991"/>
      <c r="AB12" s="813" t="s">
        <v>822</v>
      </c>
      <c r="AC12" s="991">
        <f t="shared" si="1"/>
        <v>0</v>
      </c>
      <c r="AD12" s="991"/>
      <c r="AE12" s="809" t="s">
        <v>821</v>
      </c>
      <c r="AF12" s="992"/>
      <c r="AG12" s="993"/>
      <c r="AH12" s="989"/>
      <c r="AI12" s="989"/>
      <c r="AJ12" s="812" t="s">
        <v>822</v>
      </c>
      <c r="AK12" s="999"/>
      <c r="AL12" s="999"/>
      <c r="AM12" s="812" t="s">
        <v>830</v>
      </c>
      <c r="AN12" s="999"/>
      <c r="AO12" s="999"/>
      <c r="AP12" s="811" t="s">
        <v>829</v>
      </c>
      <c r="AQ12" s="865"/>
      <c r="AR12" s="866"/>
      <c r="AS12" s="854">
        <f t="shared" si="3"/>
        <v>0</v>
      </c>
      <c r="AT12" s="855">
        <f t="shared" si="4"/>
        <v>0</v>
      </c>
      <c r="AU12" s="857">
        <f t="shared" si="5"/>
        <v>0</v>
      </c>
      <c r="AV12" s="858">
        <f t="shared" si="2"/>
        <v>0</v>
      </c>
      <c r="AW12" s="856" t="str">
        <f t="shared" si="6"/>
        <v/>
      </c>
      <c r="AX12" s="806"/>
      <c r="AY12" s="800"/>
    </row>
    <row r="13" spans="1:51" ht="13.15" customHeight="1">
      <c r="A13" s="791">
        <v>6</v>
      </c>
      <c r="B13" s="1116"/>
      <c r="C13" s="994"/>
      <c r="D13" s="995"/>
      <c r="E13" s="995"/>
      <c r="F13" s="995"/>
      <c r="G13" s="995"/>
      <c r="H13" s="996"/>
      <c r="I13" s="997"/>
      <c r="J13" s="995"/>
      <c r="K13" s="995"/>
      <c r="L13" s="995"/>
      <c r="M13" s="996"/>
      <c r="N13" s="998"/>
      <c r="O13" s="989"/>
      <c r="P13" s="815" t="s">
        <v>822</v>
      </c>
      <c r="Q13" s="989"/>
      <c r="R13" s="989"/>
      <c r="S13" s="814" t="s">
        <v>831</v>
      </c>
      <c r="T13" s="989"/>
      <c r="U13" s="989"/>
      <c r="V13" s="815" t="s">
        <v>822</v>
      </c>
      <c r="W13" s="989"/>
      <c r="X13" s="989"/>
      <c r="Y13" s="814" t="s">
        <v>831</v>
      </c>
      <c r="Z13" s="990">
        <f t="shared" si="0"/>
        <v>0</v>
      </c>
      <c r="AA13" s="991"/>
      <c r="AB13" s="813" t="s">
        <v>822</v>
      </c>
      <c r="AC13" s="991">
        <f t="shared" si="1"/>
        <v>0</v>
      </c>
      <c r="AD13" s="991"/>
      <c r="AE13" s="809" t="s">
        <v>821</v>
      </c>
      <c r="AF13" s="992"/>
      <c r="AG13" s="993"/>
      <c r="AH13" s="989"/>
      <c r="AI13" s="989"/>
      <c r="AJ13" s="812" t="s">
        <v>822</v>
      </c>
      <c r="AK13" s="999"/>
      <c r="AL13" s="999"/>
      <c r="AM13" s="812" t="s">
        <v>830</v>
      </c>
      <c r="AN13" s="999"/>
      <c r="AO13" s="999"/>
      <c r="AP13" s="811" t="s">
        <v>829</v>
      </c>
      <c r="AQ13" s="865"/>
      <c r="AR13" s="866"/>
      <c r="AS13" s="854">
        <f t="shared" si="3"/>
        <v>0</v>
      </c>
      <c r="AT13" s="855">
        <f t="shared" si="4"/>
        <v>0</v>
      </c>
      <c r="AU13" s="857">
        <f t="shared" si="5"/>
        <v>0</v>
      </c>
      <c r="AV13" s="858">
        <f t="shared" si="2"/>
        <v>0</v>
      </c>
      <c r="AW13" s="856" t="str">
        <f t="shared" si="6"/>
        <v/>
      </c>
      <c r="AX13" s="806"/>
      <c r="AY13" s="800"/>
    </row>
    <row r="14" spans="1:51" ht="13.15" customHeight="1">
      <c r="A14" s="791">
        <v>7</v>
      </c>
      <c r="B14" s="1116"/>
      <c r="C14" s="994"/>
      <c r="D14" s="995"/>
      <c r="E14" s="995"/>
      <c r="F14" s="995"/>
      <c r="G14" s="995"/>
      <c r="H14" s="996"/>
      <c r="I14" s="997"/>
      <c r="J14" s="995"/>
      <c r="K14" s="995"/>
      <c r="L14" s="995"/>
      <c r="M14" s="996"/>
      <c r="N14" s="998"/>
      <c r="O14" s="989"/>
      <c r="P14" s="815" t="s">
        <v>822</v>
      </c>
      <c r="Q14" s="989"/>
      <c r="R14" s="989"/>
      <c r="S14" s="822" t="s">
        <v>831</v>
      </c>
      <c r="T14" s="989"/>
      <c r="U14" s="989"/>
      <c r="V14" s="815" t="s">
        <v>822</v>
      </c>
      <c r="W14" s="989"/>
      <c r="X14" s="989"/>
      <c r="Y14" s="822" t="s">
        <v>831</v>
      </c>
      <c r="Z14" s="990">
        <f t="shared" si="0"/>
        <v>0</v>
      </c>
      <c r="AA14" s="991"/>
      <c r="AB14" s="813" t="s">
        <v>822</v>
      </c>
      <c r="AC14" s="991">
        <f t="shared" si="1"/>
        <v>0</v>
      </c>
      <c r="AD14" s="991"/>
      <c r="AE14" s="809" t="s">
        <v>821</v>
      </c>
      <c r="AF14" s="992"/>
      <c r="AG14" s="993"/>
      <c r="AH14" s="989"/>
      <c r="AI14" s="989"/>
      <c r="AJ14" s="812" t="s">
        <v>822</v>
      </c>
      <c r="AK14" s="999"/>
      <c r="AL14" s="999"/>
      <c r="AM14" s="812" t="s">
        <v>830</v>
      </c>
      <c r="AN14" s="999"/>
      <c r="AO14" s="999"/>
      <c r="AP14" s="811" t="s">
        <v>829</v>
      </c>
      <c r="AQ14" s="865"/>
      <c r="AR14" s="866"/>
      <c r="AS14" s="854">
        <f t="shared" si="3"/>
        <v>0</v>
      </c>
      <c r="AT14" s="855">
        <f t="shared" si="4"/>
        <v>0</v>
      </c>
      <c r="AU14" s="857">
        <f t="shared" si="5"/>
        <v>0</v>
      </c>
      <c r="AV14" s="858">
        <f t="shared" si="2"/>
        <v>0</v>
      </c>
      <c r="AW14" s="856" t="str">
        <f t="shared" si="6"/>
        <v/>
      </c>
      <c r="AX14" s="806"/>
      <c r="AY14" s="800"/>
    </row>
    <row r="15" spans="1:51" ht="13.15" customHeight="1">
      <c r="A15" s="791">
        <v>8</v>
      </c>
      <c r="B15" s="1116"/>
      <c r="C15" s="994"/>
      <c r="D15" s="995"/>
      <c r="E15" s="995"/>
      <c r="F15" s="995"/>
      <c r="G15" s="995"/>
      <c r="H15" s="996"/>
      <c r="I15" s="997"/>
      <c r="J15" s="995"/>
      <c r="K15" s="995"/>
      <c r="L15" s="995"/>
      <c r="M15" s="996"/>
      <c r="N15" s="998"/>
      <c r="O15" s="989"/>
      <c r="P15" s="815" t="s">
        <v>822</v>
      </c>
      <c r="Q15" s="989"/>
      <c r="R15" s="989"/>
      <c r="S15" s="814" t="s">
        <v>831</v>
      </c>
      <c r="T15" s="989"/>
      <c r="U15" s="989"/>
      <c r="V15" s="815" t="s">
        <v>822</v>
      </c>
      <c r="W15" s="989"/>
      <c r="X15" s="989"/>
      <c r="Y15" s="814" t="s">
        <v>831</v>
      </c>
      <c r="Z15" s="990">
        <f t="shared" si="0"/>
        <v>0</v>
      </c>
      <c r="AA15" s="991"/>
      <c r="AB15" s="813" t="s">
        <v>822</v>
      </c>
      <c r="AC15" s="991">
        <f t="shared" si="1"/>
        <v>0</v>
      </c>
      <c r="AD15" s="991"/>
      <c r="AE15" s="809" t="s">
        <v>821</v>
      </c>
      <c r="AF15" s="992"/>
      <c r="AG15" s="993"/>
      <c r="AH15" s="989"/>
      <c r="AI15" s="989"/>
      <c r="AJ15" s="812" t="s">
        <v>822</v>
      </c>
      <c r="AK15" s="999"/>
      <c r="AL15" s="999"/>
      <c r="AM15" s="812" t="s">
        <v>830</v>
      </c>
      <c r="AN15" s="999"/>
      <c r="AO15" s="999"/>
      <c r="AP15" s="811" t="s">
        <v>829</v>
      </c>
      <c r="AQ15" s="865"/>
      <c r="AR15" s="866"/>
      <c r="AS15" s="854">
        <f t="shared" si="3"/>
        <v>0</v>
      </c>
      <c r="AT15" s="855">
        <f t="shared" si="4"/>
        <v>0</v>
      </c>
      <c r="AU15" s="857">
        <f t="shared" si="5"/>
        <v>0</v>
      </c>
      <c r="AV15" s="858">
        <f t="shared" si="2"/>
        <v>0</v>
      </c>
      <c r="AW15" s="856" t="str">
        <f t="shared" si="6"/>
        <v/>
      </c>
      <c r="AX15" s="806"/>
      <c r="AY15" s="800"/>
    </row>
    <row r="16" spans="1:51" ht="13.15" customHeight="1">
      <c r="A16" s="791">
        <v>9</v>
      </c>
      <c r="B16" s="1116"/>
      <c r="C16" s="994"/>
      <c r="D16" s="995"/>
      <c r="E16" s="995"/>
      <c r="F16" s="995"/>
      <c r="G16" s="995"/>
      <c r="H16" s="996"/>
      <c r="I16" s="997"/>
      <c r="J16" s="995"/>
      <c r="K16" s="995"/>
      <c r="L16" s="995"/>
      <c r="M16" s="996"/>
      <c r="N16" s="998"/>
      <c r="O16" s="989"/>
      <c r="P16" s="815" t="s">
        <v>822</v>
      </c>
      <c r="Q16" s="989"/>
      <c r="R16" s="989"/>
      <c r="S16" s="822" t="s">
        <v>831</v>
      </c>
      <c r="T16" s="989"/>
      <c r="U16" s="989"/>
      <c r="V16" s="815" t="s">
        <v>822</v>
      </c>
      <c r="W16" s="989"/>
      <c r="X16" s="989"/>
      <c r="Y16" s="822" t="s">
        <v>831</v>
      </c>
      <c r="Z16" s="990">
        <f t="shared" si="0"/>
        <v>0</v>
      </c>
      <c r="AA16" s="991"/>
      <c r="AB16" s="813" t="s">
        <v>822</v>
      </c>
      <c r="AC16" s="991">
        <f t="shared" si="1"/>
        <v>0</v>
      </c>
      <c r="AD16" s="991"/>
      <c r="AE16" s="809" t="s">
        <v>821</v>
      </c>
      <c r="AF16" s="992"/>
      <c r="AG16" s="993"/>
      <c r="AH16" s="989"/>
      <c r="AI16" s="989"/>
      <c r="AJ16" s="812" t="s">
        <v>822</v>
      </c>
      <c r="AK16" s="999"/>
      <c r="AL16" s="999"/>
      <c r="AM16" s="812" t="s">
        <v>830</v>
      </c>
      <c r="AN16" s="999"/>
      <c r="AO16" s="999"/>
      <c r="AP16" s="811" t="s">
        <v>829</v>
      </c>
      <c r="AQ16" s="865"/>
      <c r="AR16" s="866"/>
      <c r="AS16" s="854">
        <f t="shared" si="3"/>
        <v>0</v>
      </c>
      <c r="AT16" s="855">
        <f t="shared" si="4"/>
        <v>0</v>
      </c>
      <c r="AU16" s="857">
        <f t="shared" si="5"/>
        <v>0</v>
      </c>
      <c r="AV16" s="858">
        <f t="shared" si="2"/>
        <v>0</v>
      </c>
      <c r="AW16" s="856" t="str">
        <f t="shared" si="6"/>
        <v/>
      </c>
      <c r="AX16" s="806"/>
      <c r="AY16" s="800"/>
    </row>
    <row r="17" spans="1:51" ht="13.15" customHeight="1">
      <c r="A17" s="791">
        <v>10</v>
      </c>
      <c r="B17" s="1116"/>
      <c r="C17" s="994"/>
      <c r="D17" s="995"/>
      <c r="E17" s="995"/>
      <c r="F17" s="995"/>
      <c r="G17" s="995"/>
      <c r="H17" s="996"/>
      <c r="I17" s="997"/>
      <c r="J17" s="995"/>
      <c r="K17" s="995"/>
      <c r="L17" s="995"/>
      <c r="M17" s="996"/>
      <c r="N17" s="998"/>
      <c r="O17" s="989"/>
      <c r="P17" s="815" t="s">
        <v>822</v>
      </c>
      <c r="Q17" s="989"/>
      <c r="R17" s="989"/>
      <c r="S17" s="814" t="s">
        <v>831</v>
      </c>
      <c r="T17" s="989"/>
      <c r="U17" s="989"/>
      <c r="V17" s="815" t="s">
        <v>822</v>
      </c>
      <c r="W17" s="989"/>
      <c r="X17" s="989"/>
      <c r="Y17" s="814" t="s">
        <v>831</v>
      </c>
      <c r="Z17" s="990">
        <f t="shared" si="0"/>
        <v>0</v>
      </c>
      <c r="AA17" s="991"/>
      <c r="AB17" s="813" t="s">
        <v>822</v>
      </c>
      <c r="AC17" s="991">
        <f t="shared" si="1"/>
        <v>0</v>
      </c>
      <c r="AD17" s="991"/>
      <c r="AE17" s="809" t="s">
        <v>821</v>
      </c>
      <c r="AF17" s="992"/>
      <c r="AG17" s="993"/>
      <c r="AH17" s="989"/>
      <c r="AI17" s="989"/>
      <c r="AJ17" s="812" t="s">
        <v>822</v>
      </c>
      <c r="AK17" s="999"/>
      <c r="AL17" s="999"/>
      <c r="AM17" s="812" t="s">
        <v>830</v>
      </c>
      <c r="AN17" s="999"/>
      <c r="AO17" s="999"/>
      <c r="AP17" s="811" t="s">
        <v>829</v>
      </c>
      <c r="AQ17" s="865"/>
      <c r="AR17" s="866"/>
      <c r="AS17" s="854">
        <f t="shared" si="3"/>
        <v>0</v>
      </c>
      <c r="AT17" s="855">
        <f t="shared" si="4"/>
        <v>0</v>
      </c>
      <c r="AU17" s="857">
        <f t="shared" si="5"/>
        <v>0</v>
      </c>
      <c r="AV17" s="858">
        <f t="shared" si="2"/>
        <v>0</v>
      </c>
      <c r="AW17" s="856" t="str">
        <f t="shared" si="6"/>
        <v/>
      </c>
      <c r="AX17" s="806"/>
      <c r="AY17" s="800"/>
    </row>
    <row r="18" spans="1:51" ht="13.15" customHeight="1">
      <c r="A18" s="791">
        <v>11</v>
      </c>
      <c r="B18" s="1116"/>
      <c r="C18" s="994"/>
      <c r="D18" s="995"/>
      <c r="E18" s="995"/>
      <c r="F18" s="995"/>
      <c r="G18" s="995"/>
      <c r="H18" s="996"/>
      <c r="I18" s="997"/>
      <c r="J18" s="995"/>
      <c r="K18" s="995"/>
      <c r="L18" s="995"/>
      <c r="M18" s="996"/>
      <c r="N18" s="998"/>
      <c r="O18" s="989"/>
      <c r="P18" s="815" t="s">
        <v>822</v>
      </c>
      <c r="Q18" s="989"/>
      <c r="R18" s="989"/>
      <c r="S18" s="822" t="s">
        <v>831</v>
      </c>
      <c r="T18" s="989"/>
      <c r="U18" s="989"/>
      <c r="V18" s="815" t="s">
        <v>822</v>
      </c>
      <c r="W18" s="989"/>
      <c r="X18" s="989"/>
      <c r="Y18" s="822" t="s">
        <v>831</v>
      </c>
      <c r="Z18" s="990">
        <f t="shared" si="0"/>
        <v>0</v>
      </c>
      <c r="AA18" s="991"/>
      <c r="AB18" s="813" t="s">
        <v>822</v>
      </c>
      <c r="AC18" s="991">
        <f t="shared" si="1"/>
        <v>0</v>
      </c>
      <c r="AD18" s="991"/>
      <c r="AE18" s="809" t="s">
        <v>821</v>
      </c>
      <c r="AF18" s="992"/>
      <c r="AG18" s="993"/>
      <c r="AH18" s="989"/>
      <c r="AI18" s="989"/>
      <c r="AJ18" s="812" t="s">
        <v>822</v>
      </c>
      <c r="AK18" s="999"/>
      <c r="AL18" s="999"/>
      <c r="AM18" s="812" t="s">
        <v>830</v>
      </c>
      <c r="AN18" s="999"/>
      <c r="AO18" s="999"/>
      <c r="AP18" s="811" t="s">
        <v>829</v>
      </c>
      <c r="AQ18" s="865"/>
      <c r="AR18" s="866"/>
      <c r="AS18" s="854">
        <f t="shared" si="3"/>
        <v>0</v>
      </c>
      <c r="AT18" s="855">
        <f t="shared" si="4"/>
        <v>0</v>
      </c>
      <c r="AU18" s="857">
        <f t="shared" si="5"/>
        <v>0</v>
      </c>
      <c r="AV18" s="858">
        <f t="shared" si="2"/>
        <v>0</v>
      </c>
      <c r="AW18" s="856" t="str">
        <f t="shared" si="6"/>
        <v/>
      </c>
      <c r="AX18" s="806"/>
      <c r="AY18" s="800"/>
    </row>
    <row r="19" spans="1:51" ht="13.15" customHeight="1">
      <c r="A19" s="791">
        <v>12</v>
      </c>
      <c r="B19" s="1116"/>
      <c r="C19" s="994"/>
      <c r="D19" s="995"/>
      <c r="E19" s="995"/>
      <c r="F19" s="995"/>
      <c r="G19" s="995"/>
      <c r="H19" s="996"/>
      <c r="I19" s="997"/>
      <c r="J19" s="995"/>
      <c r="K19" s="995"/>
      <c r="L19" s="995"/>
      <c r="M19" s="996"/>
      <c r="N19" s="998"/>
      <c r="O19" s="989"/>
      <c r="P19" s="815" t="s">
        <v>822</v>
      </c>
      <c r="Q19" s="989"/>
      <c r="R19" s="989"/>
      <c r="S19" s="814" t="s">
        <v>831</v>
      </c>
      <c r="T19" s="989"/>
      <c r="U19" s="989"/>
      <c r="V19" s="815" t="s">
        <v>822</v>
      </c>
      <c r="W19" s="989"/>
      <c r="X19" s="989"/>
      <c r="Y19" s="814" t="s">
        <v>831</v>
      </c>
      <c r="Z19" s="990">
        <f t="shared" si="0"/>
        <v>0</v>
      </c>
      <c r="AA19" s="991"/>
      <c r="AB19" s="813" t="s">
        <v>822</v>
      </c>
      <c r="AC19" s="991">
        <f t="shared" si="1"/>
        <v>0</v>
      </c>
      <c r="AD19" s="991"/>
      <c r="AE19" s="809" t="s">
        <v>821</v>
      </c>
      <c r="AF19" s="992"/>
      <c r="AG19" s="993"/>
      <c r="AH19" s="989"/>
      <c r="AI19" s="989"/>
      <c r="AJ19" s="812" t="s">
        <v>822</v>
      </c>
      <c r="AK19" s="999"/>
      <c r="AL19" s="999"/>
      <c r="AM19" s="812" t="s">
        <v>830</v>
      </c>
      <c r="AN19" s="999"/>
      <c r="AO19" s="999"/>
      <c r="AP19" s="811" t="s">
        <v>829</v>
      </c>
      <c r="AQ19" s="865"/>
      <c r="AR19" s="866"/>
      <c r="AS19" s="854">
        <f t="shared" si="3"/>
        <v>0</v>
      </c>
      <c r="AT19" s="855">
        <f t="shared" si="4"/>
        <v>0</v>
      </c>
      <c r="AU19" s="857">
        <f t="shared" si="5"/>
        <v>0</v>
      </c>
      <c r="AV19" s="858">
        <f t="shared" si="2"/>
        <v>0</v>
      </c>
      <c r="AW19" s="856" t="str">
        <f t="shared" si="6"/>
        <v/>
      </c>
      <c r="AX19" s="806"/>
      <c r="AY19" s="800"/>
    </row>
    <row r="20" spans="1:51" ht="13.15" customHeight="1">
      <c r="A20" s="791">
        <v>13</v>
      </c>
      <c r="B20" s="1116"/>
      <c r="C20" s="994"/>
      <c r="D20" s="995"/>
      <c r="E20" s="995"/>
      <c r="F20" s="995"/>
      <c r="G20" s="995"/>
      <c r="H20" s="996"/>
      <c r="I20" s="997"/>
      <c r="J20" s="995"/>
      <c r="K20" s="995"/>
      <c r="L20" s="995"/>
      <c r="M20" s="996"/>
      <c r="N20" s="998"/>
      <c r="O20" s="989"/>
      <c r="P20" s="815" t="s">
        <v>822</v>
      </c>
      <c r="Q20" s="989"/>
      <c r="R20" s="989"/>
      <c r="S20" s="822" t="s">
        <v>831</v>
      </c>
      <c r="T20" s="989"/>
      <c r="U20" s="989"/>
      <c r="V20" s="815" t="s">
        <v>822</v>
      </c>
      <c r="W20" s="989"/>
      <c r="X20" s="989"/>
      <c r="Y20" s="822" t="s">
        <v>831</v>
      </c>
      <c r="Z20" s="990">
        <f t="shared" si="0"/>
        <v>0</v>
      </c>
      <c r="AA20" s="991"/>
      <c r="AB20" s="813" t="s">
        <v>822</v>
      </c>
      <c r="AC20" s="991">
        <f t="shared" si="1"/>
        <v>0</v>
      </c>
      <c r="AD20" s="991"/>
      <c r="AE20" s="809" t="s">
        <v>821</v>
      </c>
      <c r="AF20" s="992"/>
      <c r="AG20" s="993"/>
      <c r="AH20" s="989"/>
      <c r="AI20" s="989"/>
      <c r="AJ20" s="812" t="s">
        <v>822</v>
      </c>
      <c r="AK20" s="999"/>
      <c r="AL20" s="999"/>
      <c r="AM20" s="812" t="s">
        <v>830</v>
      </c>
      <c r="AN20" s="999"/>
      <c r="AO20" s="999"/>
      <c r="AP20" s="811" t="s">
        <v>829</v>
      </c>
      <c r="AQ20" s="865"/>
      <c r="AR20" s="866"/>
      <c r="AS20" s="854">
        <f t="shared" si="3"/>
        <v>0</v>
      </c>
      <c r="AT20" s="855">
        <f t="shared" si="4"/>
        <v>0</v>
      </c>
      <c r="AU20" s="857">
        <f t="shared" si="5"/>
        <v>0</v>
      </c>
      <c r="AV20" s="858">
        <f t="shared" si="2"/>
        <v>0</v>
      </c>
      <c r="AW20" s="856" t="str">
        <f t="shared" si="6"/>
        <v/>
      </c>
      <c r="AX20" s="806"/>
      <c r="AY20" s="800"/>
    </row>
    <row r="21" spans="1:51" ht="13.15" customHeight="1">
      <c r="A21" s="791">
        <v>14</v>
      </c>
      <c r="B21" s="1116"/>
      <c r="C21" s="994"/>
      <c r="D21" s="995"/>
      <c r="E21" s="995"/>
      <c r="F21" s="995"/>
      <c r="G21" s="995"/>
      <c r="H21" s="996"/>
      <c r="I21" s="997"/>
      <c r="J21" s="995"/>
      <c r="K21" s="995"/>
      <c r="L21" s="995"/>
      <c r="M21" s="996"/>
      <c r="N21" s="998"/>
      <c r="O21" s="989"/>
      <c r="P21" s="815" t="s">
        <v>822</v>
      </c>
      <c r="Q21" s="989"/>
      <c r="R21" s="989"/>
      <c r="S21" s="814" t="s">
        <v>831</v>
      </c>
      <c r="T21" s="989"/>
      <c r="U21" s="989"/>
      <c r="V21" s="815" t="s">
        <v>822</v>
      </c>
      <c r="W21" s="989"/>
      <c r="X21" s="989"/>
      <c r="Y21" s="814" t="s">
        <v>831</v>
      </c>
      <c r="Z21" s="990">
        <f t="shared" si="0"/>
        <v>0</v>
      </c>
      <c r="AA21" s="991"/>
      <c r="AB21" s="813" t="s">
        <v>822</v>
      </c>
      <c r="AC21" s="991">
        <f t="shared" si="1"/>
        <v>0</v>
      </c>
      <c r="AD21" s="991"/>
      <c r="AE21" s="809" t="s">
        <v>821</v>
      </c>
      <c r="AF21" s="992"/>
      <c r="AG21" s="993"/>
      <c r="AH21" s="989"/>
      <c r="AI21" s="989"/>
      <c r="AJ21" s="812" t="s">
        <v>822</v>
      </c>
      <c r="AK21" s="999"/>
      <c r="AL21" s="999"/>
      <c r="AM21" s="812" t="s">
        <v>830</v>
      </c>
      <c r="AN21" s="999"/>
      <c r="AO21" s="999"/>
      <c r="AP21" s="811" t="s">
        <v>829</v>
      </c>
      <c r="AQ21" s="865"/>
      <c r="AR21" s="866"/>
      <c r="AS21" s="854">
        <f t="shared" si="3"/>
        <v>0</v>
      </c>
      <c r="AT21" s="855">
        <f t="shared" si="4"/>
        <v>0</v>
      </c>
      <c r="AU21" s="857">
        <f t="shared" si="5"/>
        <v>0</v>
      </c>
      <c r="AV21" s="858">
        <f t="shared" si="2"/>
        <v>0</v>
      </c>
      <c r="AW21" s="856" t="str">
        <f t="shared" si="6"/>
        <v/>
      </c>
      <c r="AX21" s="806"/>
      <c r="AY21" s="800"/>
    </row>
    <row r="22" spans="1:51" ht="13.15" customHeight="1">
      <c r="A22" s="791">
        <v>15</v>
      </c>
      <c r="B22" s="1116"/>
      <c r="C22" s="994"/>
      <c r="D22" s="995"/>
      <c r="E22" s="995"/>
      <c r="F22" s="995"/>
      <c r="G22" s="995"/>
      <c r="H22" s="996"/>
      <c r="I22" s="997"/>
      <c r="J22" s="995"/>
      <c r="K22" s="995"/>
      <c r="L22" s="995"/>
      <c r="M22" s="996"/>
      <c r="N22" s="998"/>
      <c r="O22" s="989"/>
      <c r="P22" s="815" t="s">
        <v>822</v>
      </c>
      <c r="Q22" s="989"/>
      <c r="R22" s="989"/>
      <c r="S22" s="822" t="s">
        <v>831</v>
      </c>
      <c r="T22" s="989"/>
      <c r="U22" s="989"/>
      <c r="V22" s="815" t="s">
        <v>822</v>
      </c>
      <c r="W22" s="989"/>
      <c r="X22" s="989"/>
      <c r="Y22" s="822" t="s">
        <v>831</v>
      </c>
      <c r="Z22" s="990">
        <f t="shared" si="0"/>
        <v>0</v>
      </c>
      <c r="AA22" s="991"/>
      <c r="AB22" s="813" t="s">
        <v>822</v>
      </c>
      <c r="AC22" s="991">
        <f t="shared" si="1"/>
        <v>0</v>
      </c>
      <c r="AD22" s="991"/>
      <c r="AE22" s="809" t="s">
        <v>821</v>
      </c>
      <c r="AF22" s="992"/>
      <c r="AG22" s="993"/>
      <c r="AH22" s="989"/>
      <c r="AI22" s="989"/>
      <c r="AJ22" s="812" t="s">
        <v>822</v>
      </c>
      <c r="AK22" s="999"/>
      <c r="AL22" s="999"/>
      <c r="AM22" s="812" t="s">
        <v>830</v>
      </c>
      <c r="AN22" s="999"/>
      <c r="AO22" s="999"/>
      <c r="AP22" s="811" t="s">
        <v>829</v>
      </c>
      <c r="AQ22" s="865"/>
      <c r="AR22" s="866"/>
      <c r="AS22" s="854">
        <f t="shared" si="3"/>
        <v>0</v>
      </c>
      <c r="AT22" s="855">
        <f t="shared" si="4"/>
        <v>0</v>
      </c>
      <c r="AU22" s="857">
        <f t="shared" si="5"/>
        <v>0</v>
      </c>
      <c r="AV22" s="858">
        <f t="shared" si="2"/>
        <v>0</v>
      </c>
      <c r="AW22" s="856" t="str">
        <f t="shared" si="6"/>
        <v/>
      </c>
      <c r="AX22" s="806"/>
      <c r="AY22" s="800"/>
    </row>
    <row r="23" spans="1:51" ht="13.15" customHeight="1">
      <c r="A23" s="791">
        <v>16</v>
      </c>
      <c r="B23" s="1116"/>
      <c r="C23" s="994"/>
      <c r="D23" s="995"/>
      <c r="E23" s="995"/>
      <c r="F23" s="995"/>
      <c r="G23" s="995"/>
      <c r="H23" s="996"/>
      <c r="I23" s="997"/>
      <c r="J23" s="995"/>
      <c r="K23" s="995"/>
      <c r="L23" s="995"/>
      <c r="M23" s="996"/>
      <c r="N23" s="998"/>
      <c r="O23" s="989"/>
      <c r="P23" s="815" t="s">
        <v>822</v>
      </c>
      <c r="Q23" s="989"/>
      <c r="R23" s="989"/>
      <c r="S23" s="814" t="s">
        <v>831</v>
      </c>
      <c r="T23" s="989"/>
      <c r="U23" s="989"/>
      <c r="V23" s="815" t="s">
        <v>822</v>
      </c>
      <c r="W23" s="989"/>
      <c r="X23" s="989"/>
      <c r="Y23" s="814" t="s">
        <v>831</v>
      </c>
      <c r="Z23" s="990">
        <f t="shared" si="0"/>
        <v>0</v>
      </c>
      <c r="AA23" s="991"/>
      <c r="AB23" s="813" t="s">
        <v>822</v>
      </c>
      <c r="AC23" s="991">
        <f t="shared" si="1"/>
        <v>0</v>
      </c>
      <c r="AD23" s="991"/>
      <c r="AE23" s="809" t="s">
        <v>821</v>
      </c>
      <c r="AF23" s="992"/>
      <c r="AG23" s="993"/>
      <c r="AH23" s="989"/>
      <c r="AI23" s="989"/>
      <c r="AJ23" s="812" t="s">
        <v>822</v>
      </c>
      <c r="AK23" s="999"/>
      <c r="AL23" s="999"/>
      <c r="AM23" s="812" t="s">
        <v>830</v>
      </c>
      <c r="AN23" s="999"/>
      <c r="AO23" s="999"/>
      <c r="AP23" s="811" t="s">
        <v>829</v>
      </c>
      <c r="AQ23" s="865"/>
      <c r="AR23" s="866"/>
      <c r="AS23" s="854">
        <f t="shared" si="3"/>
        <v>0</v>
      </c>
      <c r="AT23" s="855">
        <f t="shared" si="4"/>
        <v>0</v>
      </c>
      <c r="AU23" s="857">
        <f t="shared" si="5"/>
        <v>0</v>
      </c>
      <c r="AV23" s="858">
        <f t="shared" si="2"/>
        <v>0</v>
      </c>
      <c r="AW23" s="856" t="str">
        <f t="shared" si="6"/>
        <v/>
      </c>
      <c r="AX23" s="806"/>
      <c r="AY23" s="800"/>
    </row>
    <row r="24" spans="1:51" ht="13.15" customHeight="1">
      <c r="A24" s="791">
        <v>17</v>
      </c>
      <c r="B24" s="1116"/>
      <c r="C24" s="994"/>
      <c r="D24" s="995"/>
      <c r="E24" s="995"/>
      <c r="F24" s="995"/>
      <c r="G24" s="995"/>
      <c r="H24" s="996"/>
      <c r="I24" s="997"/>
      <c r="J24" s="995"/>
      <c r="K24" s="995"/>
      <c r="L24" s="995"/>
      <c r="M24" s="996"/>
      <c r="N24" s="998"/>
      <c r="O24" s="989"/>
      <c r="P24" s="815" t="s">
        <v>822</v>
      </c>
      <c r="Q24" s="989"/>
      <c r="R24" s="989"/>
      <c r="S24" s="822" t="s">
        <v>831</v>
      </c>
      <c r="T24" s="989"/>
      <c r="U24" s="989"/>
      <c r="V24" s="815" t="s">
        <v>822</v>
      </c>
      <c r="W24" s="989"/>
      <c r="X24" s="989"/>
      <c r="Y24" s="822" t="s">
        <v>831</v>
      </c>
      <c r="Z24" s="990">
        <f t="shared" si="0"/>
        <v>0</v>
      </c>
      <c r="AA24" s="991"/>
      <c r="AB24" s="813" t="s">
        <v>822</v>
      </c>
      <c r="AC24" s="991">
        <f t="shared" si="1"/>
        <v>0</v>
      </c>
      <c r="AD24" s="991"/>
      <c r="AE24" s="809" t="s">
        <v>821</v>
      </c>
      <c r="AF24" s="992"/>
      <c r="AG24" s="993"/>
      <c r="AH24" s="989"/>
      <c r="AI24" s="989"/>
      <c r="AJ24" s="812" t="s">
        <v>822</v>
      </c>
      <c r="AK24" s="999"/>
      <c r="AL24" s="999"/>
      <c r="AM24" s="812" t="s">
        <v>830</v>
      </c>
      <c r="AN24" s="999"/>
      <c r="AO24" s="999"/>
      <c r="AP24" s="811" t="s">
        <v>829</v>
      </c>
      <c r="AQ24" s="865"/>
      <c r="AR24" s="866"/>
      <c r="AS24" s="854">
        <f t="shared" si="3"/>
        <v>0</v>
      </c>
      <c r="AT24" s="855">
        <f t="shared" si="4"/>
        <v>0</v>
      </c>
      <c r="AU24" s="857">
        <f t="shared" si="5"/>
        <v>0</v>
      </c>
      <c r="AV24" s="858">
        <f t="shared" si="2"/>
        <v>0</v>
      </c>
      <c r="AW24" s="856" t="str">
        <f t="shared" si="6"/>
        <v/>
      </c>
      <c r="AX24" s="806"/>
      <c r="AY24" s="800"/>
    </row>
    <row r="25" spans="1:51" ht="13.15" customHeight="1">
      <c r="A25" s="791">
        <v>18</v>
      </c>
      <c r="B25" s="1116"/>
      <c r="C25" s="994"/>
      <c r="D25" s="995"/>
      <c r="E25" s="995"/>
      <c r="F25" s="995"/>
      <c r="G25" s="995"/>
      <c r="H25" s="996"/>
      <c r="I25" s="997"/>
      <c r="J25" s="995"/>
      <c r="K25" s="995"/>
      <c r="L25" s="995"/>
      <c r="M25" s="996"/>
      <c r="N25" s="998"/>
      <c r="O25" s="989"/>
      <c r="P25" s="815" t="s">
        <v>822</v>
      </c>
      <c r="Q25" s="989"/>
      <c r="R25" s="989"/>
      <c r="S25" s="814" t="s">
        <v>831</v>
      </c>
      <c r="T25" s="989"/>
      <c r="U25" s="989"/>
      <c r="V25" s="815" t="s">
        <v>822</v>
      </c>
      <c r="W25" s="989"/>
      <c r="X25" s="989"/>
      <c r="Y25" s="814" t="s">
        <v>831</v>
      </c>
      <c r="Z25" s="990">
        <f t="shared" si="0"/>
        <v>0</v>
      </c>
      <c r="AA25" s="991"/>
      <c r="AB25" s="813" t="s">
        <v>822</v>
      </c>
      <c r="AC25" s="991">
        <f t="shared" si="1"/>
        <v>0</v>
      </c>
      <c r="AD25" s="991"/>
      <c r="AE25" s="809" t="s">
        <v>821</v>
      </c>
      <c r="AF25" s="992"/>
      <c r="AG25" s="993"/>
      <c r="AH25" s="989"/>
      <c r="AI25" s="989"/>
      <c r="AJ25" s="812" t="s">
        <v>822</v>
      </c>
      <c r="AK25" s="999"/>
      <c r="AL25" s="999"/>
      <c r="AM25" s="812" t="s">
        <v>830</v>
      </c>
      <c r="AN25" s="999"/>
      <c r="AO25" s="999"/>
      <c r="AP25" s="811" t="s">
        <v>829</v>
      </c>
      <c r="AQ25" s="865"/>
      <c r="AR25" s="866"/>
      <c r="AS25" s="854">
        <f t="shared" si="3"/>
        <v>0</v>
      </c>
      <c r="AT25" s="855">
        <f t="shared" si="4"/>
        <v>0</v>
      </c>
      <c r="AU25" s="857">
        <f t="shared" si="5"/>
        <v>0</v>
      </c>
      <c r="AV25" s="858">
        <f t="shared" si="2"/>
        <v>0</v>
      </c>
      <c r="AW25" s="856" t="str">
        <f t="shared" si="6"/>
        <v/>
      </c>
      <c r="AX25" s="806"/>
      <c r="AY25" s="800"/>
    </row>
    <row r="26" spans="1:51" ht="13.15" customHeight="1">
      <c r="A26" s="791">
        <v>19</v>
      </c>
      <c r="B26" s="1116"/>
      <c r="C26" s="994"/>
      <c r="D26" s="995"/>
      <c r="E26" s="995"/>
      <c r="F26" s="995"/>
      <c r="G26" s="995"/>
      <c r="H26" s="996"/>
      <c r="I26" s="997"/>
      <c r="J26" s="995"/>
      <c r="K26" s="995"/>
      <c r="L26" s="995"/>
      <c r="M26" s="996"/>
      <c r="N26" s="998"/>
      <c r="O26" s="989"/>
      <c r="P26" s="815" t="s">
        <v>822</v>
      </c>
      <c r="Q26" s="989"/>
      <c r="R26" s="989"/>
      <c r="S26" s="822" t="s">
        <v>831</v>
      </c>
      <c r="T26" s="989"/>
      <c r="U26" s="989"/>
      <c r="V26" s="815" t="s">
        <v>822</v>
      </c>
      <c r="W26" s="989"/>
      <c r="X26" s="989"/>
      <c r="Y26" s="822" t="s">
        <v>831</v>
      </c>
      <c r="Z26" s="990">
        <f t="shared" si="0"/>
        <v>0</v>
      </c>
      <c r="AA26" s="991"/>
      <c r="AB26" s="813" t="s">
        <v>822</v>
      </c>
      <c r="AC26" s="991">
        <f t="shared" si="1"/>
        <v>0</v>
      </c>
      <c r="AD26" s="991"/>
      <c r="AE26" s="809" t="s">
        <v>821</v>
      </c>
      <c r="AF26" s="992"/>
      <c r="AG26" s="993"/>
      <c r="AH26" s="989"/>
      <c r="AI26" s="989"/>
      <c r="AJ26" s="812" t="s">
        <v>822</v>
      </c>
      <c r="AK26" s="999"/>
      <c r="AL26" s="999"/>
      <c r="AM26" s="812" t="s">
        <v>830</v>
      </c>
      <c r="AN26" s="999"/>
      <c r="AO26" s="999"/>
      <c r="AP26" s="811" t="s">
        <v>829</v>
      </c>
      <c r="AQ26" s="865"/>
      <c r="AR26" s="866"/>
      <c r="AS26" s="854">
        <f t="shared" si="3"/>
        <v>0</v>
      </c>
      <c r="AT26" s="855">
        <f t="shared" si="4"/>
        <v>0</v>
      </c>
      <c r="AU26" s="857">
        <f t="shared" si="5"/>
        <v>0</v>
      </c>
      <c r="AV26" s="858">
        <f t="shared" si="2"/>
        <v>0</v>
      </c>
      <c r="AW26" s="856" t="str">
        <f t="shared" si="6"/>
        <v/>
      </c>
      <c r="AX26" s="806"/>
      <c r="AY26" s="800"/>
    </row>
    <row r="27" spans="1:51" ht="13.15" customHeight="1">
      <c r="A27" s="791">
        <v>20</v>
      </c>
      <c r="B27" s="1116"/>
      <c r="C27" s="994"/>
      <c r="D27" s="995"/>
      <c r="E27" s="995"/>
      <c r="F27" s="995"/>
      <c r="G27" s="995"/>
      <c r="H27" s="996"/>
      <c r="I27" s="997"/>
      <c r="J27" s="995"/>
      <c r="K27" s="995"/>
      <c r="L27" s="995"/>
      <c r="M27" s="996"/>
      <c r="N27" s="998"/>
      <c r="O27" s="989"/>
      <c r="P27" s="815" t="s">
        <v>822</v>
      </c>
      <c r="Q27" s="989"/>
      <c r="R27" s="989"/>
      <c r="S27" s="814" t="s">
        <v>831</v>
      </c>
      <c r="T27" s="989"/>
      <c r="U27" s="989"/>
      <c r="V27" s="815" t="s">
        <v>822</v>
      </c>
      <c r="W27" s="989"/>
      <c r="X27" s="989"/>
      <c r="Y27" s="814" t="s">
        <v>831</v>
      </c>
      <c r="Z27" s="990">
        <f t="shared" si="0"/>
        <v>0</v>
      </c>
      <c r="AA27" s="991"/>
      <c r="AB27" s="813" t="s">
        <v>822</v>
      </c>
      <c r="AC27" s="991">
        <f t="shared" si="1"/>
        <v>0</v>
      </c>
      <c r="AD27" s="991"/>
      <c r="AE27" s="809" t="s">
        <v>821</v>
      </c>
      <c r="AF27" s="992"/>
      <c r="AG27" s="993"/>
      <c r="AH27" s="989"/>
      <c r="AI27" s="989"/>
      <c r="AJ27" s="812" t="s">
        <v>822</v>
      </c>
      <c r="AK27" s="999"/>
      <c r="AL27" s="999"/>
      <c r="AM27" s="812" t="s">
        <v>830</v>
      </c>
      <c r="AN27" s="999"/>
      <c r="AO27" s="999"/>
      <c r="AP27" s="811" t="s">
        <v>829</v>
      </c>
      <c r="AQ27" s="865"/>
      <c r="AR27" s="866"/>
      <c r="AS27" s="854">
        <f t="shared" si="3"/>
        <v>0</v>
      </c>
      <c r="AT27" s="855">
        <f t="shared" si="4"/>
        <v>0</v>
      </c>
      <c r="AU27" s="857">
        <f t="shared" si="5"/>
        <v>0</v>
      </c>
      <c r="AV27" s="858">
        <f t="shared" si="2"/>
        <v>0</v>
      </c>
      <c r="AW27" s="856" t="str">
        <f t="shared" si="6"/>
        <v/>
      </c>
      <c r="AX27" s="806"/>
      <c r="AY27" s="800"/>
    </row>
    <row r="28" spans="1:51" ht="13.15" customHeight="1">
      <c r="A28" s="791">
        <v>21</v>
      </c>
      <c r="B28" s="1116"/>
      <c r="C28" s="994"/>
      <c r="D28" s="995"/>
      <c r="E28" s="995"/>
      <c r="F28" s="995"/>
      <c r="G28" s="995"/>
      <c r="H28" s="996"/>
      <c r="I28" s="997"/>
      <c r="J28" s="995"/>
      <c r="K28" s="995"/>
      <c r="L28" s="995"/>
      <c r="M28" s="996"/>
      <c r="N28" s="998"/>
      <c r="O28" s="989"/>
      <c r="P28" s="815" t="s">
        <v>822</v>
      </c>
      <c r="Q28" s="989"/>
      <c r="R28" s="989"/>
      <c r="S28" s="822" t="s">
        <v>831</v>
      </c>
      <c r="T28" s="989"/>
      <c r="U28" s="989"/>
      <c r="V28" s="815" t="s">
        <v>822</v>
      </c>
      <c r="W28" s="989"/>
      <c r="X28" s="989"/>
      <c r="Y28" s="822" t="s">
        <v>831</v>
      </c>
      <c r="Z28" s="990">
        <f t="shared" si="0"/>
        <v>0</v>
      </c>
      <c r="AA28" s="991"/>
      <c r="AB28" s="813" t="s">
        <v>822</v>
      </c>
      <c r="AC28" s="991">
        <f t="shared" si="1"/>
        <v>0</v>
      </c>
      <c r="AD28" s="991"/>
      <c r="AE28" s="809" t="s">
        <v>821</v>
      </c>
      <c r="AF28" s="992"/>
      <c r="AG28" s="993"/>
      <c r="AH28" s="989"/>
      <c r="AI28" s="989"/>
      <c r="AJ28" s="812" t="s">
        <v>822</v>
      </c>
      <c r="AK28" s="999"/>
      <c r="AL28" s="999"/>
      <c r="AM28" s="812" t="s">
        <v>830</v>
      </c>
      <c r="AN28" s="999"/>
      <c r="AO28" s="999"/>
      <c r="AP28" s="811" t="s">
        <v>829</v>
      </c>
      <c r="AQ28" s="865"/>
      <c r="AR28" s="866"/>
      <c r="AS28" s="854">
        <f t="shared" si="3"/>
        <v>0</v>
      </c>
      <c r="AT28" s="855">
        <f t="shared" si="4"/>
        <v>0</v>
      </c>
      <c r="AU28" s="857">
        <f t="shared" si="5"/>
        <v>0</v>
      </c>
      <c r="AV28" s="858">
        <f t="shared" si="2"/>
        <v>0</v>
      </c>
      <c r="AW28" s="856" t="str">
        <f t="shared" si="6"/>
        <v/>
      </c>
      <c r="AX28" s="806"/>
      <c r="AY28" s="800"/>
    </row>
    <row r="29" spans="1:51" ht="13.15" customHeight="1">
      <c r="A29" s="791">
        <v>22</v>
      </c>
      <c r="B29" s="1116"/>
      <c r="C29" s="994"/>
      <c r="D29" s="995"/>
      <c r="E29" s="995"/>
      <c r="F29" s="995"/>
      <c r="G29" s="995"/>
      <c r="H29" s="996"/>
      <c r="I29" s="997"/>
      <c r="J29" s="995"/>
      <c r="K29" s="995"/>
      <c r="L29" s="995"/>
      <c r="M29" s="996"/>
      <c r="N29" s="998"/>
      <c r="O29" s="989"/>
      <c r="P29" s="815" t="s">
        <v>822</v>
      </c>
      <c r="Q29" s="989"/>
      <c r="R29" s="989"/>
      <c r="S29" s="814" t="s">
        <v>831</v>
      </c>
      <c r="T29" s="989"/>
      <c r="U29" s="989"/>
      <c r="V29" s="815" t="s">
        <v>822</v>
      </c>
      <c r="W29" s="989"/>
      <c r="X29" s="989"/>
      <c r="Y29" s="814" t="s">
        <v>831</v>
      </c>
      <c r="Z29" s="990">
        <f t="shared" si="0"/>
        <v>0</v>
      </c>
      <c r="AA29" s="991"/>
      <c r="AB29" s="813" t="s">
        <v>822</v>
      </c>
      <c r="AC29" s="991">
        <f t="shared" si="1"/>
        <v>0</v>
      </c>
      <c r="AD29" s="991"/>
      <c r="AE29" s="809" t="s">
        <v>821</v>
      </c>
      <c r="AF29" s="992"/>
      <c r="AG29" s="993"/>
      <c r="AH29" s="989"/>
      <c r="AI29" s="989"/>
      <c r="AJ29" s="812" t="s">
        <v>822</v>
      </c>
      <c r="AK29" s="999"/>
      <c r="AL29" s="999"/>
      <c r="AM29" s="812" t="s">
        <v>830</v>
      </c>
      <c r="AN29" s="999"/>
      <c r="AO29" s="999"/>
      <c r="AP29" s="811" t="s">
        <v>829</v>
      </c>
      <c r="AQ29" s="865"/>
      <c r="AR29" s="866"/>
      <c r="AS29" s="854">
        <f t="shared" si="3"/>
        <v>0</v>
      </c>
      <c r="AT29" s="855">
        <f t="shared" si="4"/>
        <v>0</v>
      </c>
      <c r="AU29" s="857">
        <f t="shared" si="5"/>
        <v>0</v>
      </c>
      <c r="AV29" s="858">
        <f t="shared" si="2"/>
        <v>0</v>
      </c>
      <c r="AW29" s="856" t="str">
        <f t="shared" si="6"/>
        <v/>
      </c>
      <c r="AX29" s="806"/>
      <c r="AY29" s="800"/>
    </row>
    <row r="30" spans="1:51" ht="13.15" customHeight="1">
      <c r="A30" s="791">
        <v>23</v>
      </c>
      <c r="B30" s="1116"/>
      <c r="C30" s="994"/>
      <c r="D30" s="995"/>
      <c r="E30" s="995"/>
      <c r="F30" s="995"/>
      <c r="G30" s="995"/>
      <c r="H30" s="996"/>
      <c r="I30" s="997"/>
      <c r="J30" s="995"/>
      <c r="K30" s="995"/>
      <c r="L30" s="995"/>
      <c r="M30" s="996"/>
      <c r="N30" s="998"/>
      <c r="O30" s="989"/>
      <c r="P30" s="815" t="s">
        <v>822</v>
      </c>
      <c r="Q30" s="989"/>
      <c r="R30" s="989"/>
      <c r="S30" s="822" t="s">
        <v>831</v>
      </c>
      <c r="T30" s="989"/>
      <c r="U30" s="989"/>
      <c r="V30" s="815" t="s">
        <v>822</v>
      </c>
      <c r="W30" s="989"/>
      <c r="X30" s="989"/>
      <c r="Y30" s="822" t="s">
        <v>831</v>
      </c>
      <c r="Z30" s="990">
        <f t="shared" si="0"/>
        <v>0</v>
      </c>
      <c r="AA30" s="991"/>
      <c r="AB30" s="813" t="s">
        <v>822</v>
      </c>
      <c r="AC30" s="991">
        <f t="shared" si="1"/>
        <v>0</v>
      </c>
      <c r="AD30" s="991"/>
      <c r="AE30" s="809" t="s">
        <v>821</v>
      </c>
      <c r="AF30" s="992"/>
      <c r="AG30" s="993"/>
      <c r="AH30" s="989"/>
      <c r="AI30" s="989"/>
      <c r="AJ30" s="812" t="s">
        <v>822</v>
      </c>
      <c r="AK30" s="999"/>
      <c r="AL30" s="999"/>
      <c r="AM30" s="812" t="s">
        <v>830</v>
      </c>
      <c r="AN30" s="999"/>
      <c r="AO30" s="999"/>
      <c r="AP30" s="811" t="s">
        <v>829</v>
      </c>
      <c r="AQ30" s="865"/>
      <c r="AR30" s="866"/>
      <c r="AS30" s="854">
        <f t="shared" si="3"/>
        <v>0</v>
      </c>
      <c r="AT30" s="855">
        <f t="shared" si="4"/>
        <v>0</v>
      </c>
      <c r="AU30" s="857">
        <f t="shared" si="5"/>
        <v>0</v>
      </c>
      <c r="AV30" s="858">
        <f t="shared" si="2"/>
        <v>0</v>
      </c>
      <c r="AW30" s="856" t="str">
        <f t="shared" si="6"/>
        <v/>
      </c>
      <c r="AX30" s="806"/>
      <c r="AY30" s="800"/>
    </row>
    <row r="31" spans="1:51" ht="13.15" customHeight="1">
      <c r="A31" s="791">
        <v>24</v>
      </c>
      <c r="B31" s="1116"/>
      <c r="C31" s="994"/>
      <c r="D31" s="995"/>
      <c r="E31" s="995"/>
      <c r="F31" s="995"/>
      <c r="G31" s="995"/>
      <c r="H31" s="996"/>
      <c r="I31" s="997"/>
      <c r="J31" s="995"/>
      <c r="K31" s="995"/>
      <c r="L31" s="995"/>
      <c r="M31" s="996"/>
      <c r="N31" s="998"/>
      <c r="O31" s="989"/>
      <c r="P31" s="815" t="s">
        <v>822</v>
      </c>
      <c r="Q31" s="989"/>
      <c r="R31" s="989"/>
      <c r="S31" s="814" t="s">
        <v>831</v>
      </c>
      <c r="T31" s="989"/>
      <c r="U31" s="989"/>
      <c r="V31" s="815" t="s">
        <v>822</v>
      </c>
      <c r="W31" s="989"/>
      <c r="X31" s="989"/>
      <c r="Y31" s="814" t="s">
        <v>831</v>
      </c>
      <c r="Z31" s="990">
        <f t="shared" si="0"/>
        <v>0</v>
      </c>
      <c r="AA31" s="991"/>
      <c r="AB31" s="813" t="s">
        <v>822</v>
      </c>
      <c r="AC31" s="991">
        <f t="shared" si="1"/>
        <v>0</v>
      </c>
      <c r="AD31" s="991"/>
      <c r="AE31" s="809" t="s">
        <v>821</v>
      </c>
      <c r="AF31" s="992"/>
      <c r="AG31" s="993"/>
      <c r="AH31" s="989"/>
      <c r="AI31" s="989"/>
      <c r="AJ31" s="812" t="s">
        <v>822</v>
      </c>
      <c r="AK31" s="999"/>
      <c r="AL31" s="999"/>
      <c r="AM31" s="812" t="s">
        <v>830</v>
      </c>
      <c r="AN31" s="999"/>
      <c r="AO31" s="999"/>
      <c r="AP31" s="811" t="s">
        <v>829</v>
      </c>
      <c r="AQ31" s="865"/>
      <c r="AR31" s="866"/>
      <c r="AS31" s="854">
        <f t="shared" si="3"/>
        <v>0</v>
      </c>
      <c r="AT31" s="855">
        <f t="shared" si="4"/>
        <v>0</v>
      </c>
      <c r="AU31" s="857">
        <f t="shared" si="5"/>
        <v>0</v>
      </c>
      <c r="AV31" s="858">
        <f t="shared" si="2"/>
        <v>0</v>
      </c>
      <c r="AW31" s="856" t="str">
        <f t="shared" si="6"/>
        <v/>
      </c>
      <c r="AX31" s="806"/>
      <c r="AY31" s="800"/>
    </row>
    <row r="32" spans="1:51" ht="13.15" customHeight="1">
      <c r="A32" s="791">
        <v>25</v>
      </c>
      <c r="B32" s="1116"/>
      <c r="C32" s="994"/>
      <c r="D32" s="995"/>
      <c r="E32" s="995"/>
      <c r="F32" s="995"/>
      <c r="G32" s="995"/>
      <c r="H32" s="996"/>
      <c r="I32" s="997"/>
      <c r="J32" s="995"/>
      <c r="K32" s="995"/>
      <c r="L32" s="995"/>
      <c r="M32" s="996"/>
      <c r="N32" s="998"/>
      <c r="O32" s="989"/>
      <c r="P32" s="815" t="s">
        <v>822</v>
      </c>
      <c r="Q32" s="989"/>
      <c r="R32" s="989"/>
      <c r="S32" s="822" t="s">
        <v>831</v>
      </c>
      <c r="T32" s="989"/>
      <c r="U32" s="989"/>
      <c r="V32" s="815" t="s">
        <v>822</v>
      </c>
      <c r="W32" s="989"/>
      <c r="X32" s="989"/>
      <c r="Y32" s="822" t="s">
        <v>831</v>
      </c>
      <c r="Z32" s="990">
        <f t="shared" si="0"/>
        <v>0</v>
      </c>
      <c r="AA32" s="991"/>
      <c r="AB32" s="813" t="s">
        <v>822</v>
      </c>
      <c r="AC32" s="991">
        <f t="shared" si="1"/>
        <v>0</v>
      </c>
      <c r="AD32" s="991"/>
      <c r="AE32" s="809" t="s">
        <v>821</v>
      </c>
      <c r="AF32" s="992"/>
      <c r="AG32" s="993"/>
      <c r="AH32" s="989"/>
      <c r="AI32" s="989"/>
      <c r="AJ32" s="812" t="s">
        <v>822</v>
      </c>
      <c r="AK32" s="999"/>
      <c r="AL32" s="999"/>
      <c r="AM32" s="812" t="s">
        <v>830</v>
      </c>
      <c r="AN32" s="999"/>
      <c r="AO32" s="999"/>
      <c r="AP32" s="811" t="s">
        <v>829</v>
      </c>
      <c r="AQ32" s="865"/>
      <c r="AR32" s="866"/>
      <c r="AS32" s="854">
        <f t="shared" si="3"/>
        <v>0</v>
      </c>
      <c r="AT32" s="855">
        <f t="shared" si="4"/>
        <v>0</v>
      </c>
      <c r="AU32" s="857">
        <f t="shared" si="5"/>
        <v>0</v>
      </c>
      <c r="AV32" s="858">
        <f t="shared" si="2"/>
        <v>0</v>
      </c>
      <c r="AW32" s="856" t="str">
        <f t="shared" si="6"/>
        <v/>
      </c>
      <c r="AX32" s="806"/>
      <c r="AY32" s="800"/>
    </row>
    <row r="33" spans="1:51" ht="13.15" customHeight="1">
      <c r="A33" s="791">
        <v>26</v>
      </c>
      <c r="B33" s="1116"/>
      <c r="C33" s="994"/>
      <c r="D33" s="995"/>
      <c r="E33" s="995"/>
      <c r="F33" s="995"/>
      <c r="G33" s="995"/>
      <c r="H33" s="996"/>
      <c r="I33" s="997"/>
      <c r="J33" s="995"/>
      <c r="K33" s="995"/>
      <c r="L33" s="995"/>
      <c r="M33" s="996"/>
      <c r="N33" s="998"/>
      <c r="O33" s="989"/>
      <c r="P33" s="815" t="s">
        <v>822</v>
      </c>
      <c r="Q33" s="989"/>
      <c r="R33" s="989"/>
      <c r="S33" s="814" t="s">
        <v>831</v>
      </c>
      <c r="T33" s="989"/>
      <c r="U33" s="989"/>
      <c r="V33" s="815" t="s">
        <v>822</v>
      </c>
      <c r="W33" s="989"/>
      <c r="X33" s="989"/>
      <c r="Y33" s="814" t="s">
        <v>831</v>
      </c>
      <c r="Z33" s="990">
        <f t="shared" si="0"/>
        <v>0</v>
      </c>
      <c r="AA33" s="991"/>
      <c r="AB33" s="813" t="s">
        <v>822</v>
      </c>
      <c r="AC33" s="991">
        <f t="shared" si="1"/>
        <v>0</v>
      </c>
      <c r="AD33" s="991"/>
      <c r="AE33" s="809" t="s">
        <v>821</v>
      </c>
      <c r="AF33" s="992"/>
      <c r="AG33" s="993"/>
      <c r="AH33" s="989"/>
      <c r="AI33" s="989"/>
      <c r="AJ33" s="812" t="s">
        <v>822</v>
      </c>
      <c r="AK33" s="999"/>
      <c r="AL33" s="999"/>
      <c r="AM33" s="812" t="s">
        <v>830</v>
      </c>
      <c r="AN33" s="999"/>
      <c r="AO33" s="999"/>
      <c r="AP33" s="811" t="s">
        <v>829</v>
      </c>
      <c r="AQ33" s="865"/>
      <c r="AR33" s="866"/>
      <c r="AS33" s="854">
        <f t="shared" si="3"/>
        <v>0</v>
      </c>
      <c r="AT33" s="855">
        <f t="shared" si="4"/>
        <v>0</v>
      </c>
      <c r="AU33" s="857">
        <f t="shared" si="5"/>
        <v>0</v>
      </c>
      <c r="AV33" s="858">
        <f t="shared" si="2"/>
        <v>0</v>
      </c>
      <c r="AW33" s="856" t="str">
        <f t="shared" si="6"/>
        <v/>
      </c>
      <c r="AX33" s="806"/>
      <c r="AY33" s="800"/>
    </row>
    <row r="34" spans="1:51" ht="13.15" customHeight="1">
      <c r="A34" s="791">
        <v>27</v>
      </c>
      <c r="B34" s="1116"/>
      <c r="C34" s="994"/>
      <c r="D34" s="995"/>
      <c r="E34" s="995"/>
      <c r="F34" s="995"/>
      <c r="G34" s="995"/>
      <c r="H34" s="996"/>
      <c r="I34" s="997"/>
      <c r="J34" s="995"/>
      <c r="K34" s="995"/>
      <c r="L34" s="995"/>
      <c r="M34" s="996"/>
      <c r="N34" s="998"/>
      <c r="O34" s="989"/>
      <c r="P34" s="815" t="s">
        <v>822</v>
      </c>
      <c r="Q34" s="989"/>
      <c r="R34" s="989"/>
      <c r="S34" s="822" t="s">
        <v>831</v>
      </c>
      <c r="T34" s="989"/>
      <c r="U34" s="989"/>
      <c r="V34" s="815" t="s">
        <v>822</v>
      </c>
      <c r="W34" s="989"/>
      <c r="X34" s="989"/>
      <c r="Y34" s="822" t="s">
        <v>831</v>
      </c>
      <c r="Z34" s="990">
        <f t="shared" si="0"/>
        <v>0</v>
      </c>
      <c r="AA34" s="991"/>
      <c r="AB34" s="813" t="s">
        <v>822</v>
      </c>
      <c r="AC34" s="991">
        <f t="shared" si="1"/>
        <v>0</v>
      </c>
      <c r="AD34" s="991"/>
      <c r="AE34" s="809" t="s">
        <v>821</v>
      </c>
      <c r="AF34" s="992"/>
      <c r="AG34" s="993"/>
      <c r="AH34" s="989"/>
      <c r="AI34" s="989"/>
      <c r="AJ34" s="812" t="s">
        <v>822</v>
      </c>
      <c r="AK34" s="999"/>
      <c r="AL34" s="999"/>
      <c r="AM34" s="812" t="s">
        <v>830</v>
      </c>
      <c r="AN34" s="999"/>
      <c r="AO34" s="999"/>
      <c r="AP34" s="811" t="s">
        <v>829</v>
      </c>
      <c r="AQ34" s="865"/>
      <c r="AR34" s="866"/>
      <c r="AS34" s="854">
        <f t="shared" si="3"/>
        <v>0</v>
      </c>
      <c r="AT34" s="855">
        <f t="shared" si="4"/>
        <v>0</v>
      </c>
      <c r="AU34" s="857">
        <f t="shared" si="5"/>
        <v>0</v>
      </c>
      <c r="AV34" s="858">
        <f t="shared" si="2"/>
        <v>0</v>
      </c>
      <c r="AW34" s="856" t="str">
        <f t="shared" si="6"/>
        <v/>
      </c>
      <c r="AX34" s="806"/>
      <c r="AY34" s="800"/>
    </row>
    <row r="35" spans="1:51" ht="13.15" customHeight="1">
      <c r="A35" s="791">
        <v>28</v>
      </c>
      <c r="B35" s="1116"/>
      <c r="C35" s="994"/>
      <c r="D35" s="995"/>
      <c r="E35" s="995"/>
      <c r="F35" s="995"/>
      <c r="G35" s="995"/>
      <c r="H35" s="996"/>
      <c r="I35" s="997"/>
      <c r="J35" s="995"/>
      <c r="K35" s="995"/>
      <c r="L35" s="995"/>
      <c r="M35" s="996"/>
      <c r="N35" s="998"/>
      <c r="O35" s="989"/>
      <c r="P35" s="815" t="s">
        <v>822</v>
      </c>
      <c r="Q35" s="989"/>
      <c r="R35" s="989"/>
      <c r="S35" s="814" t="s">
        <v>831</v>
      </c>
      <c r="T35" s="989"/>
      <c r="U35" s="989"/>
      <c r="V35" s="815" t="s">
        <v>822</v>
      </c>
      <c r="W35" s="989"/>
      <c r="X35" s="989"/>
      <c r="Y35" s="814" t="s">
        <v>831</v>
      </c>
      <c r="Z35" s="990">
        <f t="shared" si="0"/>
        <v>0</v>
      </c>
      <c r="AA35" s="991"/>
      <c r="AB35" s="813" t="s">
        <v>822</v>
      </c>
      <c r="AC35" s="991">
        <f t="shared" si="1"/>
        <v>0</v>
      </c>
      <c r="AD35" s="991"/>
      <c r="AE35" s="809" t="s">
        <v>821</v>
      </c>
      <c r="AF35" s="992"/>
      <c r="AG35" s="993"/>
      <c r="AH35" s="989"/>
      <c r="AI35" s="989"/>
      <c r="AJ35" s="812" t="s">
        <v>822</v>
      </c>
      <c r="AK35" s="999"/>
      <c r="AL35" s="999"/>
      <c r="AM35" s="812" t="s">
        <v>830</v>
      </c>
      <c r="AN35" s="999"/>
      <c r="AO35" s="999"/>
      <c r="AP35" s="811" t="s">
        <v>829</v>
      </c>
      <c r="AQ35" s="865"/>
      <c r="AR35" s="866"/>
      <c r="AS35" s="854">
        <f t="shared" si="3"/>
        <v>0</v>
      </c>
      <c r="AT35" s="855">
        <f t="shared" si="4"/>
        <v>0</v>
      </c>
      <c r="AU35" s="857">
        <f t="shared" si="5"/>
        <v>0</v>
      </c>
      <c r="AV35" s="858">
        <f t="shared" si="2"/>
        <v>0</v>
      </c>
      <c r="AW35" s="856" t="str">
        <f t="shared" si="6"/>
        <v/>
      </c>
      <c r="AX35" s="806"/>
      <c r="AY35" s="800"/>
    </row>
    <row r="36" spans="1:51" ht="13.15" customHeight="1">
      <c r="A36" s="791">
        <v>29</v>
      </c>
      <c r="B36" s="1116"/>
      <c r="C36" s="994"/>
      <c r="D36" s="995"/>
      <c r="E36" s="995"/>
      <c r="F36" s="995"/>
      <c r="G36" s="995"/>
      <c r="H36" s="996"/>
      <c r="I36" s="997"/>
      <c r="J36" s="995"/>
      <c r="K36" s="995"/>
      <c r="L36" s="995"/>
      <c r="M36" s="996"/>
      <c r="N36" s="998"/>
      <c r="O36" s="989"/>
      <c r="P36" s="815" t="s">
        <v>822</v>
      </c>
      <c r="Q36" s="989"/>
      <c r="R36" s="989"/>
      <c r="S36" s="822" t="s">
        <v>831</v>
      </c>
      <c r="T36" s="989"/>
      <c r="U36" s="989"/>
      <c r="V36" s="815" t="s">
        <v>822</v>
      </c>
      <c r="W36" s="989"/>
      <c r="X36" s="989"/>
      <c r="Y36" s="822" t="s">
        <v>831</v>
      </c>
      <c r="Z36" s="990">
        <f t="shared" si="0"/>
        <v>0</v>
      </c>
      <c r="AA36" s="991"/>
      <c r="AB36" s="813" t="s">
        <v>822</v>
      </c>
      <c r="AC36" s="991">
        <f t="shared" si="1"/>
        <v>0</v>
      </c>
      <c r="AD36" s="991"/>
      <c r="AE36" s="809" t="s">
        <v>821</v>
      </c>
      <c r="AF36" s="992"/>
      <c r="AG36" s="993"/>
      <c r="AH36" s="989"/>
      <c r="AI36" s="989"/>
      <c r="AJ36" s="812" t="s">
        <v>822</v>
      </c>
      <c r="AK36" s="999"/>
      <c r="AL36" s="999"/>
      <c r="AM36" s="812" t="s">
        <v>830</v>
      </c>
      <c r="AN36" s="999"/>
      <c r="AO36" s="999"/>
      <c r="AP36" s="811" t="s">
        <v>829</v>
      </c>
      <c r="AQ36" s="865"/>
      <c r="AR36" s="866"/>
      <c r="AS36" s="854">
        <f t="shared" si="3"/>
        <v>0</v>
      </c>
      <c r="AT36" s="855">
        <f t="shared" si="4"/>
        <v>0</v>
      </c>
      <c r="AU36" s="857">
        <f t="shared" si="5"/>
        <v>0</v>
      </c>
      <c r="AV36" s="858">
        <f t="shared" si="2"/>
        <v>0</v>
      </c>
      <c r="AW36" s="856" t="str">
        <f t="shared" si="6"/>
        <v/>
      </c>
      <c r="AX36" s="806"/>
      <c r="AY36" s="800"/>
    </row>
    <row r="37" spans="1:51" ht="13.15" customHeight="1">
      <c r="A37" s="791">
        <v>30</v>
      </c>
      <c r="B37" s="1116"/>
      <c r="C37" s="994"/>
      <c r="D37" s="995"/>
      <c r="E37" s="995"/>
      <c r="F37" s="995"/>
      <c r="G37" s="995"/>
      <c r="H37" s="996"/>
      <c r="I37" s="997"/>
      <c r="J37" s="995"/>
      <c r="K37" s="995"/>
      <c r="L37" s="995"/>
      <c r="M37" s="996"/>
      <c r="N37" s="998"/>
      <c r="O37" s="989"/>
      <c r="P37" s="815" t="s">
        <v>822</v>
      </c>
      <c r="Q37" s="989"/>
      <c r="R37" s="989"/>
      <c r="S37" s="814" t="s">
        <v>831</v>
      </c>
      <c r="T37" s="989"/>
      <c r="U37" s="989"/>
      <c r="V37" s="815" t="s">
        <v>822</v>
      </c>
      <c r="W37" s="989"/>
      <c r="X37" s="989"/>
      <c r="Y37" s="814" t="s">
        <v>831</v>
      </c>
      <c r="Z37" s="990">
        <f t="shared" si="0"/>
        <v>0</v>
      </c>
      <c r="AA37" s="991"/>
      <c r="AB37" s="813" t="s">
        <v>822</v>
      </c>
      <c r="AC37" s="991">
        <f t="shared" si="1"/>
        <v>0</v>
      </c>
      <c r="AD37" s="991"/>
      <c r="AE37" s="809" t="s">
        <v>821</v>
      </c>
      <c r="AF37" s="992"/>
      <c r="AG37" s="993"/>
      <c r="AH37" s="989"/>
      <c r="AI37" s="989"/>
      <c r="AJ37" s="812" t="s">
        <v>822</v>
      </c>
      <c r="AK37" s="999"/>
      <c r="AL37" s="999"/>
      <c r="AM37" s="812" t="s">
        <v>830</v>
      </c>
      <c r="AN37" s="999"/>
      <c r="AO37" s="999"/>
      <c r="AP37" s="811" t="s">
        <v>829</v>
      </c>
      <c r="AQ37" s="865"/>
      <c r="AR37" s="866"/>
      <c r="AS37" s="854">
        <f t="shared" si="3"/>
        <v>0</v>
      </c>
      <c r="AT37" s="855">
        <f t="shared" si="4"/>
        <v>0</v>
      </c>
      <c r="AU37" s="857">
        <f t="shared" si="5"/>
        <v>0</v>
      </c>
      <c r="AV37" s="858">
        <f t="shared" si="2"/>
        <v>0</v>
      </c>
      <c r="AW37" s="856" t="str">
        <f t="shared" si="6"/>
        <v/>
      </c>
      <c r="AX37" s="806"/>
      <c r="AY37" s="800"/>
    </row>
    <row r="38" spans="1:51" ht="13.15" customHeight="1">
      <c r="A38" s="791">
        <v>31</v>
      </c>
      <c r="B38" s="1116"/>
      <c r="C38" s="994"/>
      <c r="D38" s="995"/>
      <c r="E38" s="995"/>
      <c r="F38" s="995"/>
      <c r="G38" s="995"/>
      <c r="H38" s="996"/>
      <c r="I38" s="997"/>
      <c r="J38" s="995"/>
      <c r="K38" s="995"/>
      <c r="L38" s="995"/>
      <c r="M38" s="996"/>
      <c r="N38" s="998"/>
      <c r="O38" s="989"/>
      <c r="P38" s="815" t="s">
        <v>822</v>
      </c>
      <c r="Q38" s="989"/>
      <c r="R38" s="989"/>
      <c r="S38" s="822" t="s">
        <v>831</v>
      </c>
      <c r="T38" s="989"/>
      <c r="U38" s="989"/>
      <c r="V38" s="815" t="s">
        <v>822</v>
      </c>
      <c r="W38" s="989"/>
      <c r="X38" s="989"/>
      <c r="Y38" s="822" t="s">
        <v>831</v>
      </c>
      <c r="Z38" s="990">
        <f t="shared" si="0"/>
        <v>0</v>
      </c>
      <c r="AA38" s="991"/>
      <c r="AB38" s="813" t="s">
        <v>822</v>
      </c>
      <c r="AC38" s="991">
        <f t="shared" si="1"/>
        <v>0</v>
      </c>
      <c r="AD38" s="991"/>
      <c r="AE38" s="809" t="s">
        <v>821</v>
      </c>
      <c r="AF38" s="992"/>
      <c r="AG38" s="993"/>
      <c r="AH38" s="989"/>
      <c r="AI38" s="989"/>
      <c r="AJ38" s="812" t="s">
        <v>822</v>
      </c>
      <c r="AK38" s="999"/>
      <c r="AL38" s="999"/>
      <c r="AM38" s="812" t="s">
        <v>830</v>
      </c>
      <c r="AN38" s="999"/>
      <c r="AO38" s="999"/>
      <c r="AP38" s="811" t="s">
        <v>829</v>
      </c>
      <c r="AQ38" s="865"/>
      <c r="AR38" s="866"/>
      <c r="AS38" s="854">
        <f t="shared" si="3"/>
        <v>0</v>
      </c>
      <c r="AT38" s="855">
        <f t="shared" si="4"/>
        <v>0</v>
      </c>
      <c r="AU38" s="857">
        <f t="shared" si="5"/>
        <v>0</v>
      </c>
      <c r="AV38" s="858">
        <f t="shared" si="2"/>
        <v>0</v>
      </c>
      <c r="AW38" s="856" t="str">
        <f t="shared" si="6"/>
        <v/>
      </c>
      <c r="AX38" s="806"/>
      <c r="AY38" s="800"/>
    </row>
    <row r="39" spans="1:51" ht="13.15" customHeight="1">
      <c r="A39" s="791">
        <v>32</v>
      </c>
      <c r="B39" s="1116"/>
      <c r="C39" s="994"/>
      <c r="D39" s="995"/>
      <c r="E39" s="995"/>
      <c r="F39" s="995"/>
      <c r="G39" s="995"/>
      <c r="H39" s="996"/>
      <c r="I39" s="997"/>
      <c r="J39" s="995"/>
      <c r="K39" s="995"/>
      <c r="L39" s="995"/>
      <c r="M39" s="996"/>
      <c r="N39" s="998"/>
      <c r="O39" s="989"/>
      <c r="P39" s="815" t="s">
        <v>822</v>
      </c>
      <c r="Q39" s="989"/>
      <c r="R39" s="989"/>
      <c r="S39" s="814" t="s">
        <v>831</v>
      </c>
      <c r="T39" s="989"/>
      <c r="U39" s="989"/>
      <c r="V39" s="815" t="s">
        <v>822</v>
      </c>
      <c r="W39" s="989"/>
      <c r="X39" s="989"/>
      <c r="Y39" s="814" t="s">
        <v>831</v>
      </c>
      <c r="Z39" s="990">
        <f t="shared" si="0"/>
        <v>0</v>
      </c>
      <c r="AA39" s="991"/>
      <c r="AB39" s="813" t="s">
        <v>822</v>
      </c>
      <c r="AC39" s="991">
        <f t="shared" si="1"/>
        <v>0</v>
      </c>
      <c r="AD39" s="991"/>
      <c r="AE39" s="809" t="s">
        <v>821</v>
      </c>
      <c r="AF39" s="992"/>
      <c r="AG39" s="993"/>
      <c r="AH39" s="989"/>
      <c r="AI39" s="989"/>
      <c r="AJ39" s="812" t="s">
        <v>822</v>
      </c>
      <c r="AK39" s="999"/>
      <c r="AL39" s="999"/>
      <c r="AM39" s="812" t="s">
        <v>830</v>
      </c>
      <c r="AN39" s="999"/>
      <c r="AO39" s="999"/>
      <c r="AP39" s="811" t="s">
        <v>829</v>
      </c>
      <c r="AQ39" s="865"/>
      <c r="AR39" s="866"/>
      <c r="AS39" s="854">
        <f t="shared" si="3"/>
        <v>0</v>
      </c>
      <c r="AT39" s="855">
        <f t="shared" si="4"/>
        <v>0</v>
      </c>
      <c r="AU39" s="857">
        <f t="shared" si="5"/>
        <v>0</v>
      </c>
      <c r="AV39" s="858">
        <f t="shared" si="2"/>
        <v>0</v>
      </c>
      <c r="AW39" s="856" t="str">
        <f t="shared" si="6"/>
        <v/>
      </c>
      <c r="AX39" s="806"/>
      <c r="AY39" s="800"/>
    </row>
    <row r="40" spans="1:51" ht="13.15" customHeight="1">
      <c r="A40" s="791">
        <v>33</v>
      </c>
      <c r="B40" s="1116"/>
      <c r="C40" s="994"/>
      <c r="D40" s="995"/>
      <c r="E40" s="995"/>
      <c r="F40" s="995"/>
      <c r="G40" s="995"/>
      <c r="H40" s="996"/>
      <c r="I40" s="997"/>
      <c r="J40" s="995"/>
      <c r="K40" s="995"/>
      <c r="L40" s="995"/>
      <c r="M40" s="996"/>
      <c r="N40" s="998"/>
      <c r="O40" s="989"/>
      <c r="P40" s="815" t="s">
        <v>822</v>
      </c>
      <c r="Q40" s="989"/>
      <c r="R40" s="989"/>
      <c r="S40" s="822" t="s">
        <v>831</v>
      </c>
      <c r="T40" s="989"/>
      <c r="U40" s="989"/>
      <c r="V40" s="815" t="s">
        <v>822</v>
      </c>
      <c r="W40" s="989"/>
      <c r="X40" s="989"/>
      <c r="Y40" s="822" t="s">
        <v>831</v>
      </c>
      <c r="Z40" s="990">
        <f t="shared" ref="Z40:Z71" si="7">(N40+T40)+QUOTIENT((Q40+W40),12)</f>
        <v>0</v>
      </c>
      <c r="AA40" s="991"/>
      <c r="AB40" s="813" t="s">
        <v>822</v>
      </c>
      <c r="AC40" s="991">
        <f t="shared" ref="AC40:AC71" si="8">MOD(Q40+W40,12)</f>
        <v>0</v>
      </c>
      <c r="AD40" s="991"/>
      <c r="AE40" s="809" t="s">
        <v>821</v>
      </c>
      <c r="AF40" s="992"/>
      <c r="AG40" s="993"/>
      <c r="AH40" s="989"/>
      <c r="AI40" s="989"/>
      <c r="AJ40" s="812" t="s">
        <v>822</v>
      </c>
      <c r="AK40" s="999"/>
      <c r="AL40" s="999"/>
      <c r="AM40" s="812" t="s">
        <v>830</v>
      </c>
      <c r="AN40" s="999"/>
      <c r="AO40" s="999"/>
      <c r="AP40" s="811" t="s">
        <v>829</v>
      </c>
      <c r="AQ40" s="865"/>
      <c r="AR40" s="866"/>
      <c r="AS40" s="854">
        <f t="shared" si="3"/>
        <v>0</v>
      </c>
      <c r="AT40" s="855">
        <f t="shared" si="4"/>
        <v>0</v>
      </c>
      <c r="AU40" s="857">
        <f t="shared" si="5"/>
        <v>0</v>
      </c>
      <c r="AV40" s="858">
        <f t="shared" ref="AV40:AV71" si="9">+IF(AND(Z40&gt;=7,OR(I40="栄養士",I40="調理員")),1,0)</f>
        <v>0</v>
      </c>
      <c r="AW40" s="856" t="str">
        <f t="shared" si="6"/>
        <v/>
      </c>
      <c r="AX40" s="806"/>
      <c r="AY40" s="800"/>
    </row>
    <row r="41" spans="1:51" ht="13.15" customHeight="1">
      <c r="A41" s="791">
        <v>34</v>
      </c>
      <c r="B41" s="1116"/>
      <c r="C41" s="994"/>
      <c r="D41" s="995"/>
      <c r="E41" s="995"/>
      <c r="F41" s="995"/>
      <c r="G41" s="995"/>
      <c r="H41" s="996"/>
      <c r="I41" s="997"/>
      <c r="J41" s="995"/>
      <c r="K41" s="995"/>
      <c r="L41" s="995"/>
      <c r="M41" s="996"/>
      <c r="N41" s="998"/>
      <c r="O41" s="989"/>
      <c r="P41" s="815" t="s">
        <v>822</v>
      </c>
      <c r="Q41" s="989"/>
      <c r="R41" s="989"/>
      <c r="S41" s="814" t="s">
        <v>831</v>
      </c>
      <c r="T41" s="989"/>
      <c r="U41" s="989"/>
      <c r="V41" s="815" t="s">
        <v>822</v>
      </c>
      <c r="W41" s="989"/>
      <c r="X41" s="989"/>
      <c r="Y41" s="814" t="s">
        <v>831</v>
      </c>
      <c r="Z41" s="990">
        <f t="shared" si="7"/>
        <v>0</v>
      </c>
      <c r="AA41" s="991"/>
      <c r="AB41" s="813" t="s">
        <v>822</v>
      </c>
      <c r="AC41" s="991">
        <f t="shared" si="8"/>
        <v>0</v>
      </c>
      <c r="AD41" s="991"/>
      <c r="AE41" s="809" t="s">
        <v>821</v>
      </c>
      <c r="AF41" s="992"/>
      <c r="AG41" s="993"/>
      <c r="AH41" s="989"/>
      <c r="AI41" s="989"/>
      <c r="AJ41" s="812" t="s">
        <v>822</v>
      </c>
      <c r="AK41" s="999"/>
      <c r="AL41" s="999"/>
      <c r="AM41" s="812" t="s">
        <v>830</v>
      </c>
      <c r="AN41" s="999"/>
      <c r="AO41" s="999"/>
      <c r="AP41" s="811" t="s">
        <v>829</v>
      </c>
      <c r="AQ41" s="865"/>
      <c r="AR41" s="866"/>
      <c r="AS41" s="854">
        <f t="shared" si="3"/>
        <v>0</v>
      </c>
      <c r="AT41" s="855">
        <f t="shared" si="4"/>
        <v>0</v>
      </c>
      <c r="AU41" s="857">
        <f t="shared" si="5"/>
        <v>0</v>
      </c>
      <c r="AV41" s="858">
        <f t="shared" si="9"/>
        <v>0</v>
      </c>
      <c r="AW41" s="856" t="str">
        <f t="shared" si="6"/>
        <v/>
      </c>
      <c r="AX41" s="806"/>
      <c r="AY41" s="800"/>
    </row>
    <row r="42" spans="1:51" ht="13.15" customHeight="1">
      <c r="A42" s="791">
        <v>35</v>
      </c>
      <c r="B42" s="1116"/>
      <c r="C42" s="994"/>
      <c r="D42" s="995"/>
      <c r="E42" s="995"/>
      <c r="F42" s="995"/>
      <c r="G42" s="995"/>
      <c r="H42" s="996"/>
      <c r="I42" s="997"/>
      <c r="J42" s="995"/>
      <c r="K42" s="995"/>
      <c r="L42" s="995"/>
      <c r="M42" s="996"/>
      <c r="N42" s="998"/>
      <c r="O42" s="989"/>
      <c r="P42" s="815" t="s">
        <v>822</v>
      </c>
      <c r="Q42" s="989"/>
      <c r="R42" s="989"/>
      <c r="S42" s="822" t="s">
        <v>831</v>
      </c>
      <c r="T42" s="989"/>
      <c r="U42" s="989"/>
      <c r="V42" s="815" t="s">
        <v>822</v>
      </c>
      <c r="W42" s="989"/>
      <c r="X42" s="989"/>
      <c r="Y42" s="822" t="s">
        <v>831</v>
      </c>
      <c r="Z42" s="990">
        <f t="shared" si="7"/>
        <v>0</v>
      </c>
      <c r="AA42" s="991"/>
      <c r="AB42" s="813" t="s">
        <v>822</v>
      </c>
      <c r="AC42" s="991">
        <f t="shared" si="8"/>
        <v>0</v>
      </c>
      <c r="AD42" s="991"/>
      <c r="AE42" s="809" t="s">
        <v>821</v>
      </c>
      <c r="AF42" s="992"/>
      <c r="AG42" s="993"/>
      <c r="AH42" s="989"/>
      <c r="AI42" s="989"/>
      <c r="AJ42" s="812" t="s">
        <v>822</v>
      </c>
      <c r="AK42" s="999"/>
      <c r="AL42" s="999"/>
      <c r="AM42" s="812" t="s">
        <v>830</v>
      </c>
      <c r="AN42" s="999"/>
      <c r="AO42" s="999"/>
      <c r="AP42" s="811" t="s">
        <v>829</v>
      </c>
      <c r="AQ42" s="865"/>
      <c r="AR42" s="866"/>
      <c r="AS42" s="854">
        <f t="shared" si="3"/>
        <v>0</v>
      </c>
      <c r="AT42" s="855">
        <f t="shared" si="4"/>
        <v>0</v>
      </c>
      <c r="AU42" s="857">
        <f t="shared" si="5"/>
        <v>0</v>
      </c>
      <c r="AV42" s="858">
        <f t="shared" si="9"/>
        <v>0</v>
      </c>
      <c r="AW42" s="856" t="str">
        <f t="shared" si="6"/>
        <v/>
      </c>
      <c r="AX42" s="806"/>
      <c r="AY42" s="800"/>
    </row>
    <row r="43" spans="1:51" ht="13.15" customHeight="1">
      <c r="A43" s="791">
        <v>36</v>
      </c>
      <c r="B43" s="1116"/>
      <c r="C43" s="994"/>
      <c r="D43" s="995"/>
      <c r="E43" s="995"/>
      <c r="F43" s="995"/>
      <c r="G43" s="995"/>
      <c r="H43" s="996"/>
      <c r="I43" s="997"/>
      <c r="J43" s="995"/>
      <c r="K43" s="995"/>
      <c r="L43" s="995"/>
      <c r="M43" s="996"/>
      <c r="N43" s="998"/>
      <c r="O43" s="989"/>
      <c r="P43" s="815" t="s">
        <v>822</v>
      </c>
      <c r="Q43" s="989"/>
      <c r="R43" s="989"/>
      <c r="S43" s="814" t="s">
        <v>831</v>
      </c>
      <c r="T43" s="989"/>
      <c r="U43" s="989"/>
      <c r="V43" s="815" t="s">
        <v>822</v>
      </c>
      <c r="W43" s="989"/>
      <c r="X43" s="989"/>
      <c r="Y43" s="814" t="s">
        <v>831</v>
      </c>
      <c r="Z43" s="990">
        <f t="shared" si="7"/>
        <v>0</v>
      </c>
      <c r="AA43" s="991"/>
      <c r="AB43" s="813" t="s">
        <v>822</v>
      </c>
      <c r="AC43" s="991">
        <f t="shared" si="8"/>
        <v>0</v>
      </c>
      <c r="AD43" s="991"/>
      <c r="AE43" s="809" t="s">
        <v>821</v>
      </c>
      <c r="AF43" s="992"/>
      <c r="AG43" s="993"/>
      <c r="AH43" s="989"/>
      <c r="AI43" s="989"/>
      <c r="AJ43" s="812" t="s">
        <v>822</v>
      </c>
      <c r="AK43" s="999"/>
      <c r="AL43" s="999"/>
      <c r="AM43" s="812" t="s">
        <v>830</v>
      </c>
      <c r="AN43" s="999"/>
      <c r="AO43" s="999"/>
      <c r="AP43" s="811" t="s">
        <v>829</v>
      </c>
      <c r="AQ43" s="865"/>
      <c r="AR43" s="866"/>
      <c r="AS43" s="854">
        <f t="shared" si="3"/>
        <v>0</v>
      </c>
      <c r="AT43" s="855">
        <f t="shared" si="4"/>
        <v>0</v>
      </c>
      <c r="AU43" s="857">
        <f t="shared" si="5"/>
        <v>0</v>
      </c>
      <c r="AV43" s="858">
        <f t="shared" si="9"/>
        <v>0</v>
      </c>
      <c r="AW43" s="856" t="str">
        <f t="shared" si="6"/>
        <v/>
      </c>
      <c r="AX43" s="806"/>
      <c r="AY43" s="800"/>
    </row>
    <row r="44" spans="1:51" ht="13.15" customHeight="1">
      <c r="A44" s="791">
        <v>37</v>
      </c>
      <c r="B44" s="1116"/>
      <c r="C44" s="994"/>
      <c r="D44" s="995"/>
      <c r="E44" s="995"/>
      <c r="F44" s="995"/>
      <c r="G44" s="995"/>
      <c r="H44" s="996"/>
      <c r="I44" s="997"/>
      <c r="J44" s="995"/>
      <c r="K44" s="995"/>
      <c r="L44" s="995"/>
      <c r="M44" s="996"/>
      <c r="N44" s="998"/>
      <c r="O44" s="989"/>
      <c r="P44" s="815" t="s">
        <v>822</v>
      </c>
      <c r="Q44" s="989"/>
      <c r="R44" s="989"/>
      <c r="S44" s="822" t="s">
        <v>831</v>
      </c>
      <c r="T44" s="989"/>
      <c r="U44" s="989"/>
      <c r="V44" s="815" t="s">
        <v>822</v>
      </c>
      <c r="W44" s="989"/>
      <c r="X44" s="989"/>
      <c r="Y44" s="822" t="s">
        <v>831</v>
      </c>
      <c r="Z44" s="990">
        <f t="shared" si="7"/>
        <v>0</v>
      </c>
      <c r="AA44" s="991"/>
      <c r="AB44" s="813" t="s">
        <v>822</v>
      </c>
      <c r="AC44" s="991">
        <f t="shared" si="8"/>
        <v>0</v>
      </c>
      <c r="AD44" s="991"/>
      <c r="AE44" s="809" t="s">
        <v>821</v>
      </c>
      <c r="AF44" s="992"/>
      <c r="AG44" s="993"/>
      <c r="AH44" s="989"/>
      <c r="AI44" s="989"/>
      <c r="AJ44" s="812" t="s">
        <v>822</v>
      </c>
      <c r="AK44" s="999"/>
      <c r="AL44" s="999"/>
      <c r="AM44" s="812" t="s">
        <v>830</v>
      </c>
      <c r="AN44" s="999"/>
      <c r="AO44" s="999"/>
      <c r="AP44" s="811" t="s">
        <v>829</v>
      </c>
      <c r="AQ44" s="865"/>
      <c r="AR44" s="866"/>
      <c r="AS44" s="854">
        <f t="shared" si="3"/>
        <v>0</v>
      </c>
      <c r="AT44" s="855">
        <f t="shared" si="4"/>
        <v>0</v>
      </c>
      <c r="AU44" s="857">
        <f t="shared" si="5"/>
        <v>0</v>
      </c>
      <c r="AV44" s="858">
        <f t="shared" si="9"/>
        <v>0</v>
      </c>
      <c r="AW44" s="856" t="str">
        <f t="shared" si="6"/>
        <v/>
      </c>
      <c r="AX44" s="806"/>
      <c r="AY44" s="800"/>
    </row>
    <row r="45" spans="1:51" ht="13.15" customHeight="1">
      <c r="A45" s="791">
        <v>38</v>
      </c>
      <c r="B45" s="1116"/>
      <c r="C45" s="994"/>
      <c r="D45" s="995"/>
      <c r="E45" s="995"/>
      <c r="F45" s="995"/>
      <c r="G45" s="995"/>
      <c r="H45" s="996"/>
      <c r="I45" s="997"/>
      <c r="J45" s="995"/>
      <c r="K45" s="995"/>
      <c r="L45" s="995"/>
      <c r="M45" s="996"/>
      <c r="N45" s="998"/>
      <c r="O45" s="989"/>
      <c r="P45" s="815" t="s">
        <v>822</v>
      </c>
      <c r="Q45" s="989"/>
      <c r="R45" s="989"/>
      <c r="S45" s="814" t="s">
        <v>831</v>
      </c>
      <c r="T45" s="989"/>
      <c r="U45" s="989"/>
      <c r="V45" s="815" t="s">
        <v>822</v>
      </c>
      <c r="W45" s="989"/>
      <c r="X45" s="989"/>
      <c r="Y45" s="814" t="s">
        <v>831</v>
      </c>
      <c r="Z45" s="990">
        <f t="shared" si="7"/>
        <v>0</v>
      </c>
      <c r="AA45" s="991"/>
      <c r="AB45" s="813" t="s">
        <v>822</v>
      </c>
      <c r="AC45" s="991">
        <f t="shared" si="8"/>
        <v>0</v>
      </c>
      <c r="AD45" s="991"/>
      <c r="AE45" s="809" t="s">
        <v>821</v>
      </c>
      <c r="AF45" s="992"/>
      <c r="AG45" s="993"/>
      <c r="AH45" s="989"/>
      <c r="AI45" s="989"/>
      <c r="AJ45" s="812" t="s">
        <v>822</v>
      </c>
      <c r="AK45" s="999"/>
      <c r="AL45" s="999"/>
      <c r="AM45" s="812" t="s">
        <v>830</v>
      </c>
      <c r="AN45" s="999"/>
      <c r="AO45" s="999"/>
      <c r="AP45" s="811" t="s">
        <v>829</v>
      </c>
      <c r="AQ45" s="865"/>
      <c r="AR45" s="866"/>
      <c r="AS45" s="854">
        <f t="shared" si="3"/>
        <v>0</v>
      </c>
      <c r="AT45" s="855">
        <f t="shared" si="4"/>
        <v>0</v>
      </c>
      <c r="AU45" s="857">
        <f t="shared" si="5"/>
        <v>0</v>
      </c>
      <c r="AV45" s="858">
        <f t="shared" si="9"/>
        <v>0</v>
      </c>
      <c r="AW45" s="856" t="str">
        <f t="shared" si="6"/>
        <v/>
      </c>
      <c r="AX45" s="806"/>
      <c r="AY45" s="800"/>
    </row>
    <row r="46" spans="1:51" ht="13.15" customHeight="1">
      <c r="A46" s="791">
        <v>39</v>
      </c>
      <c r="B46" s="1116"/>
      <c r="C46" s="994"/>
      <c r="D46" s="995"/>
      <c r="E46" s="995"/>
      <c r="F46" s="995"/>
      <c r="G46" s="995"/>
      <c r="H46" s="996"/>
      <c r="I46" s="997"/>
      <c r="J46" s="995"/>
      <c r="K46" s="995"/>
      <c r="L46" s="995"/>
      <c r="M46" s="996"/>
      <c r="N46" s="998"/>
      <c r="O46" s="989"/>
      <c r="P46" s="815" t="s">
        <v>822</v>
      </c>
      <c r="Q46" s="989"/>
      <c r="R46" s="989"/>
      <c r="S46" s="822" t="s">
        <v>831</v>
      </c>
      <c r="T46" s="989"/>
      <c r="U46" s="989"/>
      <c r="V46" s="815" t="s">
        <v>822</v>
      </c>
      <c r="W46" s="989"/>
      <c r="X46" s="989"/>
      <c r="Y46" s="822" t="s">
        <v>831</v>
      </c>
      <c r="Z46" s="990">
        <f t="shared" si="7"/>
        <v>0</v>
      </c>
      <c r="AA46" s="991"/>
      <c r="AB46" s="813" t="s">
        <v>822</v>
      </c>
      <c r="AC46" s="991">
        <f t="shared" si="8"/>
        <v>0</v>
      </c>
      <c r="AD46" s="991"/>
      <c r="AE46" s="809" t="s">
        <v>821</v>
      </c>
      <c r="AF46" s="992"/>
      <c r="AG46" s="993"/>
      <c r="AH46" s="989"/>
      <c r="AI46" s="989"/>
      <c r="AJ46" s="812" t="s">
        <v>822</v>
      </c>
      <c r="AK46" s="999"/>
      <c r="AL46" s="999"/>
      <c r="AM46" s="812" t="s">
        <v>830</v>
      </c>
      <c r="AN46" s="999"/>
      <c r="AO46" s="999"/>
      <c r="AP46" s="811" t="s">
        <v>829</v>
      </c>
      <c r="AQ46" s="865"/>
      <c r="AR46" s="866"/>
      <c r="AS46" s="854">
        <f t="shared" si="3"/>
        <v>0</v>
      </c>
      <c r="AT46" s="855">
        <f t="shared" si="4"/>
        <v>0</v>
      </c>
      <c r="AU46" s="857">
        <f t="shared" si="5"/>
        <v>0</v>
      </c>
      <c r="AV46" s="858">
        <f t="shared" si="9"/>
        <v>0</v>
      </c>
      <c r="AW46" s="856" t="str">
        <f t="shared" si="6"/>
        <v/>
      </c>
      <c r="AX46" s="806"/>
      <c r="AY46" s="800"/>
    </row>
    <row r="47" spans="1:51" ht="13.15" customHeight="1">
      <c r="A47" s="791">
        <v>40</v>
      </c>
      <c r="B47" s="1116"/>
      <c r="C47" s="994"/>
      <c r="D47" s="995"/>
      <c r="E47" s="995"/>
      <c r="F47" s="995"/>
      <c r="G47" s="995"/>
      <c r="H47" s="996"/>
      <c r="I47" s="997"/>
      <c r="J47" s="995"/>
      <c r="K47" s="995"/>
      <c r="L47" s="995"/>
      <c r="M47" s="996"/>
      <c r="N47" s="998"/>
      <c r="O47" s="989"/>
      <c r="P47" s="815" t="s">
        <v>822</v>
      </c>
      <c r="Q47" s="989"/>
      <c r="R47" s="989"/>
      <c r="S47" s="814" t="s">
        <v>831</v>
      </c>
      <c r="T47" s="989"/>
      <c r="U47" s="989"/>
      <c r="V47" s="815" t="s">
        <v>822</v>
      </c>
      <c r="W47" s="989"/>
      <c r="X47" s="989"/>
      <c r="Y47" s="814" t="s">
        <v>831</v>
      </c>
      <c r="Z47" s="990">
        <f t="shared" si="7"/>
        <v>0</v>
      </c>
      <c r="AA47" s="991"/>
      <c r="AB47" s="813" t="s">
        <v>822</v>
      </c>
      <c r="AC47" s="991">
        <f t="shared" si="8"/>
        <v>0</v>
      </c>
      <c r="AD47" s="991"/>
      <c r="AE47" s="809" t="s">
        <v>821</v>
      </c>
      <c r="AF47" s="992"/>
      <c r="AG47" s="993"/>
      <c r="AH47" s="989"/>
      <c r="AI47" s="989"/>
      <c r="AJ47" s="812" t="s">
        <v>822</v>
      </c>
      <c r="AK47" s="999"/>
      <c r="AL47" s="999"/>
      <c r="AM47" s="812" t="s">
        <v>830</v>
      </c>
      <c r="AN47" s="999"/>
      <c r="AO47" s="999"/>
      <c r="AP47" s="811" t="s">
        <v>829</v>
      </c>
      <c r="AQ47" s="865"/>
      <c r="AR47" s="866"/>
      <c r="AS47" s="854">
        <f t="shared" si="3"/>
        <v>0</v>
      </c>
      <c r="AT47" s="855">
        <f t="shared" si="4"/>
        <v>0</v>
      </c>
      <c r="AU47" s="857">
        <f t="shared" si="5"/>
        <v>0</v>
      </c>
      <c r="AV47" s="858">
        <f t="shared" si="9"/>
        <v>0</v>
      </c>
      <c r="AW47" s="856" t="str">
        <f t="shared" si="6"/>
        <v/>
      </c>
      <c r="AX47" s="806"/>
      <c r="AY47" s="800"/>
    </row>
    <row r="48" spans="1:51" ht="13.15" customHeight="1">
      <c r="A48" s="791">
        <v>41</v>
      </c>
      <c r="B48" s="1116"/>
      <c r="C48" s="994"/>
      <c r="D48" s="995"/>
      <c r="E48" s="995"/>
      <c r="F48" s="995"/>
      <c r="G48" s="995"/>
      <c r="H48" s="996"/>
      <c r="I48" s="997"/>
      <c r="J48" s="995"/>
      <c r="K48" s="995"/>
      <c r="L48" s="995"/>
      <c r="M48" s="996"/>
      <c r="N48" s="998"/>
      <c r="O48" s="989"/>
      <c r="P48" s="815" t="s">
        <v>822</v>
      </c>
      <c r="Q48" s="989"/>
      <c r="R48" s="989"/>
      <c r="S48" s="822" t="s">
        <v>831</v>
      </c>
      <c r="T48" s="989"/>
      <c r="U48" s="989"/>
      <c r="V48" s="815" t="s">
        <v>822</v>
      </c>
      <c r="W48" s="989"/>
      <c r="X48" s="989"/>
      <c r="Y48" s="822" t="s">
        <v>831</v>
      </c>
      <c r="Z48" s="990">
        <f t="shared" si="7"/>
        <v>0</v>
      </c>
      <c r="AA48" s="991"/>
      <c r="AB48" s="813" t="s">
        <v>822</v>
      </c>
      <c r="AC48" s="991">
        <f t="shared" si="8"/>
        <v>0</v>
      </c>
      <c r="AD48" s="991"/>
      <c r="AE48" s="809" t="s">
        <v>821</v>
      </c>
      <c r="AF48" s="992"/>
      <c r="AG48" s="993"/>
      <c r="AH48" s="989"/>
      <c r="AI48" s="989"/>
      <c r="AJ48" s="812" t="s">
        <v>822</v>
      </c>
      <c r="AK48" s="999"/>
      <c r="AL48" s="999"/>
      <c r="AM48" s="812" t="s">
        <v>830</v>
      </c>
      <c r="AN48" s="999"/>
      <c r="AO48" s="999"/>
      <c r="AP48" s="811" t="s">
        <v>829</v>
      </c>
      <c r="AQ48" s="865"/>
      <c r="AR48" s="866"/>
      <c r="AS48" s="854">
        <f t="shared" si="3"/>
        <v>0</v>
      </c>
      <c r="AT48" s="855">
        <f t="shared" si="4"/>
        <v>0</v>
      </c>
      <c r="AU48" s="857">
        <f t="shared" si="5"/>
        <v>0</v>
      </c>
      <c r="AV48" s="858">
        <f t="shared" si="9"/>
        <v>0</v>
      </c>
      <c r="AW48" s="856" t="str">
        <f t="shared" si="6"/>
        <v/>
      </c>
      <c r="AX48" s="806"/>
      <c r="AY48" s="800"/>
    </row>
    <row r="49" spans="1:51" ht="13.15" customHeight="1">
      <c r="A49" s="791">
        <v>42</v>
      </c>
      <c r="B49" s="1116"/>
      <c r="C49" s="994"/>
      <c r="D49" s="995"/>
      <c r="E49" s="995"/>
      <c r="F49" s="995"/>
      <c r="G49" s="995"/>
      <c r="H49" s="996"/>
      <c r="I49" s="997"/>
      <c r="J49" s="995"/>
      <c r="K49" s="995"/>
      <c r="L49" s="995"/>
      <c r="M49" s="996"/>
      <c r="N49" s="998"/>
      <c r="O49" s="989"/>
      <c r="P49" s="815" t="s">
        <v>822</v>
      </c>
      <c r="Q49" s="989"/>
      <c r="R49" s="989"/>
      <c r="S49" s="814" t="s">
        <v>831</v>
      </c>
      <c r="T49" s="989"/>
      <c r="U49" s="989"/>
      <c r="V49" s="815" t="s">
        <v>822</v>
      </c>
      <c r="W49" s="989"/>
      <c r="X49" s="989"/>
      <c r="Y49" s="814" t="s">
        <v>831</v>
      </c>
      <c r="Z49" s="990">
        <f t="shared" si="7"/>
        <v>0</v>
      </c>
      <c r="AA49" s="991"/>
      <c r="AB49" s="813" t="s">
        <v>822</v>
      </c>
      <c r="AC49" s="991">
        <f t="shared" si="8"/>
        <v>0</v>
      </c>
      <c r="AD49" s="991"/>
      <c r="AE49" s="809" t="s">
        <v>821</v>
      </c>
      <c r="AF49" s="992"/>
      <c r="AG49" s="993"/>
      <c r="AH49" s="989"/>
      <c r="AI49" s="989"/>
      <c r="AJ49" s="812" t="s">
        <v>822</v>
      </c>
      <c r="AK49" s="999"/>
      <c r="AL49" s="999"/>
      <c r="AM49" s="812" t="s">
        <v>830</v>
      </c>
      <c r="AN49" s="999"/>
      <c r="AO49" s="999"/>
      <c r="AP49" s="811" t="s">
        <v>829</v>
      </c>
      <c r="AQ49" s="865"/>
      <c r="AR49" s="866"/>
      <c r="AS49" s="854">
        <f t="shared" si="3"/>
        <v>0</v>
      </c>
      <c r="AT49" s="855">
        <f t="shared" si="4"/>
        <v>0</v>
      </c>
      <c r="AU49" s="857">
        <f t="shared" si="5"/>
        <v>0</v>
      </c>
      <c r="AV49" s="858">
        <f t="shared" si="9"/>
        <v>0</v>
      </c>
      <c r="AW49" s="856" t="str">
        <f t="shared" si="6"/>
        <v/>
      </c>
      <c r="AX49" s="806"/>
      <c r="AY49" s="800"/>
    </row>
    <row r="50" spans="1:51" ht="13.15" customHeight="1">
      <c r="A50" s="791">
        <v>43</v>
      </c>
      <c r="B50" s="1116"/>
      <c r="C50" s="994"/>
      <c r="D50" s="995"/>
      <c r="E50" s="995"/>
      <c r="F50" s="995"/>
      <c r="G50" s="995"/>
      <c r="H50" s="996"/>
      <c r="I50" s="997"/>
      <c r="J50" s="995"/>
      <c r="K50" s="995"/>
      <c r="L50" s="995"/>
      <c r="M50" s="996"/>
      <c r="N50" s="998"/>
      <c r="O50" s="989"/>
      <c r="P50" s="815" t="s">
        <v>822</v>
      </c>
      <c r="Q50" s="989"/>
      <c r="R50" s="989"/>
      <c r="S50" s="822" t="s">
        <v>831</v>
      </c>
      <c r="T50" s="989"/>
      <c r="U50" s="989"/>
      <c r="V50" s="815" t="s">
        <v>822</v>
      </c>
      <c r="W50" s="989"/>
      <c r="X50" s="989"/>
      <c r="Y50" s="822" t="s">
        <v>831</v>
      </c>
      <c r="Z50" s="990">
        <f t="shared" si="7"/>
        <v>0</v>
      </c>
      <c r="AA50" s="991"/>
      <c r="AB50" s="813" t="s">
        <v>822</v>
      </c>
      <c r="AC50" s="991">
        <f t="shared" si="8"/>
        <v>0</v>
      </c>
      <c r="AD50" s="991"/>
      <c r="AE50" s="809" t="s">
        <v>821</v>
      </c>
      <c r="AF50" s="992"/>
      <c r="AG50" s="993"/>
      <c r="AH50" s="989"/>
      <c r="AI50" s="989"/>
      <c r="AJ50" s="812" t="s">
        <v>822</v>
      </c>
      <c r="AK50" s="999"/>
      <c r="AL50" s="999"/>
      <c r="AM50" s="812" t="s">
        <v>830</v>
      </c>
      <c r="AN50" s="999"/>
      <c r="AO50" s="999"/>
      <c r="AP50" s="811" t="s">
        <v>829</v>
      </c>
      <c r="AQ50" s="865"/>
      <c r="AR50" s="866"/>
      <c r="AS50" s="854">
        <f t="shared" si="3"/>
        <v>0</v>
      </c>
      <c r="AT50" s="855">
        <f t="shared" si="4"/>
        <v>0</v>
      </c>
      <c r="AU50" s="857">
        <f t="shared" si="5"/>
        <v>0</v>
      </c>
      <c r="AV50" s="858">
        <f t="shared" si="9"/>
        <v>0</v>
      </c>
      <c r="AW50" s="856" t="str">
        <f t="shared" si="6"/>
        <v/>
      </c>
      <c r="AX50" s="806"/>
      <c r="AY50" s="800"/>
    </row>
    <row r="51" spans="1:51" ht="13.15" customHeight="1">
      <c r="A51" s="791">
        <v>44</v>
      </c>
      <c r="B51" s="1116"/>
      <c r="C51" s="994"/>
      <c r="D51" s="995"/>
      <c r="E51" s="995"/>
      <c r="F51" s="995"/>
      <c r="G51" s="995"/>
      <c r="H51" s="996"/>
      <c r="I51" s="997"/>
      <c r="J51" s="995"/>
      <c r="K51" s="995"/>
      <c r="L51" s="995"/>
      <c r="M51" s="996"/>
      <c r="N51" s="998"/>
      <c r="O51" s="989"/>
      <c r="P51" s="815" t="s">
        <v>822</v>
      </c>
      <c r="Q51" s="989"/>
      <c r="R51" s="989"/>
      <c r="S51" s="814" t="s">
        <v>831</v>
      </c>
      <c r="T51" s="989"/>
      <c r="U51" s="989"/>
      <c r="V51" s="815" t="s">
        <v>822</v>
      </c>
      <c r="W51" s="989"/>
      <c r="X51" s="989"/>
      <c r="Y51" s="814" t="s">
        <v>831</v>
      </c>
      <c r="Z51" s="990">
        <f t="shared" si="7"/>
        <v>0</v>
      </c>
      <c r="AA51" s="991"/>
      <c r="AB51" s="813" t="s">
        <v>822</v>
      </c>
      <c r="AC51" s="991">
        <f t="shared" si="8"/>
        <v>0</v>
      </c>
      <c r="AD51" s="991"/>
      <c r="AE51" s="809" t="s">
        <v>821</v>
      </c>
      <c r="AF51" s="992"/>
      <c r="AG51" s="993"/>
      <c r="AH51" s="989"/>
      <c r="AI51" s="989"/>
      <c r="AJ51" s="812" t="s">
        <v>822</v>
      </c>
      <c r="AK51" s="999"/>
      <c r="AL51" s="999"/>
      <c r="AM51" s="812" t="s">
        <v>830</v>
      </c>
      <c r="AN51" s="999"/>
      <c r="AO51" s="999"/>
      <c r="AP51" s="811" t="s">
        <v>829</v>
      </c>
      <c r="AQ51" s="865"/>
      <c r="AR51" s="866"/>
      <c r="AS51" s="854">
        <f t="shared" si="3"/>
        <v>0</v>
      </c>
      <c r="AT51" s="855">
        <f t="shared" si="4"/>
        <v>0</v>
      </c>
      <c r="AU51" s="857">
        <f t="shared" si="5"/>
        <v>0</v>
      </c>
      <c r="AV51" s="858">
        <f t="shared" si="9"/>
        <v>0</v>
      </c>
      <c r="AW51" s="856" t="str">
        <f t="shared" si="6"/>
        <v/>
      </c>
      <c r="AX51" s="806"/>
      <c r="AY51" s="800"/>
    </row>
    <row r="52" spans="1:51" ht="13.15" customHeight="1">
      <c r="A52" s="791">
        <v>45</v>
      </c>
      <c r="B52" s="1116"/>
      <c r="C52" s="994"/>
      <c r="D52" s="995"/>
      <c r="E52" s="995"/>
      <c r="F52" s="995"/>
      <c r="G52" s="995"/>
      <c r="H52" s="996"/>
      <c r="I52" s="997"/>
      <c r="J52" s="995"/>
      <c r="K52" s="995"/>
      <c r="L52" s="995"/>
      <c r="M52" s="996"/>
      <c r="N52" s="998"/>
      <c r="O52" s="989"/>
      <c r="P52" s="815" t="s">
        <v>822</v>
      </c>
      <c r="Q52" s="989"/>
      <c r="R52" s="989"/>
      <c r="S52" s="822" t="s">
        <v>831</v>
      </c>
      <c r="T52" s="989"/>
      <c r="U52" s="989"/>
      <c r="V52" s="815" t="s">
        <v>822</v>
      </c>
      <c r="W52" s="989"/>
      <c r="X52" s="989"/>
      <c r="Y52" s="822" t="s">
        <v>831</v>
      </c>
      <c r="Z52" s="990">
        <f t="shared" si="7"/>
        <v>0</v>
      </c>
      <c r="AA52" s="991"/>
      <c r="AB52" s="813" t="s">
        <v>822</v>
      </c>
      <c r="AC52" s="991">
        <f t="shared" si="8"/>
        <v>0</v>
      </c>
      <c r="AD52" s="991"/>
      <c r="AE52" s="809" t="s">
        <v>821</v>
      </c>
      <c r="AF52" s="992"/>
      <c r="AG52" s="993"/>
      <c r="AH52" s="989"/>
      <c r="AI52" s="989"/>
      <c r="AJ52" s="812" t="s">
        <v>822</v>
      </c>
      <c r="AK52" s="999"/>
      <c r="AL52" s="999"/>
      <c r="AM52" s="812" t="s">
        <v>830</v>
      </c>
      <c r="AN52" s="999"/>
      <c r="AO52" s="999"/>
      <c r="AP52" s="811" t="s">
        <v>829</v>
      </c>
      <c r="AQ52" s="865"/>
      <c r="AR52" s="866"/>
      <c r="AS52" s="854">
        <f t="shared" si="3"/>
        <v>0</v>
      </c>
      <c r="AT52" s="855">
        <f t="shared" si="4"/>
        <v>0</v>
      </c>
      <c r="AU52" s="857">
        <f t="shared" si="5"/>
        <v>0</v>
      </c>
      <c r="AV52" s="858">
        <f t="shared" si="9"/>
        <v>0</v>
      </c>
      <c r="AW52" s="856" t="str">
        <f t="shared" si="6"/>
        <v/>
      </c>
      <c r="AX52" s="806"/>
      <c r="AY52" s="800"/>
    </row>
    <row r="53" spans="1:51" ht="13.15" customHeight="1">
      <c r="A53" s="791">
        <v>46</v>
      </c>
      <c r="B53" s="1116"/>
      <c r="C53" s="994"/>
      <c r="D53" s="995"/>
      <c r="E53" s="995"/>
      <c r="F53" s="995"/>
      <c r="G53" s="995"/>
      <c r="H53" s="996"/>
      <c r="I53" s="997"/>
      <c r="J53" s="995"/>
      <c r="K53" s="995"/>
      <c r="L53" s="995"/>
      <c r="M53" s="996"/>
      <c r="N53" s="998"/>
      <c r="O53" s="989"/>
      <c r="P53" s="815" t="s">
        <v>822</v>
      </c>
      <c r="Q53" s="989"/>
      <c r="R53" s="989"/>
      <c r="S53" s="814" t="s">
        <v>831</v>
      </c>
      <c r="T53" s="989"/>
      <c r="U53" s="989"/>
      <c r="V53" s="815" t="s">
        <v>822</v>
      </c>
      <c r="W53" s="989"/>
      <c r="X53" s="989"/>
      <c r="Y53" s="814" t="s">
        <v>831</v>
      </c>
      <c r="Z53" s="990">
        <f t="shared" si="7"/>
        <v>0</v>
      </c>
      <c r="AA53" s="991"/>
      <c r="AB53" s="813" t="s">
        <v>822</v>
      </c>
      <c r="AC53" s="991">
        <f t="shared" si="8"/>
        <v>0</v>
      </c>
      <c r="AD53" s="991"/>
      <c r="AE53" s="809" t="s">
        <v>821</v>
      </c>
      <c r="AF53" s="992"/>
      <c r="AG53" s="993"/>
      <c r="AH53" s="989"/>
      <c r="AI53" s="989"/>
      <c r="AJ53" s="812" t="s">
        <v>822</v>
      </c>
      <c r="AK53" s="999"/>
      <c r="AL53" s="999"/>
      <c r="AM53" s="812" t="s">
        <v>830</v>
      </c>
      <c r="AN53" s="999"/>
      <c r="AO53" s="999"/>
      <c r="AP53" s="811" t="s">
        <v>829</v>
      </c>
      <c r="AQ53" s="865"/>
      <c r="AR53" s="866"/>
      <c r="AS53" s="854">
        <f t="shared" si="3"/>
        <v>0</v>
      </c>
      <c r="AT53" s="855">
        <f t="shared" si="4"/>
        <v>0</v>
      </c>
      <c r="AU53" s="857">
        <f t="shared" si="5"/>
        <v>0</v>
      </c>
      <c r="AV53" s="858">
        <f t="shared" si="9"/>
        <v>0</v>
      </c>
      <c r="AW53" s="856" t="str">
        <f t="shared" si="6"/>
        <v/>
      </c>
      <c r="AX53" s="806"/>
      <c r="AY53" s="800"/>
    </row>
    <row r="54" spans="1:51" ht="13.15" customHeight="1">
      <c r="A54" s="791">
        <v>47</v>
      </c>
      <c r="B54" s="1116"/>
      <c r="C54" s="994"/>
      <c r="D54" s="995"/>
      <c r="E54" s="995"/>
      <c r="F54" s="995"/>
      <c r="G54" s="995"/>
      <c r="H54" s="996"/>
      <c r="I54" s="997"/>
      <c r="J54" s="995"/>
      <c r="K54" s="995"/>
      <c r="L54" s="995"/>
      <c r="M54" s="996"/>
      <c r="N54" s="998"/>
      <c r="O54" s="989"/>
      <c r="P54" s="815" t="s">
        <v>822</v>
      </c>
      <c r="Q54" s="989"/>
      <c r="R54" s="989"/>
      <c r="S54" s="822" t="s">
        <v>831</v>
      </c>
      <c r="T54" s="989"/>
      <c r="U54" s="989"/>
      <c r="V54" s="815" t="s">
        <v>822</v>
      </c>
      <c r="W54" s="989"/>
      <c r="X54" s="989"/>
      <c r="Y54" s="822" t="s">
        <v>831</v>
      </c>
      <c r="Z54" s="990">
        <f t="shared" si="7"/>
        <v>0</v>
      </c>
      <c r="AA54" s="991"/>
      <c r="AB54" s="813" t="s">
        <v>822</v>
      </c>
      <c r="AC54" s="991">
        <f t="shared" si="8"/>
        <v>0</v>
      </c>
      <c r="AD54" s="991"/>
      <c r="AE54" s="809" t="s">
        <v>821</v>
      </c>
      <c r="AF54" s="992"/>
      <c r="AG54" s="993"/>
      <c r="AH54" s="989"/>
      <c r="AI54" s="989"/>
      <c r="AJ54" s="812" t="s">
        <v>822</v>
      </c>
      <c r="AK54" s="999"/>
      <c r="AL54" s="999"/>
      <c r="AM54" s="812" t="s">
        <v>830</v>
      </c>
      <c r="AN54" s="999"/>
      <c r="AO54" s="999"/>
      <c r="AP54" s="811" t="s">
        <v>829</v>
      </c>
      <c r="AQ54" s="865"/>
      <c r="AR54" s="866"/>
      <c r="AS54" s="854">
        <f t="shared" si="3"/>
        <v>0</v>
      </c>
      <c r="AT54" s="855">
        <f t="shared" si="4"/>
        <v>0</v>
      </c>
      <c r="AU54" s="857">
        <f t="shared" si="5"/>
        <v>0</v>
      </c>
      <c r="AV54" s="858">
        <f t="shared" si="9"/>
        <v>0</v>
      </c>
      <c r="AW54" s="856" t="str">
        <f t="shared" si="6"/>
        <v/>
      </c>
      <c r="AX54" s="806"/>
      <c r="AY54" s="800"/>
    </row>
    <row r="55" spans="1:51" ht="13.15" customHeight="1">
      <c r="A55" s="791">
        <v>48</v>
      </c>
      <c r="B55" s="1116"/>
      <c r="C55" s="994"/>
      <c r="D55" s="995"/>
      <c r="E55" s="995"/>
      <c r="F55" s="995"/>
      <c r="G55" s="995"/>
      <c r="H55" s="996"/>
      <c r="I55" s="997"/>
      <c r="J55" s="995"/>
      <c r="K55" s="995"/>
      <c r="L55" s="995"/>
      <c r="M55" s="996"/>
      <c r="N55" s="998"/>
      <c r="O55" s="989"/>
      <c r="P55" s="815" t="s">
        <v>822</v>
      </c>
      <c r="Q55" s="989"/>
      <c r="R55" s="989"/>
      <c r="S55" s="814" t="s">
        <v>831</v>
      </c>
      <c r="T55" s="989"/>
      <c r="U55" s="989"/>
      <c r="V55" s="815" t="s">
        <v>822</v>
      </c>
      <c r="W55" s="989"/>
      <c r="X55" s="989"/>
      <c r="Y55" s="814" t="s">
        <v>831</v>
      </c>
      <c r="Z55" s="990">
        <f t="shared" si="7"/>
        <v>0</v>
      </c>
      <c r="AA55" s="991"/>
      <c r="AB55" s="813" t="s">
        <v>822</v>
      </c>
      <c r="AC55" s="991">
        <f t="shared" si="8"/>
        <v>0</v>
      </c>
      <c r="AD55" s="991"/>
      <c r="AE55" s="809" t="s">
        <v>821</v>
      </c>
      <c r="AF55" s="992"/>
      <c r="AG55" s="993"/>
      <c r="AH55" s="989"/>
      <c r="AI55" s="989"/>
      <c r="AJ55" s="812" t="s">
        <v>822</v>
      </c>
      <c r="AK55" s="999"/>
      <c r="AL55" s="999"/>
      <c r="AM55" s="812" t="s">
        <v>830</v>
      </c>
      <c r="AN55" s="999"/>
      <c r="AO55" s="999"/>
      <c r="AP55" s="811" t="s">
        <v>829</v>
      </c>
      <c r="AQ55" s="865"/>
      <c r="AR55" s="866"/>
      <c r="AS55" s="854">
        <f t="shared" si="3"/>
        <v>0</v>
      </c>
      <c r="AT55" s="855">
        <f t="shared" si="4"/>
        <v>0</v>
      </c>
      <c r="AU55" s="857">
        <f t="shared" si="5"/>
        <v>0</v>
      </c>
      <c r="AV55" s="858">
        <f t="shared" si="9"/>
        <v>0</v>
      </c>
      <c r="AW55" s="856" t="str">
        <f t="shared" si="6"/>
        <v/>
      </c>
      <c r="AX55" s="806"/>
      <c r="AY55" s="800"/>
    </row>
    <row r="56" spans="1:51" ht="13.15" customHeight="1">
      <c r="A56" s="791">
        <v>49</v>
      </c>
      <c r="B56" s="1116"/>
      <c r="C56" s="994"/>
      <c r="D56" s="995"/>
      <c r="E56" s="995"/>
      <c r="F56" s="995"/>
      <c r="G56" s="995"/>
      <c r="H56" s="996"/>
      <c r="I56" s="997"/>
      <c r="J56" s="995"/>
      <c r="K56" s="995"/>
      <c r="L56" s="995"/>
      <c r="M56" s="996"/>
      <c r="N56" s="998"/>
      <c r="O56" s="989"/>
      <c r="P56" s="815" t="s">
        <v>822</v>
      </c>
      <c r="Q56" s="989"/>
      <c r="R56" s="989"/>
      <c r="S56" s="822" t="s">
        <v>831</v>
      </c>
      <c r="T56" s="989"/>
      <c r="U56" s="989"/>
      <c r="V56" s="815" t="s">
        <v>822</v>
      </c>
      <c r="W56" s="989"/>
      <c r="X56" s="989"/>
      <c r="Y56" s="822" t="s">
        <v>831</v>
      </c>
      <c r="Z56" s="990">
        <f t="shared" si="7"/>
        <v>0</v>
      </c>
      <c r="AA56" s="991"/>
      <c r="AB56" s="813" t="s">
        <v>822</v>
      </c>
      <c r="AC56" s="991">
        <f t="shared" si="8"/>
        <v>0</v>
      </c>
      <c r="AD56" s="991"/>
      <c r="AE56" s="809" t="s">
        <v>821</v>
      </c>
      <c r="AF56" s="992"/>
      <c r="AG56" s="993"/>
      <c r="AH56" s="989"/>
      <c r="AI56" s="989"/>
      <c r="AJ56" s="812" t="s">
        <v>822</v>
      </c>
      <c r="AK56" s="999"/>
      <c r="AL56" s="999"/>
      <c r="AM56" s="812" t="s">
        <v>830</v>
      </c>
      <c r="AN56" s="999"/>
      <c r="AO56" s="999"/>
      <c r="AP56" s="811" t="s">
        <v>829</v>
      </c>
      <c r="AQ56" s="865"/>
      <c r="AR56" s="866"/>
      <c r="AS56" s="854">
        <f t="shared" si="3"/>
        <v>0</v>
      </c>
      <c r="AT56" s="855">
        <f t="shared" si="4"/>
        <v>0</v>
      </c>
      <c r="AU56" s="857">
        <f t="shared" si="5"/>
        <v>0</v>
      </c>
      <c r="AV56" s="858">
        <f t="shared" si="9"/>
        <v>0</v>
      </c>
      <c r="AW56" s="856" t="str">
        <f t="shared" si="6"/>
        <v/>
      </c>
      <c r="AX56" s="806"/>
      <c r="AY56" s="800"/>
    </row>
    <row r="57" spans="1:51" ht="13.15" customHeight="1">
      <c r="A57" s="791">
        <v>50</v>
      </c>
      <c r="B57" s="1116"/>
      <c r="C57" s="994"/>
      <c r="D57" s="995"/>
      <c r="E57" s="995"/>
      <c r="F57" s="995"/>
      <c r="G57" s="995"/>
      <c r="H57" s="996"/>
      <c r="I57" s="997"/>
      <c r="J57" s="995"/>
      <c r="K57" s="995"/>
      <c r="L57" s="995"/>
      <c r="M57" s="996"/>
      <c r="N57" s="998"/>
      <c r="O57" s="989"/>
      <c r="P57" s="815" t="s">
        <v>822</v>
      </c>
      <c r="Q57" s="989"/>
      <c r="R57" s="989"/>
      <c r="S57" s="814" t="s">
        <v>831</v>
      </c>
      <c r="T57" s="989"/>
      <c r="U57" s="989"/>
      <c r="V57" s="815" t="s">
        <v>822</v>
      </c>
      <c r="W57" s="989"/>
      <c r="X57" s="989"/>
      <c r="Y57" s="814" t="s">
        <v>831</v>
      </c>
      <c r="Z57" s="990">
        <f t="shared" si="7"/>
        <v>0</v>
      </c>
      <c r="AA57" s="991"/>
      <c r="AB57" s="813" t="s">
        <v>822</v>
      </c>
      <c r="AC57" s="991">
        <f t="shared" si="8"/>
        <v>0</v>
      </c>
      <c r="AD57" s="991"/>
      <c r="AE57" s="809" t="s">
        <v>821</v>
      </c>
      <c r="AF57" s="992"/>
      <c r="AG57" s="993"/>
      <c r="AH57" s="989"/>
      <c r="AI57" s="989"/>
      <c r="AJ57" s="812" t="s">
        <v>822</v>
      </c>
      <c r="AK57" s="999"/>
      <c r="AL57" s="999"/>
      <c r="AM57" s="812" t="s">
        <v>830</v>
      </c>
      <c r="AN57" s="999"/>
      <c r="AO57" s="999"/>
      <c r="AP57" s="811" t="s">
        <v>829</v>
      </c>
      <c r="AQ57" s="865"/>
      <c r="AR57" s="866"/>
      <c r="AS57" s="854">
        <f t="shared" si="3"/>
        <v>0</v>
      </c>
      <c r="AT57" s="855">
        <f t="shared" si="4"/>
        <v>0</v>
      </c>
      <c r="AU57" s="857">
        <f t="shared" si="5"/>
        <v>0</v>
      </c>
      <c r="AV57" s="858">
        <f t="shared" si="9"/>
        <v>0</v>
      </c>
      <c r="AW57" s="856" t="str">
        <f t="shared" si="6"/>
        <v/>
      </c>
      <c r="AX57" s="806"/>
      <c r="AY57" s="800"/>
    </row>
    <row r="58" spans="1:51" ht="13.15" customHeight="1">
      <c r="A58" s="791">
        <v>51</v>
      </c>
      <c r="B58" s="1116"/>
      <c r="C58" s="994"/>
      <c r="D58" s="995"/>
      <c r="E58" s="995"/>
      <c r="F58" s="995"/>
      <c r="G58" s="995"/>
      <c r="H58" s="996"/>
      <c r="I58" s="997"/>
      <c r="J58" s="995"/>
      <c r="K58" s="995"/>
      <c r="L58" s="995"/>
      <c r="M58" s="996"/>
      <c r="N58" s="998"/>
      <c r="O58" s="989"/>
      <c r="P58" s="815" t="s">
        <v>822</v>
      </c>
      <c r="Q58" s="989"/>
      <c r="R58" s="989"/>
      <c r="S58" s="822" t="s">
        <v>831</v>
      </c>
      <c r="T58" s="989"/>
      <c r="U58" s="989"/>
      <c r="V58" s="815" t="s">
        <v>822</v>
      </c>
      <c r="W58" s="989"/>
      <c r="X58" s="989"/>
      <c r="Y58" s="822" t="s">
        <v>831</v>
      </c>
      <c r="Z58" s="990">
        <f t="shared" si="7"/>
        <v>0</v>
      </c>
      <c r="AA58" s="991"/>
      <c r="AB58" s="813" t="s">
        <v>822</v>
      </c>
      <c r="AC58" s="991">
        <f t="shared" si="8"/>
        <v>0</v>
      </c>
      <c r="AD58" s="991"/>
      <c r="AE58" s="809" t="s">
        <v>821</v>
      </c>
      <c r="AF58" s="992"/>
      <c r="AG58" s="993"/>
      <c r="AH58" s="989"/>
      <c r="AI58" s="989"/>
      <c r="AJ58" s="812" t="s">
        <v>822</v>
      </c>
      <c r="AK58" s="999"/>
      <c r="AL58" s="999"/>
      <c r="AM58" s="812" t="s">
        <v>830</v>
      </c>
      <c r="AN58" s="999"/>
      <c r="AO58" s="999"/>
      <c r="AP58" s="811" t="s">
        <v>829</v>
      </c>
      <c r="AQ58" s="865"/>
      <c r="AR58" s="866"/>
      <c r="AS58" s="854">
        <f t="shared" si="3"/>
        <v>0</v>
      </c>
      <c r="AT58" s="855">
        <f t="shared" si="4"/>
        <v>0</v>
      </c>
      <c r="AU58" s="857">
        <f t="shared" si="5"/>
        <v>0</v>
      </c>
      <c r="AV58" s="858">
        <f t="shared" si="9"/>
        <v>0</v>
      </c>
      <c r="AW58" s="856" t="str">
        <f t="shared" si="6"/>
        <v/>
      </c>
      <c r="AX58" s="806"/>
      <c r="AY58" s="800"/>
    </row>
    <row r="59" spans="1:51" ht="13.15" customHeight="1">
      <c r="A59" s="791">
        <v>52</v>
      </c>
      <c r="B59" s="1116"/>
      <c r="C59" s="994"/>
      <c r="D59" s="995"/>
      <c r="E59" s="995"/>
      <c r="F59" s="995"/>
      <c r="G59" s="995"/>
      <c r="H59" s="996"/>
      <c r="I59" s="997"/>
      <c r="J59" s="995"/>
      <c r="K59" s="995"/>
      <c r="L59" s="995"/>
      <c r="M59" s="996"/>
      <c r="N59" s="998"/>
      <c r="O59" s="989"/>
      <c r="P59" s="815" t="s">
        <v>822</v>
      </c>
      <c r="Q59" s="989"/>
      <c r="R59" s="989"/>
      <c r="S59" s="814" t="s">
        <v>831</v>
      </c>
      <c r="T59" s="989"/>
      <c r="U59" s="989"/>
      <c r="V59" s="815" t="s">
        <v>822</v>
      </c>
      <c r="W59" s="989"/>
      <c r="X59" s="989"/>
      <c r="Y59" s="814" t="s">
        <v>831</v>
      </c>
      <c r="Z59" s="990">
        <f t="shared" si="7"/>
        <v>0</v>
      </c>
      <c r="AA59" s="991"/>
      <c r="AB59" s="813" t="s">
        <v>822</v>
      </c>
      <c r="AC59" s="991">
        <f t="shared" si="8"/>
        <v>0</v>
      </c>
      <c r="AD59" s="991"/>
      <c r="AE59" s="809" t="s">
        <v>821</v>
      </c>
      <c r="AF59" s="992"/>
      <c r="AG59" s="993"/>
      <c r="AH59" s="989"/>
      <c r="AI59" s="989"/>
      <c r="AJ59" s="812" t="s">
        <v>822</v>
      </c>
      <c r="AK59" s="999"/>
      <c r="AL59" s="999"/>
      <c r="AM59" s="812" t="s">
        <v>830</v>
      </c>
      <c r="AN59" s="999"/>
      <c r="AO59" s="999"/>
      <c r="AP59" s="811" t="s">
        <v>829</v>
      </c>
      <c r="AQ59" s="865"/>
      <c r="AR59" s="866"/>
      <c r="AS59" s="854">
        <f t="shared" si="3"/>
        <v>0</v>
      </c>
      <c r="AT59" s="855">
        <f t="shared" si="4"/>
        <v>0</v>
      </c>
      <c r="AU59" s="857">
        <f t="shared" si="5"/>
        <v>0</v>
      </c>
      <c r="AV59" s="858">
        <f t="shared" si="9"/>
        <v>0</v>
      </c>
      <c r="AW59" s="856" t="str">
        <f t="shared" si="6"/>
        <v/>
      </c>
      <c r="AX59" s="806"/>
      <c r="AY59" s="800"/>
    </row>
    <row r="60" spans="1:51" ht="13.15" customHeight="1">
      <c r="A60" s="791">
        <v>53</v>
      </c>
      <c r="B60" s="1116"/>
      <c r="C60" s="994"/>
      <c r="D60" s="995"/>
      <c r="E60" s="995"/>
      <c r="F60" s="995"/>
      <c r="G60" s="995"/>
      <c r="H60" s="996"/>
      <c r="I60" s="997"/>
      <c r="J60" s="995"/>
      <c r="K60" s="995"/>
      <c r="L60" s="995"/>
      <c r="M60" s="996"/>
      <c r="N60" s="998"/>
      <c r="O60" s="989"/>
      <c r="P60" s="815" t="s">
        <v>822</v>
      </c>
      <c r="Q60" s="989"/>
      <c r="R60" s="989"/>
      <c r="S60" s="822" t="s">
        <v>831</v>
      </c>
      <c r="T60" s="989"/>
      <c r="U60" s="989"/>
      <c r="V60" s="815" t="s">
        <v>822</v>
      </c>
      <c r="W60" s="989"/>
      <c r="X60" s="989"/>
      <c r="Y60" s="822" t="s">
        <v>831</v>
      </c>
      <c r="Z60" s="990">
        <f t="shared" si="7"/>
        <v>0</v>
      </c>
      <c r="AA60" s="991"/>
      <c r="AB60" s="813" t="s">
        <v>822</v>
      </c>
      <c r="AC60" s="991">
        <f t="shared" si="8"/>
        <v>0</v>
      </c>
      <c r="AD60" s="991"/>
      <c r="AE60" s="809" t="s">
        <v>821</v>
      </c>
      <c r="AF60" s="992"/>
      <c r="AG60" s="993"/>
      <c r="AH60" s="989"/>
      <c r="AI60" s="989"/>
      <c r="AJ60" s="812" t="s">
        <v>822</v>
      </c>
      <c r="AK60" s="999"/>
      <c r="AL60" s="999"/>
      <c r="AM60" s="812" t="s">
        <v>830</v>
      </c>
      <c r="AN60" s="999"/>
      <c r="AO60" s="999"/>
      <c r="AP60" s="811" t="s">
        <v>829</v>
      </c>
      <c r="AQ60" s="865"/>
      <c r="AR60" s="866"/>
      <c r="AS60" s="854">
        <f t="shared" si="3"/>
        <v>0</v>
      </c>
      <c r="AT60" s="855">
        <f t="shared" si="4"/>
        <v>0</v>
      </c>
      <c r="AU60" s="857">
        <f t="shared" si="5"/>
        <v>0</v>
      </c>
      <c r="AV60" s="858">
        <f t="shared" si="9"/>
        <v>0</v>
      </c>
      <c r="AW60" s="856" t="str">
        <f t="shared" si="6"/>
        <v/>
      </c>
      <c r="AX60" s="806"/>
      <c r="AY60" s="800"/>
    </row>
    <row r="61" spans="1:51" ht="13.15" customHeight="1">
      <c r="A61" s="791">
        <v>54</v>
      </c>
      <c r="B61" s="1116"/>
      <c r="C61" s="994"/>
      <c r="D61" s="995"/>
      <c r="E61" s="995"/>
      <c r="F61" s="995"/>
      <c r="G61" s="995"/>
      <c r="H61" s="996"/>
      <c r="I61" s="997"/>
      <c r="J61" s="995"/>
      <c r="K61" s="995"/>
      <c r="L61" s="995"/>
      <c r="M61" s="996"/>
      <c r="N61" s="998"/>
      <c r="O61" s="989"/>
      <c r="P61" s="815" t="s">
        <v>822</v>
      </c>
      <c r="Q61" s="989"/>
      <c r="R61" s="989"/>
      <c r="S61" s="814" t="s">
        <v>831</v>
      </c>
      <c r="T61" s="989"/>
      <c r="U61" s="989"/>
      <c r="V61" s="815" t="s">
        <v>822</v>
      </c>
      <c r="W61" s="989"/>
      <c r="X61" s="989"/>
      <c r="Y61" s="814" t="s">
        <v>831</v>
      </c>
      <c r="Z61" s="990">
        <f t="shared" si="7"/>
        <v>0</v>
      </c>
      <c r="AA61" s="991"/>
      <c r="AB61" s="813" t="s">
        <v>822</v>
      </c>
      <c r="AC61" s="991">
        <f t="shared" si="8"/>
        <v>0</v>
      </c>
      <c r="AD61" s="991"/>
      <c r="AE61" s="809" t="s">
        <v>821</v>
      </c>
      <c r="AF61" s="992"/>
      <c r="AG61" s="993"/>
      <c r="AH61" s="989"/>
      <c r="AI61" s="989"/>
      <c r="AJ61" s="812" t="s">
        <v>822</v>
      </c>
      <c r="AK61" s="999"/>
      <c r="AL61" s="999"/>
      <c r="AM61" s="812" t="s">
        <v>830</v>
      </c>
      <c r="AN61" s="999"/>
      <c r="AO61" s="999"/>
      <c r="AP61" s="811" t="s">
        <v>829</v>
      </c>
      <c r="AQ61" s="865"/>
      <c r="AR61" s="866"/>
      <c r="AS61" s="854">
        <f t="shared" si="3"/>
        <v>0</v>
      </c>
      <c r="AT61" s="855">
        <f t="shared" si="4"/>
        <v>0</v>
      </c>
      <c r="AU61" s="857">
        <f t="shared" si="5"/>
        <v>0</v>
      </c>
      <c r="AV61" s="858">
        <f t="shared" si="9"/>
        <v>0</v>
      </c>
      <c r="AW61" s="856" t="str">
        <f t="shared" si="6"/>
        <v/>
      </c>
      <c r="AX61" s="806"/>
      <c r="AY61" s="800"/>
    </row>
    <row r="62" spans="1:51" ht="13.15" customHeight="1">
      <c r="A62" s="791">
        <v>55</v>
      </c>
      <c r="B62" s="1116"/>
      <c r="C62" s="994"/>
      <c r="D62" s="995"/>
      <c r="E62" s="995"/>
      <c r="F62" s="995"/>
      <c r="G62" s="995"/>
      <c r="H62" s="996"/>
      <c r="I62" s="997"/>
      <c r="J62" s="995"/>
      <c r="K62" s="995"/>
      <c r="L62" s="995"/>
      <c r="M62" s="996"/>
      <c r="N62" s="998"/>
      <c r="O62" s="989"/>
      <c r="P62" s="815" t="s">
        <v>822</v>
      </c>
      <c r="Q62" s="989"/>
      <c r="R62" s="989"/>
      <c r="S62" s="822" t="s">
        <v>831</v>
      </c>
      <c r="T62" s="989"/>
      <c r="U62" s="989"/>
      <c r="V62" s="815" t="s">
        <v>822</v>
      </c>
      <c r="W62" s="989"/>
      <c r="X62" s="989"/>
      <c r="Y62" s="822" t="s">
        <v>831</v>
      </c>
      <c r="Z62" s="990">
        <f t="shared" si="7"/>
        <v>0</v>
      </c>
      <c r="AA62" s="991"/>
      <c r="AB62" s="813" t="s">
        <v>822</v>
      </c>
      <c r="AC62" s="991">
        <f t="shared" si="8"/>
        <v>0</v>
      </c>
      <c r="AD62" s="991"/>
      <c r="AE62" s="809" t="s">
        <v>821</v>
      </c>
      <c r="AF62" s="992"/>
      <c r="AG62" s="993"/>
      <c r="AH62" s="989"/>
      <c r="AI62" s="989"/>
      <c r="AJ62" s="812" t="s">
        <v>822</v>
      </c>
      <c r="AK62" s="999"/>
      <c r="AL62" s="999"/>
      <c r="AM62" s="812" t="s">
        <v>830</v>
      </c>
      <c r="AN62" s="999"/>
      <c r="AO62" s="999"/>
      <c r="AP62" s="811" t="s">
        <v>829</v>
      </c>
      <c r="AQ62" s="865"/>
      <c r="AR62" s="866"/>
      <c r="AS62" s="854">
        <f t="shared" si="3"/>
        <v>0</v>
      </c>
      <c r="AT62" s="855">
        <f t="shared" si="4"/>
        <v>0</v>
      </c>
      <c r="AU62" s="857">
        <f t="shared" si="5"/>
        <v>0</v>
      </c>
      <c r="AV62" s="858">
        <f t="shared" si="9"/>
        <v>0</v>
      </c>
      <c r="AW62" s="856" t="str">
        <f t="shared" si="6"/>
        <v/>
      </c>
      <c r="AX62" s="806"/>
      <c r="AY62" s="800"/>
    </row>
    <row r="63" spans="1:51" ht="13.15" customHeight="1">
      <c r="A63" s="791">
        <v>56</v>
      </c>
      <c r="B63" s="1116"/>
      <c r="C63" s="994"/>
      <c r="D63" s="995"/>
      <c r="E63" s="995"/>
      <c r="F63" s="995"/>
      <c r="G63" s="995"/>
      <c r="H63" s="996"/>
      <c r="I63" s="997"/>
      <c r="J63" s="995"/>
      <c r="K63" s="995"/>
      <c r="L63" s="995"/>
      <c r="M63" s="996"/>
      <c r="N63" s="998"/>
      <c r="O63" s="989"/>
      <c r="P63" s="815" t="s">
        <v>822</v>
      </c>
      <c r="Q63" s="989"/>
      <c r="R63" s="989"/>
      <c r="S63" s="814" t="s">
        <v>831</v>
      </c>
      <c r="T63" s="989"/>
      <c r="U63" s="989"/>
      <c r="V63" s="815" t="s">
        <v>822</v>
      </c>
      <c r="W63" s="989"/>
      <c r="X63" s="989"/>
      <c r="Y63" s="814" t="s">
        <v>831</v>
      </c>
      <c r="Z63" s="990">
        <f t="shared" si="7"/>
        <v>0</v>
      </c>
      <c r="AA63" s="991"/>
      <c r="AB63" s="813" t="s">
        <v>822</v>
      </c>
      <c r="AC63" s="991">
        <f t="shared" si="8"/>
        <v>0</v>
      </c>
      <c r="AD63" s="991"/>
      <c r="AE63" s="809" t="s">
        <v>821</v>
      </c>
      <c r="AF63" s="992"/>
      <c r="AG63" s="993"/>
      <c r="AH63" s="989"/>
      <c r="AI63" s="989"/>
      <c r="AJ63" s="812" t="s">
        <v>822</v>
      </c>
      <c r="AK63" s="999"/>
      <c r="AL63" s="999"/>
      <c r="AM63" s="812" t="s">
        <v>830</v>
      </c>
      <c r="AN63" s="999"/>
      <c r="AO63" s="999"/>
      <c r="AP63" s="811" t="s">
        <v>829</v>
      </c>
      <c r="AQ63" s="865"/>
      <c r="AR63" s="866"/>
      <c r="AS63" s="854">
        <f t="shared" si="3"/>
        <v>0</v>
      </c>
      <c r="AT63" s="855">
        <f t="shared" si="4"/>
        <v>0</v>
      </c>
      <c r="AU63" s="857">
        <f t="shared" si="5"/>
        <v>0</v>
      </c>
      <c r="AV63" s="858">
        <f t="shared" si="9"/>
        <v>0</v>
      </c>
      <c r="AW63" s="856" t="str">
        <f t="shared" si="6"/>
        <v/>
      </c>
      <c r="AX63" s="806"/>
      <c r="AY63" s="800"/>
    </row>
    <row r="64" spans="1:51" ht="13.15" customHeight="1">
      <c r="A64" s="791">
        <v>57</v>
      </c>
      <c r="B64" s="1116"/>
      <c r="C64" s="994"/>
      <c r="D64" s="995"/>
      <c r="E64" s="995"/>
      <c r="F64" s="995"/>
      <c r="G64" s="995"/>
      <c r="H64" s="996"/>
      <c r="I64" s="997"/>
      <c r="J64" s="995"/>
      <c r="K64" s="995"/>
      <c r="L64" s="995"/>
      <c r="M64" s="996"/>
      <c r="N64" s="998"/>
      <c r="O64" s="989"/>
      <c r="P64" s="815" t="s">
        <v>822</v>
      </c>
      <c r="Q64" s="989"/>
      <c r="R64" s="989"/>
      <c r="S64" s="822" t="s">
        <v>831</v>
      </c>
      <c r="T64" s="989"/>
      <c r="U64" s="989"/>
      <c r="V64" s="815" t="s">
        <v>822</v>
      </c>
      <c r="W64" s="989"/>
      <c r="X64" s="989"/>
      <c r="Y64" s="822" t="s">
        <v>831</v>
      </c>
      <c r="Z64" s="990">
        <f t="shared" si="7"/>
        <v>0</v>
      </c>
      <c r="AA64" s="991"/>
      <c r="AB64" s="813" t="s">
        <v>822</v>
      </c>
      <c r="AC64" s="991">
        <f t="shared" si="8"/>
        <v>0</v>
      </c>
      <c r="AD64" s="991"/>
      <c r="AE64" s="809" t="s">
        <v>821</v>
      </c>
      <c r="AF64" s="992"/>
      <c r="AG64" s="993"/>
      <c r="AH64" s="989"/>
      <c r="AI64" s="989"/>
      <c r="AJ64" s="812" t="s">
        <v>822</v>
      </c>
      <c r="AK64" s="999"/>
      <c r="AL64" s="999"/>
      <c r="AM64" s="812" t="s">
        <v>830</v>
      </c>
      <c r="AN64" s="999"/>
      <c r="AO64" s="999"/>
      <c r="AP64" s="811" t="s">
        <v>829</v>
      </c>
      <c r="AQ64" s="865"/>
      <c r="AR64" s="866"/>
      <c r="AS64" s="854">
        <f t="shared" si="3"/>
        <v>0</v>
      </c>
      <c r="AT64" s="855">
        <f t="shared" si="4"/>
        <v>0</v>
      </c>
      <c r="AU64" s="857">
        <f t="shared" si="5"/>
        <v>0</v>
      </c>
      <c r="AV64" s="858">
        <f t="shared" si="9"/>
        <v>0</v>
      </c>
      <c r="AW64" s="856" t="str">
        <f t="shared" si="6"/>
        <v/>
      </c>
      <c r="AX64" s="806"/>
      <c r="AY64" s="800"/>
    </row>
    <row r="65" spans="1:54" ht="13.15" customHeight="1">
      <c r="A65" s="791">
        <v>58</v>
      </c>
      <c r="B65" s="1116"/>
      <c r="C65" s="994"/>
      <c r="D65" s="995"/>
      <c r="E65" s="995"/>
      <c r="F65" s="995"/>
      <c r="G65" s="995"/>
      <c r="H65" s="996"/>
      <c r="I65" s="997"/>
      <c r="J65" s="995"/>
      <c r="K65" s="995"/>
      <c r="L65" s="995"/>
      <c r="M65" s="996"/>
      <c r="N65" s="998"/>
      <c r="O65" s="989"/>
      <c r="P65" s="815" t="s">
        <v>822</v>
      </c>
      <c r="Q65" s="989"/>
      <c r="R65" s="989"/>
      <c r="S65" s="814" t="s">
        <v>831</v>
      </c>
      <c r="T65" s="989"/>
      <c r="U65" s="989"/>
      <c r="V65" s="815" t="s">
        <v>822</v>
      </c>
      <c r="W65" s="989"/>
      <c r="X65" s="989"/>
      <c r="Y65" s="814" t="s">
        <v>831</v>
      </c>
      <c r="Z65" s="990">
        <f t="shared" si="7"/>
        <v>0</v>
      </c>
      <c r="AA65" s="991"/>
      <c r="AB65" s="813" t="s">
        <v>822</v>
      </c>
      <c r="AC65" s="991">
        <f t="shared" si="8"/>
        <v>0</v>
      </c>
      <c r="AD65" s="991"/>
      <c r="AE65" s="809" t="s">
        <v>821</v>
      </c>
      <c r="AF65" s="992"/>
      <c r="AG65" s="993"/>
      <c r="AH65" s="989"/>
      <c r="AI65" s="989"/>
      <c r="AJ65" s="812" t="s">
        <v>822</v>
      </c>
      <c r="AK65" s="999"/>
      <c r="AL65" s="999"/>
      <c r="AM65" s="812" t="s">
        <v>830</v>
      </c>
      <c r="AN65" s="999"/>
      <c r="AO65" s="999"/>
      <c r="AP65" s="811" t="s">
        <v>829</v>
      </c>
      <c r="AQ65" s="865"/>
      <c r="AR65" s="866"/>
      <c r="AS65" s="854">
        <f t="shared" si="3"/>
        <v>0</v>
      </c>
      <c r="AT65" s="855">
        <f t="shared" si="4"/>
        <v>0</v>
      </c>
      <c r="AU65" s="857">
        <f t="shared" si="5"/>
        <v>0</v>
      </c>
      <c r="AV65" s="858">
        <f t="shared" si="9"/>
        <v>0</v>
      </c>
      <c r="AW65" s="856" t="str">
        <f t="shared" si="6"/>
        <v/>
      </c>
      <c r="AX65" s="806"/>
      <c r="AY65" s="800"/>
    </row>
    <row r="66" spans="1:54" ht="13.15" customHeight="1">
      <c r="A66" s="791">
        <v>59</v>
      </c>
      <c r="B66" s="1116"/>
      <c r="C66" s="994"/>
      <c r="D66" s="995"/>
      <c r="E66" s="995"/>
      <c r="F66" s="995"/>
      <c r="G66" s="995"/>
      <c r="H66" s="996"/>
      <c r="I66" s="997"/>
      <c r="J66" s="995"/>
      <c r="K66" s="995"/>
      <c r="L66" s="995"/>
      <c r="M66" s="996"/>
      <c r="N66" s="998"/>
      <c r="O66" s="989"/>
      <c r="P66" s="815" t="s">
        <v>822</v>
      </c>
      <c r="Q66" s="989"/>
      <c r="R66" s="989"/>
      <c r="S66" s="822" t="s">
        <v>831</v>
      </c>
      <c r="T66" s="989"/>
      <c r="U66" s="989"/>
      <c r="V66" s="815" t="s">
        <v>822</v>
      </c>
      <c r="W66" s="989"/>
      <c r="X66" s="989"/>
      <c r="Y66" s="822" t="s">
        <v>831</v>
      </c>
      <c r="Z66" s="990">
        <f t="shared" si="7"/>
        <v>0</v>
      </c>
      <c r="AA66" s="991"/>
      <c r="AB66" s="813" t="s">
        <v>822</v>
      </c>
      <c r="AC66" s="991">
        <f t="shared" si="8"/>
        <v>0</v>
      </c>
      <c r="AD66" s="991"/>
      <c r="AE66" s="809" t="s">
        <v>821</v>
      </c>
      <c r="AF66" s="992"/>
      <c r="AG66" s="993"/>
      <c r="AH66" s="989"/>
      <c r="AI66" s="989"/>
      <c r="AJ66" s="812" t="s">
        <v>822</v>
      </c>
      <c r="AK66" s="999"/>
      <c r="AL66" s="999"/>
      <c r="AM66" s="812" t="s">
        <v>830</v>
      </c>
      <c r="AN66" s="999"/>
      <c r="AO66" s="999"/>
      <c r="AP66" s="811" t="s">
        <v>829</v>
      </c>
      <c r="AQ66" s="865"/>
      <c r="AR66" s="866"/>
      <c r="AS66" s="854">
        <f t="shared" si="3"/>
        <v>0</v>
      </c>
      <c r="AT66" s="855">
        <f t="shared" si="4"/>
        <v>0</v>
      </c>
      <c r="AU66" s="857">
        <f t="shared" si="5"/>
        <v>0</v>
      </c>
      <c r="AV66" s="858">
        <f t="shared" si="9"/>
        <v>0</v>
      </c>
      <c r="AW66" s="856" t="str">
        <f t="shared" si="6"/>
        <v/>
      </c>
      <c r="AX66" s="806"/>
      <c r="AY66" s="800"/>
    </row>
    <row r="67" spans="1:54" ht="13.15" customHeight="1">
      <c r="A67" s="791">
        <v>60</v>
      </c>
      <c r="B67" s="1116"/>
      <c r="C67" s="994"/>
      <c r="D67" s="995"/>
      <c r="E67" s="995"/>
      <c r="F67" s="995"/>
      <c r="G67" s="995"/>
      <c r="H67" s="996"/>
      <c r="I67" s="997"/>
      <c r="J67" s="995"/>
      <c r="K67" s="995"/>
      <c r="L67" s="995"/>
      <c r="M67" s="996"/>
      <c r="N67" s="998"/>
      <c r="O67" s="989"/>
      <c r="P67" s="815" t="s">
        <v>822</v>
      </c>
      <c r="Q67" s="989"/>
      <c r="R67" s="989"/>
      <c r="S67" s="814" t="s">
        <v>831</v>
      </c>
      <c r="T67" s="989"/>
      <c r="U67" s="989"/>
      <c r="V67" s="815" t="s">
        <v>822</v>
      </c>
      <c r="W67" s="989"/>
      <c r="X67" s="989"/>
      <c r="Y67" s="814" t="s">
        <v>831</v>
      </c>
      <c r="Z67" s="990">
        <f t="shared" si="7"/>
        <v>0</v>
      </c>
      <c r="AA67" s="991"/>
      <c r="AB67" s="813" t="s">
        <v>822</v>
      </c>
      <c r="AC67" s="991">
        <f t="shared" si="8"/>
        <v>0</v>
      </c>
      <c r="AD67" s="991"/>
      <c r="AE67" s="809" t="s">
        <v>821</v>
      </c>
      <c r="AF67" s="992"/>
      <c r="AG67" s="993"/>
      <c r="AH67" s="989"/>
      <c r="AI67" s="989"/>
      <c r="AJ67" s="812" t="s">
        <v>822</v>
      </c>
      <c r="AK67" s="999"/>
      <c r="AL67" s="999"/>
      <c r="AM67" s="812" t="s">
        <v>830</v>
      </c>
      <c r="AN67" s="999"/>
      <c r="AO67" s="999"/>
      <c r="AP67" s="811" t="s">
        <v>829</v>
      </c>
      <c r="AQ67" s="865"/>
      <c r="AR67" s="866"/>
      <c r="AS67" s="854">
        <f t="shared" si="3"/>
        <v>0</v>
      </c>
      <c r="AT67" s="855">
        <f t="shared" si="4"/>
        <v>0</v>
      </c>
      <c r="AU67" s="857">
        <f t="shared" si="5"/>
        <v>0</v>
      </c>
      <c r="AV67" s="858">
        <f t="shared" si="9"/>
        <v>0</v>
      </c>
      <c r="AW67" s="856" t="str">
        <f t="shared" si="6"/>
        <v/>
      </c>
      <c r="AX67" s="806"/>
      <c r="AY67" s="800"/>
    </row>
    <row r="68" spans="1:54" ht="13.15" customHeight="1">
      <c r="A68" s="791">
        <v>61</v>
      </c>
      <c r="B68" s="1116"/>
      <c r="C68" s="994"/>
      <c r="D68" s="995"/>
      <c r="E68" s="995"/>
      <c r="F68" s="995"/>
      <c r="G68" s="995"/>
      <c r="H68" s="996"/>
      <c r="I68" s="997"/>
      <c r="J68" s="995"/>
      <c r="K68" s="995"/>
      <c r="L68" s="995"/>
      <c r="M68" s="996"/>
      <c r="N68" s="998"/>
      <c r="O68" s="989"/>
      <c r="P68" s="815" t="s">
        <v>822</v>
      </c>
      <c r="Q68" s="989"/>
      <c r="R68" s="989"/>
      <c r="S68" s="822" t="s">
        <v>831</v>
      </c>
      <c r="T68" s="989"/>
      <c r="U68" s="989"/>
      <c r="V68" s="815" t="s">
        <v>822</v>
      </c>
      <c r="W68" s="989"/>
      <c r="X68" s="989"/>
      <c r="Y68" s="822" t="s">
        <v>831</v>
      </c>
      <c r="Z68" s="990">
        <f t="shared" si="7"/>
        <v>0</v>
      </c>
      <c r="AA68" s="991"/>
      <c r="AB68" s="813" t="s">
        <v>822</v>
      </c>
      <c r="AC68" s="991">
        <f t="shared" si="8"/>
        <v>0</v>
      </c>
      <c r="AD68" s="991"/>
      <c r="AE68" s="809" t="s">
        <v>821</v>
      </c>
      <c r="AF68" s="992"/>
      <c r="AG68" s="993"/>
      <c r="AH68" s="989"/>
      <c r="AI68" s="989"/>
      <c r="AJ68" s="812" t="s">
        <v>822</v>
      </c>
      <c r="AK68" s="999"/>
      <c r="AL68" s="999"/>
      <c r="AM68" s="812" t="s">
        <v>830</v>
      </c>
      <c r="AN68" s="999"/>
      <c r="AO68" s="999"/>
      <c r="AP68" s="811" t="s">
        <v>829</v>
      </c>
      <c r="AQ68" s="865"/>
      <c r="AR68" s="866"/>
      <c r="AS68" s="854">
        <f t="shared" si="3"/>
        <v>0</v>
      </c>
      <c r="AT68" s="855">
        <f t="shared" si="4"/>
        <v>0</v>
      </c>
      <c r="AU68" s="857">
        <f t="shared" si="5"/>
        <v>0</v>
      </c>
      <c r="AV68" s="858">
        <f t="shared" si="9"/>
        <v>0</v>
      </c>
      <c r="AW68" s="856" t="str">
        <f t="shared" si="6"/>
        <v/>
      </c>
      <c r="AX68" s="806"/>
      <c r="AY68" s="800"/>
    </row>
    <row r="69" spans="1:54" ht="13.15" customHeight="1">
      <c r="A69" s="791">
        <v>62</v>
      </c>
      <c r="B69" s="1116"/>
      <c r="C69" s="994"/>
      <c r="D69" s="995"/>
      <c r="E69" s="995"/>
      <c r="F69" s="995"/>
      <c r="G69" s="995"/>
      <c r="H69" s="996"/>
      <c r="I69" s="997"/>
      <c r="J69" s="995"/>
      <c r="K69" s="995"/>
      <c r="L69" s="995"/>
      <c r="M69" s="996"/>
      <c r="N69" s="998"/>
      <c r="O69" s="989"/>
      <c r="P69" s="815" t="s">
        <v>822</v>
      </c>
      <c r="Q69" s="989"/>
      <c r="R69" s="989"/>
      <c r="S69" s="814" t="s">
        <v>831</v>
      </c>
      <c r="T69" s="989"/>
      <c r="U69" s="989"/>
      <c r="V69" s="815" t="s">
        <v>822</v>
      </c>
      <c r="W69" s="989"/>
      <c r="X69" s="989"/>
      <c r="Y69" s="814" t="s">
        <v>831</v>
      </c>
      <c r="Z69" s="990">
        <f t="shared" si="7"/>
        <v>0</v>
      </c>
      <c r="AA69" s="991"/>
      <c r="AB69" s="813" t="s">
        <v>822</v>
      </c>
      <c r="AC69" s="991">
        <f t="shared" si="8"/>
        <v>0</v>
      </c>
      <c r="AD69" s="991"/>
      <c r="AE69" s="809" t="s">
        <v>821</v>
      </c>
      <c r="AF69" s="992"/>
      <c r="AG69" s="993"/>
      <c r="AH69" s="989"/>
      <c r="AI69" s="989"/>
      <c r="AJ69" s="812" t="s">
        <v>822</v>
      </c>
      <c r="AK69" s="999"/>
      <c r="AL69" s="999"/>
      <c r="AM69" s="812" t="s">
        <v>830</v>
      </c>
      <c r="AN69" s="999"/>
      <c r="AO69" s="999"/>
      <c r="AP69" s="811" t="s">
        <v>829</v>
      </c>
      <c r="AQ69" s="865"/>
      <c r="AR69" s="866"/>
      <c r="AS69" s="854">
        <f t="shared" si="3"/>
        <v>0</v>
      </c>
      <c r="AT69" s="855">
        <f t="shared" si="4"/>
        <v>0</v>
      </c>
      <c r="AU69" s="857">
        <f t="shared" si="5"/>
        <v>0</v>
      </c>
      <c r="AV69" s="858">
        <f t="shared" si="9"/>
        <v>0</v>
      </c>
      <c r="AW69" s="856" t="str">
        <f t="shared" si="6"/>
        <v/>
      </c>
      <c r="AX69" s="806"/>
      <c r="AY69" s="800"/>
    </row>
    <row r="70" spans="1:54" ht="13.15" customHeight="1">
      <c r="A70" s="791">
        <v>63</v>
      </c>
      <c r="B70" s="1116"/>
      <c r="C70" s="994"/>
      <c r="D70" s="995"/>
      <c r="E70" s="995"/>
      <c r="F70" s="995"/>
      <c r="G70" s="995"/>
      <c r="H70" s="996"/>
      <c r="I70" s="997"/>
      <c r="J70" s="995"/>
      <c r="K70" s="995"/>
      <c r="L70" s="995"/>
      <c r="M70" s="996"/>
      <c r="N70" s="998"/>
      <c r="O70" s="989"/>
      <c r="P70" s="815" t="s">
        <v>822</v>
      </c>
      <c r="Q70" s="989"/>
      <c r="R70" s="989"/>
      <c r="S70" s="822" t="s">
        <v>831</v>
      </c>
      <c r="T70" s="989"/>
      <c r="U70" s="989"/>
      <c r="V70" s="815" t="s">
        <v>822</v>
      </c>
      <c r="W70" s="989"/>
      <c r="X70" s="989"/>
      <c r="Y70" s="822" t="s">
        <v>831</v>
      </c>
      <c r="Z70" s="990">
        <f t="shared" si="7"/>
        <v>0</v>
      </c>
      <c r="AA70" s="991"/>
      <c r="AB70" s="813" t="s">
        <v>822</v>
      </c>
      <c r="AC70" s="991">
        <f t="shared" si="8"/>
        <v>0</v>
      </c>
      <c r="AD70" s="991"/>
      <c r="AE70" s="809" t="s">
        <v>821</v>
      </c>
      <c r="AF70" s="992"/>
      <c r="AG70" s="993"/>
      <c r="AH70" s="989"/>
      <c r="AI70" s="989"/>
      <c r="AJ70" s="812" t="s">
        <v>822</v>
      </c>
      <c r="AK70" s="999"/>
      <c r="AL70" s="999"/>
      <c r="AM70" s="812" t="s">
        <v>830</v>
      </c>
      <c r="AN70" s="999"/>
      <c r="AO70" s="999"/>
      <c r="AP70" s="811" t="s">
        <v>829</v>
      </c>
      <c r="AQ70" s="865"/>
      <c r="AR70" s="866"/>
      <c r="AS70" s="854">
        <f t="shared" si="3"/>
        <v>0</v>
      </c>
      <c r="AT70" s="855">
        <f t="shared" si="4"/>
        <v>0</v>
      </c>
      <c r="AU70" s="857">
        <f t="shared" si="5"/>
        <v>0</v>
      </c>
      <c r="AV70" s="858">
        <f t="shared" si="9"/>
        <v>0</v>
      </c>
      <c r="AW70" s="856" t="str">
        <f t="shared" si="6"/>
        <v/>
      </c>
      <c r="AX70" s="806"/>
      <c r="AY70" s="800"/>
    </row>
    <row r="71" spans="1:54" ht="13.15" customHeight="1">
      <c r="A71" s="791">
        <v>64</v>
      </c>
      <c r="B71" s="1116"/>
      <c r="C71" s="994"/>
      <c r="D71" s="995"/>
      <c r="E71" s="995"/>
      <c r="F71" s="995"/>
      <c r="G71" s="995"/>
      <c r="H71" s="996"/>
      <c r="I71" s="997"/>
      <c r="J71" s="995"/>
      <c r="K71" s="995"/>
      <c r="L71" s="995"/>
      <c r="M71" s="996"/>
      <c r="N71" s="998"/>
      <c r="O71" s="989"/>
      <c r="P71" s="815" t="s">
        <v>822</v>
      </c>
      <c r="Q71" s="989"/>
      <c r="R71" s="989"/>
      <c r="S71" s="814" t="s">
        <v>831</v>
      </c>
      <c r="T71" s="989"/>
      <c r="U71" s="989"/>
      <c r="V71" s="815" t="s">
        <v>822</v>
      </c>
      <c r="W71" s="989"/>
      <c r="X71" s="989"/>
      <c r="Y71" s="814" t="s">
        <v>831</v>
      </c>
      <c r="Z71" s="990">
        <f t="shared" si="7"/>
        <v>0</v>
      </c>
      <c r="AA71" s="991"/>
      <c r="AB71" s="813" t="s">
        <v>822</v>
      </c>
      <c r="AC71" s="991">
        <f t="shared" si="8"/>
        <v>0</v>
      </c>
      <c r="AD71" s="991"/>
      <c r="AE71" s="809" t="s">
        <v>821</v>
      </c>
      <c r="AF71" s="992"/>
      <c r="AG71" s="993"/>
      <c r="AH71" s="989"/>
      <c r="AI71" s="989"/>
      <c r="AJ71" s="812" t="s">
        <v>822</v>
      </c>
      <c r="AK71" s="999"/>
      <c r="AL71" s="999"/>
      <c r="AM71" s="812" t="s">
        <v>830</v>
      </c>
      <c r="AN71" s="999"/>
      <c r="AO71" s="999"/>
      <c r="AP71" s="811" t="s">
        <v>829</v>
      </c>
      <c r="AQ71" s="865"/>
      <c r="AR71" s="866"/>
      <c r="AS71" s="854">
        <f t="shared" si="3"/>
        <v>0</v>
      </c>
      <c r="AT71" s="855">
        <f t="shared" si="4"/>
        <v>0</v>
      </c>
      <c r="AU71" s="857">
        <f t="shared" si="5"/>
        <v>0</v>
      </c>
      <c r="AV71" s="858">
        <f t="shared" si="9"/>
        <v>0</v>
      </c>
      <c r="AW71" s="856" t="str">
        <f t="shared" si="6"/>
        <v/>
      </c>
      <c r="AX71" s="806"/>
      <c r="AY71" s="800"/>
      <c r="BB71" s="805"/>
    </row>
    <row r="72" spans="1:54" ht="13.15" customHeight="1">
      <c r="A72" s="791">
        <v>65</v>
      </c>
      <c r="B72" s="1116"/>
      <c r="C72" s="994"/>
      <c r="D72" s="995"/>
      <c r="E72" s="995"/>
      <c r="F72" s="995"/>
      <c r="G72" s="995"/>
      <c r="H72" s="996"/>
      <c r="I72" s="997"/>
      <c r="J72" s="995"/>
      <c r="K72" s="995"/>
      <c r="L72" s="995"/>
      <c r="M72" s="996"/>
      <c r="N72" s="998"/>
      <c r="O72" s="989"/>
      <c r="P72" s="815" t="s">
        <v>822</v>
      </c>
      <c r="Q72" s="989"/>
      <c r="R72" s="989"/>
      <c r="S72" s="822" t="s">
        <v>831</v>
      </c>
      <c r="T72" s="989"/>
      <c r="U72" s="989"/>
      <c r="V72" s="815" t="s">
        <v>822</v>
      </c>
      <c r="W72" s="989"/>
      <c r="X72" s="989"/>
      <c r="Y72" s="822" t="s">
        <v>831</v>
      </c>
      <c r="Z72" s="990">
        <f t="shared" ref="Z72:Z87" si="10">(N72+T72)+QUOTIENT((Q72+W72),12)</f>
        <v>0</v>
      </c>
      <c r="AA72" s="991"/>
      <c r="AB72" s="813" t="s">
        <v>822</v>
      </c>
      <c r="AC72" s="991">
        <f t="shared" ref="AC72:AC87" si="11">MOD(Q72+W72,12)</f>
        <v>0</v>
      </c>
      <c r="AD72" s="991"/>
      <c r="AE72" s="809" t="s">
        <v>821</v>
      </c>
      <c r="AF72" s="992"/>
      <c r="AG72" s="993"/>
      <c r="AH72" s="989"/>
      <c r="AI72" s="989"/>
      <c r="AJ72" s="812" t="s">
        <v>822</v>
      </c>
      <c r="AK72" s="999"/>
      <c r="AL72" s="999"/>
      <c r="AM72" s="812" t="s">
        <v>830</v>
      </c>
      <c r="AN72" s="999"/>
      <c r="AO72" s="999"/>
      <c r="AP72" s="811" t="s">
        <v>829</v>
      </c>
      <c r="AQ72" s="865"/>
      <c r="AR72" s="866"/>
      <c r="AS72" s="854">
        <f t="shared" si="3"/>
        <v>0</v>
      </c>
      <c r="AT72" s="855">
        <f t="shared" si="4"/>
        <v>0</v>
      </c>
      <c r="AU72" s="857">
        <f t="shared" si="5"/>
        <v>0</v>
      </c>
      <c r="AV72" s="858">
        <f t="shared" ref="AV72:AV77" si="12">+IF(AND(Z72&gt;=7,OR(I72="栄養士",I72="調理員")),1,0)</f>
        <v>0</v>
      </c>
      <c r="AW72" s="856" t="str">
        <f t="shared" si="6"/>
        <v/>
      </c>
      <c r="AX72" s="806"/>
      <c r="AY72" s="800"/>
      <c r="BB72" s="805"/>
    </row>
    <row r="73" spans="1:54" ht="13.15" customHeight="1">
      <c r="A73" s="791">
        <v>66</v>
      </c>
      <c r="B73" s="1116"/>
      <c r="C73" s="994"/>
      <c r="D73" s="995"/>
      <c r="E73" s="995"/>
      <c r="F73" s="995"/>
      <c r="G73" s="995"/>
      <c r="H73" s="996"/>
      <c r="I73" s="997"/>
      <c r="J73" s="995"/>
      <c r="K73" s="995"/>
      <c r="L73" s="995"/>
      <c r="M73" s="996"/>
      <c r="N73" s="998"/>
      <c r="O73" s="989"/>
      <c r="P73" s="815" t="s">
        <v>822</v>
      </c>
      <c r="Q73" s="989"/>
      <c r="R73" s="989"/>
      <c r="S73" s="814" t="s">
        <v>831</v>
      </c>
      <c r="T73" s="989"/>
      <c r="U73" s="989"/>
      <c r="V73" s="815" t="s">
        <v>822</v>
      </c>
      <c r="W73" s="989"/>
      <c r="X73" s="989"/>
      <c r="Y73" s="814" t="s">
        <v>831</v>
      </c>
      <c r="Z73" s="990">
        <f t="shared" si="10"/>
        <v>0</v>
      </c>
      <c r="AA73" s="991"/>
      <c r="AB73" s="813" t="s">
        <v>822</v>
      </c>
      <c r="AC73" s="991">
        <f t="shared" si="11"/>
        <v>0</v>
      </c>
      <c r="AD73" s="991"/>
      <c r="AE73" s="809" t="s">
        <v>821</v>
      </c>
      <c r="AF73" s="992"/>
      <c r="AG73" s="993"/>
      <c r="AH73" s="989"/>
      <c r="AI73" s="989"/>
      <c r="AJ73" s="812" t="s">
        <v>822</v>
      </c>
      <c r="AK73" s="999"/>
      <c r="AL73" s="999"/>
      <c r="AM73" s="812" t="s">
        <v>830</v>
      </c>
      <c r="AN73" s="999"/>
      <c r="AO73" s="999"/>
      <c r="AP73" s="811" t="s">
        <v>829</v>
      </c>
      <c r="AQ73" s="865"/>
      <c r="AR73" s="866"/>
      <c r="AS73" s="854">
        <f t="shared" ref="AS73:AS77" si="13">IF(AND(Z73&gt;=7,AQ73="〇"),1,0)</f>
        <v>0</v>
      </c>
      <c r="AT73" s="855">
        <f t="shared" ref="AT73:AT77" si="14">IF(AS73=1,0,IF(AND(Z73&gt;=3,OR(AQ73="〇",AR73="〇")),1,0))</f>
        <v>0</v>
      </c>
      <c r="AU73" s="857">
        <f t="shared" ref="AU73:AU87" si="15">+IF(AND(Z73&gt;=7,OR(I73="家庭的保育補助者",I73="家庭的保育者",I73="保育士",I73="保育教諭",I73="教諭",I73="副園長(有資格者)",I73="看護師等",I73="教頭(有資格者)")),1,0)</f>
        <v>0</v>
      </c>
      <c r="AV73" s="858">
        <f t="shared" si="12"/>
        <v>0</v>
      </c>
      <c r="AW73" s="856" t="str">
        <f t="shared" ref="AW73:AW87" si="16">IF(AND(AT73=1,OR(AU73=1,AV73=1)),35000,"")</f>
        <v/>
      </c>
      <c r="AX73" s="806"/>
      <c r="AY73" s="800"/>
      <c r="BB73" s="805"/>
    </row>
    <row r="74" spans="1:54" ht="13.15" customHeight="1">
      <c r="A74" s="791">
        <v>67</v>
      </c>
      <c r="B74" s="1116"/>
      <c r="C74" s="994"/>
      <c r="D74" s="995"/>
      <c r="E74" s="995"/>
      <c r="F74" s="995"/>
      <c r="G74" s="995"/>
      <c r="H74" s="996"/>
      <c r="I74" s="997"/>
      <c r="J74" s="995"/>
      <c r="K74" s="995"/>
      <c r="L74" s="995"/>
      <c r="M74" s="996"/>
      <c r="N74" s="998"/>
      <c r="O74" s="989"/>
      <c r="P74" s="815" t="s">
        <v>822</v>
      </c>
      <c r="Q74" s="989"/>
      <c r="R74" s="989"/>
      <c r="S74" s="822" t="s">
        <v>831</v>
      </c>
      <c r="T74" s="989"/>
      <c r="U74" s="989"/>
      <c r="V74" s="815" t="s">
        <v>822</v>
      </c>
      <c r="W74" s="989"/>
      <c r="X74" s="989"/>
      <c r="Y74" s="822" t="s">
        <v>831</v>
      </c>
      <c r="Z74" s="990">
        <f t="shared" si="10"/>
        <v>0</v>
      </c>
      <c r="AA74" s="991"/>
      <c r="AB74" s="813" t="s">
        <v>822</v>
      </c>
      <c r="AC74" s="991">
        <f t="shared" si="11"/>
        <v>0</v>
      </c>
      <c r="AD74" s="991"/>
      <c r="AE74" s="809" t="s">
        <v>821</v>
      </c>
      <c r="AF74" s="992"/>
      <c r="AG74" s="993"/>
      <c r="AH74" s="989"/>
      <c r="AI74" s="989"/>
      <c r="AJ74" s="812" t="s">
        <v>822</v>
      </c>
      <c r="AK74" s="999"/>
      <c r="AL74" s="999"/>
      <c r="AM74" s="812" t="s">
        <v>830</v>
      </c>
      <c r="AN74" s="999"/>
      <c r="AO74" s="999"/>
      <c r="AP74" s="811" t="s">
        <v>829</v>
      </c>
      <c r="AQ74" s="865"/>
      <c r="AR74" s="866"/>
      <c r="AS74" s="854">
        <f t="shared" si="13"/>
        <v>0</v>
      </c>
      <c r="AT74" s="855">
        <f t="shared" si="14"/>
        <v>0</v>
      </c>
      <c r="AU74" s="857">
        <f t="shared" si="15"/>
        <v>0</v>
      </c>
      <c r="AV74" s="858">
        <f t="shared" si="12"/>
        <v>0</v>
      </c>
      <c r="AW74" s="856" t="str">
        <f t="shared" si="16"/>
        <v/>
      </c>
      <c r="AX74" s="806"/>
      <c r="AY74" s="800"/>
      <c r="BB74" s="805"/>
    </row>
    <row r="75" spans="1:54" ht="13.15" customHeight="1">
      <c r="A75" s="791">
        <v>68</v>
      </c>
      <c r="B75" s="1116"/>
      <c r="C75" s="994"/>
      <c r="D75" s="995"/>
      <c r="E75" s="995"/>
      <c r="F75" s="995"/>
      <c r="G75" s="995"/>
      <c r="H75" s="996"/>
      <c r="I75" s="997"/>
      <c r="J75" s="995"/>
      <c r="K75" s="995"/>
      <c r="L75" s="995"/>
      <c r="M75" s="996"/>
      <c r="N75" s="998"/>
      <c r="O75" s="989"/>
      <c r="P75" s="815" t="s">
        <v>822</v>
      </c>
      <c r="Q75" s="989"/>
      <c r="R75" s="989"/>
      <c r="S75" s="814" t="s">
        <v>831</v>
      </c>
      <c r="T75" s="989"/>
      <c r="U75" s="989"/>
      <c r="V75" s="815" t="s">
        <v>822</v>
      </c>
      <c r="W75" s="989"/>
      <c r="X75" s="989"/>
      <c r="Y75" s="814" t="s">
        <v>831</v>
      </c>
      <c r="Z75" s="990">
        <f t="shared" si="10"/>
        <v>0</v>
      </c>
      <c r="AA75" s="991"/>
      <c r="AB75" s="813" t="s">
        <v>822</v>
      </c>
      <c r="AC75" s="991">
        <f t="shared" si="11"/>
        <v>0</v>
      </c>
      <c r="AD75" s="991"/>
      <c r="AE75" s="809" t="s">
        <v>821</v>
      </c>
      <c r="AF75" s="992"/>
      <c r="AG75" s="993"/>
      <c r="AH75" s="989"/>
      <c r="AI75" s="989"/>
      <c r="AJ75" s="812" t="s">
        <v>822</v>
      </c>
      <c r="AK75" s="999"/>
      <c r="AL75" s="999"/>
      <c r="AM75" s="812" t="s">
        <v>830</v>
      </c>
      <c r="AN75" s="999"/>
      <c r="AO75" s="999"/>
      <c r="AP75" s="811" t="s">
        <v>829</v>
      </c>
      <c r="AQ75" s="865"/>
      <c r="AR75" s="866"/>
      <c r="AS75" s="854">
        <f t="shared" si="13"/>
        <v>0</v>
      </c>
      <c r="AT75" s="855">
        <f t="shared" si="14"/>
        <v>0</v>
      </c>
      <c r="AU75" s="857">
        <f t="shared" si="15"/>
        <v>0</v>
      </c>
      <c r="AV75" s="858">
        <f t="shared" si="12"/>
        <v>0</v>
      </c>
      <c r="AW75" s="856" t="str">
        <f t="shared" si="16"/>
        <v/>
      </c>
      <c r="AX75" s="806"/>
      <c r="AY75" s="800"/>
      <c r="BB75" s="805"/>
    </row>
    <row r="76" spans="1:54" ht="13.15" customHeight="1">
      <c r="A76" s="791">
        <v>69</v>
      </c>
      <c r="B76" s="1116"/>
      <c r="C76" s="994"/>
      <c r="D76" s="995"/>
      <c r="E76" s="995"/>
      <c r="F76" s="995"/>
      <c r="G76" s="995"/>
      <c r="H76" s="996"/>
      <c r="I76" s="997"/>
      <c r="J76" s="995"/>
      <c r="K76" s="995"/>
      <c r="L76" s="995"/>
      <c r="M76" s="996"/>
      <c r="N76" s="998"/>
      <c r="O76" s="989"/>
      <c r="P76" s="815" t="s">
        <v>822</v>
      </c>
      <c r="Q76" s="989"/>
      <c r="R76" s="989"/>
      <c r="S76" s="822" t="s">
        <v>831</v>
      </c>
      <c r="T76" s="989"/>
      <c r="U76" s="989"/>
      <c r="V76" s="815" t="s">
        <v>822</v>
      </c>
      <c r="W76" s="989"/>
      <c r="X76" s="989"/>
      <c r="Y76" s="822" t="s">
        <v>831</v>
      </c>
      <c r="Z76" s="990">
        <f t="shared" si="10"/>
        <v>0</v>
      </c>
      <c r="AA76" s="991"/>
      <c r="AB76" s="813" t="s">
        <v>822</v>
      </c>
      <c r="AC76" s="991">
        <f t="shared" si="11"/>
        <v>0</v>
      </c>
      <c r="AD76" s="991"/>
      <c r="AE76" s="809" t="s">
        <v>821</v>
      </c>
      <c r="AF76" s="992"/>
      <c r="AG76" s="993"/>
      <c r="AH76" s="989"/>
      <c r="AI76" s="989"/>
      <c r="AJ76" s="812" t="s">
        <v>822</v>
      </c>
      <c r="AK76" s="999"/>
      <c r="AL76" s="999"/>
      <c r="AM76" s="812" t="s">
        <v>830</v>
      </c>
      <c r="AN76" s="999"/>
      <c r="AO76" s="999"/>
      <c r="AP76" s="811" t="s">
        <v>829</v>
      </c>
      <c r="AQ76" s="865"/>
      <c r="AR76" s="866"/>
      <c r="AS76" s="854">
        <f t="shared" si="13"/>
        <v>0</v>
      </c>
      <c r="AT76" s="855">
        <f t="shared" si="14"/>
        <v>0</v>
      </c>
      <c r="AU76" s="857">
        <f t="shared" si="15"/>
        <v>0</v>
      </c>
      <c r="AV76" s="858">
        <f t="shared" si="12"/>
        <v>0</v>
      </c>
      <c r="AW76" s="856" t="str">
        <f t="shared" si="16"/>
        <v/>
      </c>
      <c r="AX76" s="806"/>
      <c r="AY76" s="800"/>
      <c r="BB76" s="805"/>
    </row>
    <row r="77" spans="1:54" ht="13.15" customHeight="1" thickBot="1">
      <c r="A77" s="791">
        <v>70</v>
      </c>
      <c r="B77" s="1116"/>
      <c r="C77" s="1078"/>
      <c r="D77" s="1078"/>
      <c r="E77" s="1078"/>
      <c r="F77" s="1078"/>
      <c r="G77" s="1078"/>
      <c r="H77" s="1079"/>
      <c r="I77" s="1090"/>
      <c r="J77" s="1078"/>
      <c r="K77" s="1078"/>
      <c r="L77" s="1078"/>
      <c r="M77" s="1079"/>
      <c r="N77" s="1091"/>
      <c r="O77" s="1086"/>
      <c r="P77" s="791" t="s">
        <v>822</v>
      </c>
      <c r="Q77" s="1086"/>
      <c r="R77" s="1086"/>
      <c r="S77" s="814" t="s">
        <v>831</v>
      </c>
      <c r="T77" s="1087"/>
      <c r="U77" s="1087"/>
      <c r="V77" s="791" t="s">
        <v>822</v>
      </c>
      <c r="W77" s="1086"/>
      <c r="X77" s="1086"/>
      <c r="Y77" s="814" t="s">
        <v>831</v>
      </c>
      <c r="Z77" s="1119">
        <f t="shared" si="10"/>
        <v>0</v>
      </c>
      <c r="AA77" s="1120"/>
      <c r="AB77" s="810" t="s">
        <v>822</v>
      </c>
      <c r="AC77" s="1120">
        <f t="shared" si="11"/>
        <v>0</v>
      </c>
      <c r="AD77" s="1120"/>
      <c r="AE77" s="809" t="s">
        <v>821</v>
      </c>
      <c r="AF77" s="1121"/>
      <c r="AG77" s="1122"/>
      <c r="AH77" s="1087"/>
      <c r="AI77" s="1087"/>
      <c r="AJ77" s="808" t="s">
        <v>822</v>
      </c>
      <c r="AK77" s="1118"/>
      <c r="AL77" s="1118"/>
      <c r="AM77" s="808" t="s">
        <v>830</v>
      </c>
      <c r="AN77" s="1118"/>
      <c r="AO77" s="1118"/>
      <c r="AP77" s="807" t="s">
        <v>829</v>
      </c>
      <c r="AQ77" s="867"/>
      <c r="AR77" s="868"/>
      <c r="AS77" s="854">
        <f t="shared" si="13"/>
        <v>0</v>
      </c>
      <c r="AT77" s="855">
        <f t="shared" si="14"/>
        <v>0</v>
      </c>
      <c r="AU77" s="857">
        <f t="shared" si="15"/>
        <v>0</v>
      </c>
      <c r="AV77" s="858">
        <f t="shared" si="12"/>
        <v>0</v>
      </c>
      <c r="AW77" s="856" t="str">
        <f t="shared" si="16"/>
        <v/>
      </c>
      <c r="AX77" s="806"/>
      <c r="AY77" s="800"/>
      <c r="BB77" s="805"/>
    </row>
    <row r="78" spans="1:54" ht="13.15" hidden="1" customHeight="1" thickBot="1">
      <c r="A78" s="791">
        <v>51</v>
      </c>
      <c r="B78" s="1116"/>
      <c r="C78" s="1081"/>
      <c r="D78" s="1081"/>
      <c r="E78" s="1081"/>
      <c r="F78" s="1081"/>
      <c r="G78" s="1081"/>
      <c r="H78" s="1082"/>
      <c r="I78" s="1080"/>
      <c r="J78" s="1081"/>
      <c r="K78" s="1081"/>
      <c r="L78" s="1081"/>
      <c r="M78" s="1082"/>
      <c r="N78" s="1024"/>
      <c r="O78" s="1025"/>
      <c r="P78" s="804" t="s">
        <v>822</v>
      </c>
      <c r="Q78" s="1025"/>
      <c r="R78" s="1025"/>
      <c r="S78" s="822" t="s">
        <v>831</v>
      </c>
      <c r="T78" s="1025"/>
      <c r="U78" s="1025"/>
      <c r="V78" s="804" t="s">
        <v>822</v>
      </c>
      <c r="W78" s="1025"/>
      <c r="X78" s="1025"/>
      <c r="Y78" s="822" t="s">
        <v>831</v>
      </c>
      <c r="Z78" s="1088">
        <f t="shared" si="10"/>
        <v>0</v>
      </c>
      <c r="AA78" s="1089"/>
      <c r="AB78" s="804" t="s">
        <v>822</v>
      </c>
      <c r="AC78" s="1089">
        <f t="shared" si="11"/>
        <v>0</v>
      </c>
      <c r="AD78" s="1089"/>
      <c r="AE78" s="803" t="s">
        <v>821</v>
      </c>
      <c r="AF78" s="1092"/>
      <c r="AG78" s="1093"/>
      <c r="AH78" s="802"/>
      <c r="AI78" s="801"/>
      <c r="AJ78" s="800" t="s">
        <v>822</v>
      </c>
      <c r="AK78" s="801"/>
      <c r="AL78" s="800" t="s">
        <v>830</v>
      </c>
      <c r="AM78" s="801"/>
      <c r="AN78" s="800" t="s">
        <v>829</v>
      </c>
      <c r="AO78" s="800"/>
      <c r="AP78" s="799"/>
      <c r="AQ78" s="836"/>
      <c r="AR78" s="836"/>
      <c r="AS78" s="859"/>
      <c r="AT78" s="860"/>
      <c r="AU78" s="857">
        <f t="shared" si="15"/>
        <v>0</v>
      </c>
      <c r="AV78" s="858"/>
      <c r="AW78" s="856" t="str">
        <f t="shared" si="16"/>
        <v/>
      </c>
    </row>
    <row r="79" spans="1:54" ht="13.15" hidden="1" customHeight="1">
      <c r="A79" s="791">
        <v>52</v>
      </c>
      <c r="B79" s="1116"/>
      <c r="C79" s="1081"/>
      <c r="D79" s="1081"/>
      <c r="E79" s="1081"/>
      <c r="F79" s="1081"/>
      <c r="G79" s="1081"/>
      <c r="H79" s="1082"/>
      <c r="I79" s="1080"/>
      <c r="J79" s="1081"/>
      <c r="K79" s="1081"/>
      <c r="L79" s="1081"/>
      <c r="M79" s="1082"/>
      <c r="N79" s="1024"/>
      <c r="O79" s="1025"/>
      <c r="P79" s="804" t="s">
        <v>822</v>
      </c>
      <c r="Q79" s="1025"/>
      <c r="R79" s="1025"/>
      <c r="S79" s="814" t="s">
        <v>831</v>
      </c>
      <c r="T79" s="1025"/>
      <c r="U79" s="1025"/>
      <c r="V79" s="804" t="s">
        <v>822</v>
      </c>
      <c r="W79" s="1025"/>
      <c r="X79" s="1025"/>
      <c r="Y79" s="814" t="s">
        <v>831</v>
      </c>
      <c r="Z79" s="1088">
        <f t="shared" si="10"/>
        <v>0</v>
      </c>
      <c r="AA79" s="1089"/>
      <c r="AB79" s="804" t="s">
        <v>822</v>
      </c>
      <c r="AC79" s="1089">
        <f t="shared" si="11"/>
        <v>0</v>
      </c>
      <c r="AD79" s="1089"/>
      <c r="AE79" s="803" t="s">
        <v>821</v>
      </c>
      <c r="AF79" s="1092"/>
      <c r="AG79" s="1093"/>
      <c r="AH79" s="802"/>
      <c r="AI79" s="801"/>
      <c r="AJ79" s="800" t="s">
        <v>822</v>
      </c>
      <c r="AK79" s="801"/>
      <c r="AL79" s="800" t="s">
        <v>830</v>
      </c>
      <c r="AM79" s="801"/>
      <c r="AN79" s="800" t="s">
        <v>829</v>
      </c>
      <c r="AO79" s="800"/>
      <c r="AP79" s="799"/>
      <c r="AQ79" s="836"/>
      <c r="AR79" s="836"/>
      <c r="AS79" s="859"/>
      <c r="AT79" s="860"/>
      <c r="AU79" s="857">
        <f t="shared" si="15"/>
        <v>0</v>
      </c>
      <c r="AV79" s="858"/>
      <c r="AW79" s="856" t="str">
        <f t="shared" si="16"/>
        <v/>
      </c>
    </row>
    <row r="80" spans="1:54" ht="13.15" hidden="1" customHeight="1">
      <c r="A80" s="791">
        <v>53</v>
      </c>
      <c r="B80" s="1116"/>
      <c r="C80" s="1081"/>
      <c r="D80" s="1081"/>
      <c r="E80" s="1081"/>
      <c r="F80" s="1081"/>
      <c r="G80" s="1081"/>
      <c r="H80" s="1082"/>
      <c r="I80" s="1080"/>
      <c r="J80" s="1081"/>
      <c r="K80" s="1081"/>
      <c r="L80" s="1081"/>
      <c r="M80" s="1082"/>
      <c r="N80" s="1024"/>
      <c r="O80" s="1025"/>
      <c r="P80" s="804" t="s">
        <v>822</v>
      </c>
      <c r="Q80" s="1025"/>
      <c r="R80" s="1025"/>
      <c r="S80" s="822" t="s">
        <v>831</v>
      </c>
      <c r="T80" s="1025"/>
      <c r="U80" s="1025"/>
      <c r="V80" s="804" t="s">
        <v>822</v>
      </c>
      <c r="W80" s="1025"/>
      <c r="X80" s="1025"/>
      <c r="Y80" s="822" t="s">
        <v>831</v>
      </c>
      <c r="Z80" s="1088">
        <f t="shared" si="10"/>
        <v>0</v>
      </c>
      <c r="AA80" s="1089"/>
      <c r="AB80" s="804" t="s">
        <v>822</v>
      </c>
      <c r="AC80" s="1089">
        <f t="shared" si="11"/>
        <v>0</v>
      </c>
      <c r="AD80" s="1089"/>
      <c r="AE80" s="803" t="s">
        <v>821</v>
      </c>
      <c r="AF80" s="1092"/>
      <c r="AG80" s="1093"/>
      <c r="AH80" s="802"/>
      <c r="AI80" s="801"/>
      <c r="AJ80" s="800" t="s">
        <v>822</v>
      </c>
      <c r="AK80" s="801"/>
      <c r="AL80" s="800" t="s">
        <v>830</v>
      </c>
      <c r="AM80" s="801"/>
      <c r="AN80" s="800" t="s">
        <v>829</v>
      </c>
      <c r="AO80" s="800"/>
      <c r="AP80" s="799"/>
      <c r="AQ80" s="836"/>
      <c r="AR80" s="836"/>
      <c r="AS80" s="859"/>
      <c r="AT80" s="860"/>
      <c r="AU80" s="857">
        <f t="shared" si="15"/>
        <v>0</v>
      </c>
      <c r="AV80" s="858"/>
      <c r="AW80" s="856" t="str">
        <f t="shared" si="16"/>
        <v/>
      </c>
    </row>
    <row r="81" spans="1:49" ht="13.15" hidden="1" customHeight="1">
      <c r="A81" s="791">
        <v>54</v>
      </c>
      <c r="B81" s="1116"/>
      <c r="C81" s="1081"/>
      <c r="D81" s="1081"/>
      <c r="E81" s="1081"/>
      <c r="F81" s="1081"/>
      <c r="G81" s="1081"/>
      <c r="H81" s="1082"/>
      <c r="I81" s="1080"/>
      <c r="J81" s="1081"/>
      <c r="K81" s="1081"/>
      <c r="L81" s="1081"/>
      <c r="M81" s="1082"/>
      <c r="N81" s="1024"/>
      <c r="O81" s="1025"/>
      <c r="P81" s="804" t="s">
        <v>822</v>
      </c>
      <c r="Q81" s="1025"/>
      <c r="R81" s="1025"/>
      <c r="S81" s="814" t="s">
        <v>831</v>
      </c>
      <c r="T81" s="1025"/>
      <c r="U81" s="1025"/>
      <c r="V81" s="804" t="s">
        <v>822</v>
      </c>
      <c r="W81" s="1025"/>
      <c r="X81" s="1025"/>
      <c r="Y81" s="814" t="s">
        <v>831</v>
      </c>
      <c r="Z81" s="1088">
        <f t="shared" si="10"/>
        <v>0</v>
      </c>
      <c r="AA81" s="1089"/>
      <c r="AB81" s="804" t="s">
        <v>822</v>
      </c>
      <c r="AC81" s="1089">
        <f t="shared" si="11"/>
        <v>0</v>
      </c>
      <c r="AD81" s="1089"/>
      <c r="AE81" s="803" t="s">
        <v>821</v>
      </c>
      <c r="AF81" s="1092"/>
      <c r="AG81" s="1093"/>
      <c r="AH81" s="802"/>
      <c r="AI81" s="801"/>
      <c r="AJ81" s="800" t="s">
        <v>822</v>
      </c>
      <c r="AK81" s="801"/>
      <c r="AL81" s="800" t="s">
        <v>830</v>
      </c>
      <c r="AM81" s="801"/>
      <c r="AN81" s="800" t="s">
        <v>829</v>
      </c>
      <c r="AO81" s="800"/>
      <c r="AP81" s="799"/>
      <c r="AQ81" s="836"/>
      <c r="AR81" s="836"/>
      <c r="AS81" s="859"/>
      <c r="AT81" s="860"/>
      <c r="AU81" s="857">
        <f t="shared" si="15"/>
        <v>0</v>
      </c>
      <c r="AV81" s="858"/>
      <c r="AW81" s="856" t="str">
        <f t="shared" si="16"/>
        <v/>
      </c>
    </row>
    <row r="82" spans="1:49" ht="13.15" hidden="1" customHeight="1">
      <c r="A82" s="791">
        <v>55</v>
      </c>
      <c r="B82" s="1116"/>
      <c r="C82" s="1081"/>
      <c r="D82" s="1081"/>
      <c r="E82" s="1081"/>
      <c r="F82" s="1081"/>
      <c r="G82" s="1081"/>
      <c r="H82" s="1082"/>
      <c r="I82" s="1080"/>
      <c r="J82" s="1081"/>
      <c r="K82" s="1081"/>
      <c r="L82" s="1081"/>
      <c r="M82" s="1082"/>
      <c r="N82" s="1024"/>
      <c r="O82" s="1025"/>
      <c r="P82" s="804" t="s">
        <v>822</v>
      </c>
      <c r="Q82" s="1025"/>
      <c r="R82" s="1025"/>
      <c r="S82" s="822" t="s">
        <v>831</v>
      </c>
      <c r="T82" s="1025"/>
      <c r="U82" s="1025"/>
      <c r="V82" s="804" t="s">
        <v>822</v>
      </c>
      <c r="W82" s="1025"/>
      <c r="X82" s="1025"/>
      <c r="Y82" s="822" t="s">
        <v>831</v>
      </c>
      <c r="Z82" s="1088">
        <f t="shared" si="10"/>
        <v>0</v>
      </c>
      <c r="AA82" s="1089"/>
      <c r="AB82" s="804" t="s">
        <v>822</v>
      </c>
      <c r="AC82" s="1089">
        <f t="shared" si="11"/>
        <v>0</v>
      </c>
      <c r="AD82" s="1089"/>
      <c r="AE82" s="803" t="s">
        <v>821</v>
      </c>
      <c r="AF82" s="1092"/>
      <c r="AG82" s="1093"/>
      <c r="AH82" s="802"/>
      <c r="AI82" s="801"/>
      <c r="AJ82" s="800" t="s">
        <v>822</v>
      </c>
      <c r="AK82" s="801"/>
      <c r="AL82" s="800" t="s">
        <v>830</v>
      </c>
      <c r="AM82" s="801"/>
      <c r="AN82" s="800" t="s">
        <v>829</v>
      </c>
      <c r="AO82" s="800"/>
      <c r="AP82" s="799"/>
      <c r="AQ82" s="836"/>
      <c r="AR82" s="836"/>
      <c r="AS82" s="859"/>
      <c r="AT82" s="860"/>
      <c r="AU82" s="857">
        <f t="shared" si="15"/>
        <v>0</v>
      </c>
      <c r="AV82" s="858"/>
      <c r="AW82" s="856" t="str">
        <f t="shared" si="16"/>
        <v/>
      </c>
    </row>
    <row r="83" spans="1:49" ht="13.15" hidden="1" customHeight="1">
      <c r="A83" s="791">
        <v>56</v>
      </c>
      <c r="B83" s="1116"/>
      <c r="C83" s="1081"/>
      <c r="D83" s="1081"/>
      <c r="E83" s="1081"/>
      <c r="F83" s="1081"/>
      <c r="G83" s="1081"/>
      <c r="H83" s="1082"/>
      <c r="I83" s="1080"/>
      <c r="J83" s="1081"/>
      <c r="K83" s="1081"/>
      <c r="L83" s="1081"/>
      <c r="M83" s="1082"/>
      <c r="N83" s="1024"/>
      <c r="O83" s="1025"/>
      <c r="P83" s="804" t="s">
        <v>822</v>
      </c>
      <c r="Q83" s="1025"/>
      <c r="R83" s="1025"/>
      <c r="S83" s="814" t="s">
        <v>831</v>
      </c>
      <c r="T83" s="1025"/>
      <c r="U83" s="1025"/>
      <c r="V83" s="804" t="s">
        <v>822</v>
      </c>
      <c r="W83" s="1025"/>
      <c r="X83" s="1025"/>
      <c r="Y83" s="814" t="s">
        <v>831</v>
      </c>
      <c r="Z83" s="1088">
        <f t="shared" si="10"/>
        <v>0</v>
      </c>
      <c r="AA83" s="1089"/>
      <c r="AB83" s="804" t="s">
        <v>822</v>
      </c>
      <c r="AC83" s="1089">
        <f t="shared" si="11"/>
        <v>0</v>
      </c>
      <c r="AD83" s="1089"/>
      <c r="AE83" s="803" t="s">
        <v>821</v>
      </c>
      <c r="AF83" s="1092"/>
      <c r="AG83" s="1093"/>
      <c r="AH83" s="802"/>
      <c r="AI83" s="801"/>
      <c r="AJ83" s="800" t="s">
        <v>822</v>
      </c>
      <c r="AK83" s="801"/>
      <c r="AL83" s="800" t="s">
        <v>830</v>
      </c>
      <c r="AM83" s="801"/>
      <c r="AN83" s="800" t="s">
        <v>829</v>
      </c>
      <c r="AO83" s="800"/>
      <c r="AP83" s="799"/>
      <c r="AQ83" s="836"/>
      <c r="AR83" s="836"/>
      <c r="AS83" s="859"/>
      <c r="AT83" s="860"/>
      <c r="AU83" s="857">
        <f t="shared" si="15"/>
        <v>0</v>
      </c>
      <c r="AV83" s="858"/>
      <c r="AW83" s="856" t="str">
        <f t="shared" si="16"/>
        <v/>
      </c>
    </row>
    <row r="84" spans="1:49" ht="13.15" hidden="1" customHeight="1">
      <c r="A84" s="791">
        <v>57</v>
      </c>
      <c r="B84" s="1116"/>
      <c r="C84" s="1081"/>
      <c r="D84" s="1081"/>
      <c r="E84" s="1081"/>
      <c r="F84" s="1081"/>
      <c r="G84" s="1081"/>
      <c r="H84" s="1082"/>
      <c r="I84" s="1080"/>
      <c r="J84" s="1081"/>
      <c r="K84" s="1081"/>
      <c r="L84" s="1081"/>
      <c r="M84" s="1082"/>
      <c r="N84" s="1024"/>
      <c r="O84" s="1025"/>
      <c r="P84" s="804" t="s">
        <v>822</v>
      </c>
      <c r="Q84" s="1025"/>
      <c r="R84" s="1025"/>
      <c r="S84" s="822" t="s">
        <v>831</v>
      </c>
      <c r="T84" s="1025"/>
      <c r="U84" s="1025"/>
      <c r="V84" s="804" t="s">
        <v>822</v>
      </c>
      <c r="W84" s="1025"/>
      <c r="X84" s="1025"/>
      <c r="Y84" s="822" t="s">
        <v>831</v>
      </c>
      <c r="Z84" s="1088">
        <f t="shared" si="10"/>
        <v>0</v>
      </c>
      <c r="AA84" s="1089"/>
      <c r="AB84" s="804" t="s">
        <v>822</v>
      </c>
      <c r="AC84" s="1089">
        <f t="shared" si="11"/>
        <v>0</v>
      </c>
      <c r="AD84" s="1089"/>
      <c r="AE84" s="803" t="s">
        <v>821</v>
      </c>
      <c r="AF84" s="1092"/>
      <c r="AG84" s="1093"/>
      <c r="AH84" s="802"/>
      <c r="AI84" s="801"/>
      <c r="AJ84" s="800" t="s">
        <v>822</v>
      </c>
      <c r="AK84" s="801"/>
      <c r="AL84" s="800" t="s">
        <v>830</v>
      </c>
      <c r="AM84" s="801"/>
      <c r="AN84" s="800" t="s">
        <v>829</v>
      </c>
      <c r="AO84" s="800"/>
      <c r="AP84" s="799"/>
      <c r="AQ84" s="836"/>
      <c r="AR84" s="836"/>
      <c r="AS84" s="859"/>
      <c r="AT84" s="860"/>
      <c r="AU84" s="857">
        <f t="shared" si="15"/>
        <v>0</v>
      </c>
      <c r="AV84" s="858"/>
      <c r="AW84" s="856" t="str">
        <f t="shared" si="16"/>
        <v/>
      </c>
    </row>
    <row r="85" spans="1:49" ht="13.15" hidden="1" customHeight="1">
      <c r="A85" s="791">
        <v>58</v>
      </c>
      <c r="B85" s="1116"/>
      <c r="C85" s="1081"/>
      <c r="D85" s="1081"/>
      <c r="E85" s="1081"/>
      <c r="F85" s="1081"/>
      <c r="G85" s="1081"/>
      <c r="H85" s="1082"/>
      <c r="I85" s="1080"/>
      <c r="J85" s="1081"/>
      <c r="K85" s="1081"/>
      <c r="L85" s="1081"/>
      <c r="M85" s="1082"/>
      <c r="N85" s="1024"/>
      <c r="O85" s="1025"/>
      <c r="P85" s="804" t="s">
        <v>822</v>
      </c>
      <c r="Q85" s="1025"/>
      <c r="R85" s="1025"/>
      <c r="S85" s="814" t="s">
        <v>831</v>
      </c>
      <c r="T85" s="1025"/>
      <c r="U85" s="1025"/>
      <c r="V85" s="804" t="s">
        <v>822</v>
      </c>
      <c r="W85" s="1025"/>
      <c r="X85" s="1025"/>
      <c r="Y85" s="814" t="s">
        <v>831</v>
      </c>
      <c r="Z85" s="1088">
        <f t="shared" si="10"/>
        <v>0</v>
      </c>
      <c r="AA85" s="1089"/>
      <c r="AB85" s="804" t="s">
        <v>822</v>
      </c>
      <c r="AC85" s="1089">
        <f t="shared" si="11"/>
        <v>0</v>
      </c>
      <c r="AD85" s="1089"/>
      <c r="AE85" s="803" t="s">
        <v>821</v>
      </c>
      <c r="AF85" s="1092"/>
      <c r="AG85" s="1093"/>
      <c r="AH85" s="802"/>
      <c r="AI85" s="801"/>
      <c r="AJ85" s="800" t="s">
        <v>822</v>
      </c>
      <c r="AK85" s="801"/>
      <c r="AL85" s="800" t="s">
        <v>830</v>
      </c>
      <c r="AM85" s="801"/>
      <c r="AN85" s="800" t="s">
        <v>829</v>
      </c>
      <c r="AO85" s="800"/>
      <c r="AP85" s="799"/>
      <c r="AQ85" s="836"/>
      <c r="AR85" s="836"/>
      <c r="AS85" s="859"/>
      <c r="AT85" s="860"/>
      <c r="AU85" s="857">
        <f t="shared" si="15"/>
        <v>0</v>
      </c>
      <c r="AV85" s="858"/>
      <c r="AW85" s="856" t="str">
        <f t="shared" si="16"/>
        <v/>
      </c>
    </row>
    <row r="86" spans="1:49" ht="13.15" hidden="1" customHeight="1">
      <c r="A86" s="791">
        <v>59</v>
      </c>
      <c r="B86" s="1116"/>
      <c r="C86" s="1081"/>
      <c r="D86" s="1081"/>
      <c r="E86" s="1081"/>
      <c r="F86" s="1081"/>
      <c r="G86" s="1081"/>
      <c r="H86" s="1082"/>
      <c r="I86" s="1080"/>
      <c r="J86" s="1081"/>
      <c r="K86" s="1081"/>
      <c r="L86" s="1081"/>
      <c r="M86" s="1082"/>
      <c r="N86" s="1024"/>
      <c r="O86" s="1025"/>
      <c r="P86" s="804" t="s">
        <v>822</v>
      </c>
      <c r="Q86" s="1025"/>
      <c r="R86" s="1025"/>
      <c r="S86" s="822" t="s">
        <v>831</v>
      </c>
      <c r="T86" s="1025"/>
      <c r="U86" s="1025"/>
      <c r="V86" s="804" t="s">
        <v>822</v>
      </c>
      <c r="W86" s="1025"/>
      <c r="X86" s="1025"/>
      <c r="Y86" s="822" t="s">
        <v>831</v>
      </c>
      <c r="Z86" s="1088">
        <f t="shared" si="10"/>
        <v>0</v>
      </c>
      <c r="AA86" s="1089"/>
      <c r="AB86" s="804" t="s">
        <v>822</v>
      </c>
      <c r="AC86" s="1089">
        <f t="shared" si="11"/>
        <v>0</v>
      </c>
      <c r="AD86" s="1089"/>
      <c r="AE86" s="803" t="s">
        <v>821</v>
      </c>
      <c r="AF86" s="1092"/>
      <c r="AG86" s="1093"/>
      <c r="AH86" s="802"/>
      <c r="AI86" s="801"/>
      <c r="AJ86" s="800" t="s">
        <v>822</v>
      </c>
      <c r="AK86" s="801"/>
      <c r="AL86" s="800" t="s">
        <v>830</v>
      </c>
      <c r="AM86" s="801"/>
      <c r="AN86" s="800" t="s">
        <v>829</v>
      </c>
      <c r="AO86" s="800"/>
      <c r="AP86" s="799"/>
      <c r="AQ86" s="836"/>
      <c r="AR86" s="836"/>
      <c r="AS86" s="859"/>
      <c r="AT86" s="860"/>
      <c r="AU86" s="857">
        <f t="shared" si="15"/>
        <v>0</v>
      </c>
      <c r="AV86" s="858"/>
      <c r="AW86" s="856" t="str">
        <f t="shared" si="16"/>
        <v/>
      </c>
    </row>
    <row r="87" spans="1:49" ht="13.15" hidden="1" customHeight="1">
      <c r="A87" s="791">
        <v>60</v>
      </c>
      <c r="B87" s="1116"/>
      <c r="C87" s="1081"/>
      <c r="D87" s="1081"/>
      <c r="E87" s="1081"/>
      <c r="F87" s="1081"/>
      <c r="G87" s="1081"/>
      <c r="H87" s="1082"/>
      <c r="I87" s="1080"/>
      <c r="J87" s="1081"/>
      <c r="K87" s="1081"/>
      <c r="L87" s="1081"/>
      <c r="M87" s="1082"/>
      <c r="N87" s="1024"/>
      <c r="O87" s="1025"/>
      <c r="P87" s="804" t="s">
        <v>822</v>
      </c>
      <c r="Q87" s="1025"/>
      <c r="R87" s="1025"/>
      <c r="S87" s="814" t="s">
        <v>831</v>
      </c>
      <c r="T87" s="1094"/>
      <c r="U87" s="1094"/>
      <c r="V87" s="804" t="s">
        <v>822</v>
      </c>
      <c r="W87" s="1025"/>
      <c r="X87" s="1025"/>
      <c r="Y87" s="814" t="s">
        <v>831</v>
      </c>
      <c r="Z87" s="1088">
        <f t="shared" si="10"/>
        <v>0</v>
      </c>
      <c r="AA87" s="1089"/>
      <c r="AB87" s="804" t="s">
        <v>822</v>
      </c>
      <c r="AC87" s="1089">
        <f t="shared" si="11"/>
        <v>0</v>
      </c>
      <c r="AD87" s="1089"/>
      <c r="AE87" s="803" t="s">
        <v>821</v>
      </c>
      <c r="AF87" s="1092"/>
      <c r="AG87" s="1093"/>
      <c r="AH87" s="802"/>
      <c r="AI87" s="801"/>
      <c r="AJ87" s="800" t="s">
        <v>822</v>
      </c>
      <c r="AK87" s="801"/>
      <c r="AL87" s="800" t="s">
        <v>830</v>
      </c>
      <c r="AM87" s="801"/>
      <c r="AN87" s="800" t="s">
        <v>829</v>
      </c>
      <c r="AO87" s="800"/>
      <c r="AP87" s="799"/>
      <c r="AQ87" s="836"/>
      <c r="AR87" s="836"/>
      <c r="AS87" s="859"/>
      <c r="AT87" s="860"/>
      <c r="AU87" s="857">
        <f t="shared" si="15"/>
        <v>0</v>
      </c>
      <c r="AV87" s="858"/>
      <c r="AW87" s="856" t="str">
        <f t="shared" si="16"/>
        <v/>
      </c>
    </row>
    <row r="88" spans="1:49" ht="15" thickBot="1">
      <c r="B88" s="1116"/>
      <c r="C88" s="1047" t="s">
        <v>828</v>
      </c>
      <c r="D88" s="1000"/>
      <c r="E88" s="1000"/>
      <c r="F88" s="1000"/>
      <c r="G88" s="1000"/>
      <c r="H88" s="1001"/>
      <c r="I88" s="1098" t="s">
        <v>827</v>
      </c>
      <c r="J88" s="1099"/>
      <c r="K88" s="798"/>
      <c r="L88" s="798"/>
      <c r="M88" s="797"/>
      <c r="N88" s="1060"/>
      <c r="O88" s="1061"/>
      <c r="P88" s="1061"/>
      <c r="Q88" s="1061"/>
      <c r="R88" s="1061"/>
      <c r="S88" s="1062"/>
      <c r="T88" s="1069"/>
      <c r="U88" s="1069"/>
      <c r="V88" s="1069"/>
      <c r="W88" s="1069"/>
      <c r="X88" s="1069"/>
      <c r="Y88" s="1070"/>
      <c r="Z88" s="1100" t="s">
        <v>826</v>
      </c>
      <c r="AA88" s="1101"/>
      <c r="AB88" s="796"/>
      <c r="AC88" s="796"/>
      <c r="AD88" s="796"/>
      <c r="AE88" s="795"/>
      <c r="AF88" s="1110" t="s">
        <v>825</v>
      </c>
      <c r="AG88" s="1111"/>
      <c r="AH88" s="1106" t="s">
        <v>824</v>
      </c>
      <c r="AI88" s="1106"/>
      <c r="AJ88" s="1106"/>
      <c r="AK88" s="1106"/>
      <c r="AL88" s="1106"/>
      <c r="AM88" s="1106"/>
      <c r="AN88" s="1106"/>
      <c r="AO88" s="1106"/>
      <c r="AP88" s="1107"/>
      <c r="AQ88" s="837"/>
      <c r="AR88" s="837"/>
      <c r="AS88" s="861">
        <f t="shared" ref="AS88:AT88" si="17">SUM(AS8:AS77)</f>
        <v>0</v>
      </c>
      <c r="AT88" s="862">
        <f t="shared" si="17"/>
        <v>0</v>
      </c>
      <c r="AU88" s="863">
        <f>SUM(AU8:AU77)</f>
        <v>0</v>
      </c>
      <c r="AV88" s="864">
        <f>SUM(AV8:AV87)</f>
        <v>0</v>
      </c>
    </row>
    <row r="89" spans="1:49" ht="15" thickBot="1">
      <c r="B89" s="1116"/>
      <c r="C89" s="1059"/>
      <c r="D89" s="1014"/>
      <c r="E89" s="1014"/>
      <c r="F89" s="1014"/>
      <c r="G89" s="1014"/>
      <c r="H89" s="1038"/>
      <c r="I89" s="1075">
        <f>COUNTA(C8:H77)</f>
        <v>0</v>
      </c>
      <c r="J89" s="1076"/>
      <c r="K89" s="1076"/>
      <c r="L89" s="1076"/>
      <c r="M89" s="1077"/>
      <c r="N89" s="1063"/>
      <c r="O89" s="1064"/>
      <c r="P89" s="1064"/>
      <c r="Q89" s="1064"/>
      <c r="R89" s="1064"/>
      <c r="S89" s="1065"/>
      <c r="T89" s="1071"/>
      <c r="U89" s="1071"/>
      <c r="V89" s="1071"/>
      <c r="W89" s="1071"/>
      <c r="X89" s="1071"/>
      <c r="Y89" s="1072"/>
      <c r="Z89" s="1075">
        <f>SUM(Z8:AA77)+QUOTIENT(SUM(AC8:AD77),12)</f>
        <v>0</v>
      </c>
      <c r="AA89" s="1076"/>
      <c r="AC89" s="1076">
        <f>MOD(SUM(AC8:AD77),12)</f>
        <v>0</v>
      </c>
      <c r="AD89" s="1076"/>
      <c r="AE89" s="794"/>
      <c r="AF89" s="793"/>
      <c r="AG89" s="792"/>
      <c r="AH89" s="1108" t="s">
        <v>823</v>
      </c>
      <c r="AI89" s="1108"/>
      <c r="AJ89" s="1108"/>
      <c r="AK89" s="1108"/>
      <c r="AL89" s="1108"/>
      <c r="AM89" s="1108"/>
      <c r="AN89" s="1108"/>
      <c r="AO89" s="1108"/>
      <c r="AP89" s="1109"/>
      <c r="AQ89" s="837"/>
      <c r="AR89" s="837"/>
    </row>
    <row r="90" spans="1:49" ht="15" thickTop="1">
      <c r="B90" s="1116"/>
      <c r="C90" s="1059"/>
      <c r="D90" s="1014"/>
      <c r="E90" s="1014"/>
      <c r="F90" s="1014"/>
      <c r="G90" s="1014"/>
      <c r="H90" s="1038"/>
      <c r="I90" s="1075"/>
      <c r="J90" s="1076"/>
      <c r="K90" s="1076"/>
      <c r="L90" s="1076"/>
      <c r="M90" s="1077"/>
      <c r="N90" s="1063"/>
      <c r="O90" s="1064"/>
      <c r="P90" s="1064"/>
      <c r="Q90" s="1064"/>
      <c r="R90" s="1064"/>
      <c r="S90" s="1065"/>
      <c r="T90" s="1071"/>
      <c r="U90" s="1071"/>
      <c r="V90" s="1071"/>
      <c r="W90" s="1071"/>
      <c r="X90" s="1071"/>
      <c r="Y90" s="1072"/>
      <c r="Z90" s="1075"/>
      <c r="AA90" s="1076"/>
      <c r="AB90" s="791" t="s">
        <v>822</v>
      </c>
      <c r="AC90" s="1076"/>
      <c r="AD90" s="1076"/>
      <c r="AE90" s="791" t="s">
        <v>821</v>
      </c>
      <c r="AF90" s="1102">
        <f>IF(I89=0,0,QUOTIENT((Z89*12+AC89)/I89,12)+IF(MOD((Z89*12+AC89)/I89,12)&gt;=6,1,0))</f>
        <v>0</v>
      </c>
      <c r="AG90" s="1103"/>
      <c r="AH90" s="1103"/>
      <c r="AI90" s="1103"/>
      <c r="AJ90" s="1103"/>
      <c r="AK90" s="1103"/>
      <c r="AL90" s="1103"/>
      <c r="AM90" s="1103"/>
      <c r="AN90" s="1103"/>
      <c r="AO90" s="1103"/>
      <c r="AP90" s="790"/>
      <c r="AQ90" s="838"/>
      <c r="AR90" s="838"/>
      <c r="AU90" s="1095">
        <f>+IF(AND(AF90&gt;=0,AF90&lt;11),AF90+2,IF(AF90=11,AF90+1,12))</f>
        <v>2</v>
      </c>
    </row>
    <row r="91" spans="1:49" ht="13.9" customHeight="1" thickBot="1">
      <c r="B91" s="1117"/>
      <c r="C91" s="1048"/>
      <c r="D91" s="1002"/>
      <c r="E91" s="1002"/>
      <c r="F91" s="1002"/>
      <c r="G91" s="1002"/>
      <c r="H91" s="1003"/>
      <c r="I91" s="1083" t="s">
        <v>813</v>
      </c>
      <c r="J91" s="1084"/>
      <c r="K91" s="1084"/>
      <c r="L91" s="1084"/>
      <c r="M91" s="1085"/>
      <c r="N91" s="1066"/>
      <c r="O91" s="1067"/>
      <c r="P91" s="1067"/>
      <c r="Q91" s="1067"/>
      <c r="R91" s="1067"/>
      <c r="S91" s="1068"/>
      <c r="T91" s="1073"/>
      <c r="U91" s="1073"/>
      <c r="V91" s="1073"/>
      <c r="W91" s="1073"/>
      <c r="X91" s="1073"/>
      <c r="Y91" s="1074"/>
      <c r="Z91" s="789"/>
      <c r="AA91" s="788"/>
      <c r="AB91" s="788"/>
      <c r="AC91" s="788"/>
      <c r="AD91" s="788"/>
      <c r="AE91" s="788"/>
      <c r="AF91" s="1104"/>
      <c r="AG91" s="1105"/>
      <c r="AH91" s="1105"/>
      <c r="AI91" s="1105"/>
      <c r="AJ91" s="1105"/>
      <c r="AK91" s="1105"/>
      <c r="AL91" s="1105"/>
      <c r="AM91" s="1105"/>
      <c r="AN91" s="1105"/>
      <c r="AO91" s="1105"/>
      <c r="AP91" s="787" t="s">
        <v>820</v>
      </c>
      <c r="AQ91" s="839"/>
      <c r="AR91" s="839"/>
      <c r="AU91" s="1095"/>
    </row>
    <row r="92" spans="1:49">
      <c r="B92" s="786" t="s">
        <v>819</v>
      </c>
    </row>
    <row r="93" spans="1:49" ht="6" customHeight="1">
      <c r="B93" s="767"/>
    </row>
    <row r="94" spans="1:49">
      <c r="B94" s="1114" t="s">
        <v>818</v>
      </c>
      <c r="C94" s="1041"/>
      <c r="D94" s="1041"/>
      <c r="E94" s="1041"/>
      <c r="F94" s="1041"/>
      <c r="G94" s="1041"/>
      <c r="H94" s="1041"/>
      <c r="I94" s="1041"/>
      <c r="J94" s="1041"/>
      <c r="K94" s="1041"/>
      <c r="L94" s="1041"/>
      <c r="M94" s="1041"/>
      <c r="N94" s="1041"/>
      <c r="O94" s="1041"/>
      <c r="P94" s="1041"/>
      <c r="Q94" s="1041"/>
      <c r="R94" s="1041"/>
      <c r="S94" s="1041"/>
      <c r="T94" s="1041"/>
      <c r="U94" s="1041"/>
      <c r="V94" s="1041"/>
      <c r="W94" s="1041"/>
      <c r="X94" s="1041"/>
      <c r="Y94" s="1041"/>
      <c r="Z94" s="1041"/>
      <c r="AA94" s="1041"/>
      <c r="AB94" s="1041"/>
      <c r="AC94" s="1041"/>
      <c r="AD94" s="1041"/>
      <c r="AE94" s="1041"/>
      <c r="AF94" s="1041"/>
      <c r="AG94" s="1041"/>
      <c r="AH94" s="1041"/>
      <c r="AI94" s="1041"/>
      <c r="AJ94" s="1041"/>
      <c r="AK94" s="1041"/>
      <c r="AL94" s="1041"/>
      <c r="AM94" s="1041"/>
      <c r="AN94" s="1041"/>
      <c r="AO94" s="1041"/>
    </row>
    <row r="95" spans="1:49">
      <c r="B95" s="1041"/>
      <c r="C95" s="1041"/>
      <c r="D95" s="1041"/>
      <c r="E95" s="1041"/>
      <c r="F95" s="1041"/>
      <c r="G95" s="1041"/>
      <c r="H95" s="1041"/>
      <c r="I95" s="1041"/>
      <c r="J95" s="1041"/>
      <c r="K95" s="1041"/>
      <c r="L95" s="1041"/>
      <c r="M95" s="1041"/>
      <c r="N95" s="1041"/>
      <c r="O95" s="1041"/>
      <c r="P95" s="1041"/>
      <c r="Q95" s="1041"/>
      <c r="R95" s="1041"/>
      <c r="S95" s="1041"/>
      <c r="T95" s="1041"/>
      <c r="U95" s="1041"/>
      <c r="V95" s="1041"/>
      <c r="W95" s="1041"/>
      <c r="X95" s="1041"/>
      <c r="Y95" s="1041"/>
      <c r="Z95" s="1041"/>
      <c r="AA95" s="1041"/>
      <c r="AB95" s="1041"/>
      <c r="AC95" s="1041"/>
      <c r="AD95" s="1041"/>
      <c r="AE95" s="1041"/>
      <c r="AF95" s="1041"/>
      <c r="AG95" s="1041"/>
      <c r="AH95" s="1041"/>
      <c r="AI95" s="1041"/>
      <c r="AJ95" s="1041"/>
      <c r="AK95" s="1041"/>
      <c r="AL95" s="1041"/>
      <c r="AM95" s="1041"/>
      <c r="AN95" s="1041"/>
      <c r="AO95" s="1041"/>
    </row>
    <row r="96" spans="1:49">
      <c r="B96" s="1041"/>
      <c r="C96" s="1041"/>
      <c r="D96" s="1041"/>
      <c r="E96" s="1041"/>
      <c r="F96" s="1041"/>
      <c r="G96" s="1041"/>
      <c r="H96" s="1041"/>
      <c r="I96" s="1041"/>
      <c r="J96" s="1041"/>
      <c r="K96" s="1041"/>
      <c r="L96" s="1041"/>
      <c r="M96" s="1041"/>
      <c r="N96" s="1041"/>
      <c r="O96" s="1041"/>
      <c r="P96" s="1041"/>
      <c r="Q96" s="1041"/>
      <c r="R96" s="1041"/>
      <c r="S96" s="1041"/>
      <c r="T96" s="1041"/>
      <c r="U96" s="1041"/>
      <c r="V96" s="1041"/>
      <c r="W96" s="1041"/>
      <c r="X96" s="1041"/>
      <c r="Y96" s="1041"/>
      <c r="Z96" s="1041"/>
      <c r="AA96" s="1041"/>
      <c r="AB96" s="1041"/>
      <c r="AC96" s="1041"/>
      <c r="AD96" s="1041"/>
      <c r="AE96" s="1041"/>
      <c r="AF96" s="1041"/>
      <c r="AG96" s="1041"/>
      <c r="AH96" s="1041"/>
      <c r="AI96" s="1041"/>
      <c r="AJ96" s="1041"/>
      <c r="AK96" s="1041"/>
      <c r="AL96" s="1041"/>
      <c r="AM96" s="1041"/>
      <c r="AN96" s="1041"/>
      <c r="AO96" s="1041"/>
    </row>
    <row r="97" spans="2:48">
      <c r="B97" s="1041"/>
      <c r="C97" s="1041"/>
      <c r="D97" s="1041"/>
      <c r="E97" s="1041"/>
      <c r="F97" s="1041"/>
      <c r="G97" s="1041"/>
      <c r="H97" s="1041"/>
      <c r="I97" s="1041"/>
      <c r="J97" s="1041"/>
      <c r="K97" s="1041"/>
      <c r="L97" s="1041"/>
      <c r="M97" s="1041"/>
      <c r="N97" s="1041"/>
      <c r="O97" s="1041"/>
      <c r="P97" s="1041"/>
      <c r="Q97" s="1041"/>
      <c r="R97" s="1041"/>
      <c r="S97" s="1041"/>
      <c r="T97" s="1041"/>
      <c r="U97" s="1041"/>
      <c r="V97" s="1041"/>
      <c r="W97" s="1041"/>
      <c r="X97" s="1041"/>
      <c r="Y97" s="1041"/>
      <c r="Z97" s="1041"/>
      <c r="AA97" s="1041"/>
      <c r="AB97" s="1041"/>
      <c r="AC97" s="1041"/>
      <c r="AD97" s="1041"/>
      <c r="AE97" s="1041"/>
      <c r="AF97" s="1041"/>
      <c r="AG97" s="1041"/>
      <c r="AH97" s="1041"/>
      <c r="AI97" s="1041"/>
      <c r="AJ97" s="1041"/>
      <c r="AK97" s="1041"/>
      <c r="AL97" s="1041"/>
      <c r="AM97" s="1041"/>
      <c r="AN97" s="1041"/>
      <c r="AO97" s="1041"/>
      <c r="AV97" s="768"/>
    </row>
    <row r="98" spans="2:48">
      <c r="B98" s="1041"/>
      <c r="C98" s="1041"/>
      <c r="D98" s="1041"/>
      <c r="E98" s="1041"/>
      <c r="F98" s="1041"/>
      <c r="G98" s="1041"/>
      <c r="H98" s="1041"/>
      <c r="I98" s="1041"/>
      <c r="J98" s="1041"/>
      <c r="K98" s="1041"/>
      <c r="L98" s="1041"/>
      <c r="M98" s="1041"/>
      <c r="N98" s="1041"/>
      <c r="O98" s="1041"/>
      <c r="P98" s="1041"/>
      <c r="Q98" s="1041"/>
      <c r="R98" s="1041"/>
      <c r="S98" s="1041"/>
      <c r="T98" s="1041"/>
      <c r="U98" s="1041"/>
      <c r="V98" s="1041"/>
      <c r="W98" s="1041"/>
      <c r="X98" s="1041"/>
      <c r="Y98" s="1041"/>
      <c r="Z98" s="1041"/>
      <c r="AA98" s="1041"/>
      <c r="AB98" s="1041"/>
      <c r="AC98" s="1041"/>
      <c r="AD98" s="1041"/>
      <c r="AE98" s="1041"/>
      <c r="AF98" s="1041"/>
      <c r="AG98" s="1041"/>
      <c r="AH98" s="1041"/>
      <c r="AI98" s="1041"/>
      <c r="AJ98" s="1041"/>
      <c r="AK98" s="1041"/>
      <c r="AL98" s="1041"/>
      <c r="AM98" s="1041"/>
      <c r="AN98" s="1041"/>
      <c r="AO98" s="1041"/>
      <c r="AV98" s="764"/>
    </row>
    <row r="99" spans="2:48" ht="6" customHeight="1"/>
    <row r="100" spans="2:48" ht="28.9" customHeight="1">
      <c r="B100" s="785"/>
      <c r="C100" s="784"/>
      <c r="D100" s="784"/>
      <c r="E100" s="784"/>
      <c r="F100" s="784"/>
      <c r="G100" s="784"/>
      <c r="H100" s="784"/>
      <c r="I100" s="784"/>
      <c r="J100" s="784"/>
      <c r="K100" s="784"/>
      <c r="L100" s="784"/>
      <c r="M100" s="784"/>
      <c r="N100" s="784"/>
      <c r="O100" s="784"/>
      <c r="P100" s="784"/>
      <c r="Q100" s="784"/>
      <c r="R100" s="784"/>
      <c r="S100" s="784"/>
      <c r="T100" s="784"/>
      <c r="U100" s="784"/>
      <c r="V100" s="784"/>
      <c r="W100" s="784"/>
      <c r="X100" s="784"/>
      <c r="Y100" s="784"/>
      <c r="Z100" s="784"/>
      <c r="AA100" s="784"/>
      <c r="AB100" s="784"/>
      <c r="AC100" s="783"/>
    </row>
    <row r="101" spans="2:48" ht="18" customHeight="1">
      <c r="B101" s="779" t="s">
        <v>817</v>
      </c>
      <c r="AC101" s="778"/>
      <c r="AE101" s="780"/>
      <c r="AF101" s="780"/>
      <c r="AG101" s="780"/>
      <c r="AH101" s="780"/>
      <c r="AI101" s="780"/>
      <c r="AJ101" s="780"/>
      <c r="AK101" s="780"/>
      <c r="AL101" s="780"/>
      <c r="AM101" s="780"/>
      <c r="AN101" s="780"/>
      <c r="AO101" s="780"/>
      <c r="AP101" s="780"/>
      <c r="AQ101" s="780"/>
      <c r="AR101" s="780"/>
      <c r="AV101" s="764"/>
    </row>
    <row r="102" spans="2:48" ht="4.9000000000000004" customHeight="1" thickBot="1">
      <c r="B102" s="779"/>
      <c r="AC102" s="778"/>
      <c r="AE102" s="782"/>
      <c r="AF102" s="782"/>
      <c r="AG102" s="782"/>
      <c r="AH102" s="782"/>
      <c r="AI102" s="781"/>
      <c r="AJ102" s="781"/>
      <c r="AK102" s="781"/>
      <c r="AL102" s="781"/>
      <c r="AM102" s="781"/>
      <c r="AN102" s="781"/>
      <c r="AO102" s="781"/>
      <c r="AP102" s="781"/>
      <c r="AQ102" s="781"/>
      <c r="AR102" s="781"/>
      <c r="AV102" s="764"/>
    </row>
    <row r="103" spans="2:48" ht="18" customHeight="1" thickBot="1">
      <c r="B103" s="779"/>
      <c r="C103" s="1096" t="s">
        <v>816</v>
      </c>
      <c r="D103" s="1096"/>
      <c r="E103" s="1096"/>
      <c r="F103" s="1096"/>
      <c r="G103" s="1096"/>
      <c r="H103" s="1096"/>
      <c r="I103" s="1096"/>
      <c r="J103" s="1096"/>
      <c r="K103" s="1097"/>
      <c r="L103" s="1112">
        <f>AU88</f>
        <v>0</v>
      </c>
      <c r="M103" s="1113"/>
      <c r="N103" s="764" t="s">
        <v>813</v>
      </c>
      <c r="O103" s="766"/>
      <c r="Q103" s="765"/>
      <c r="R103" s="765"/>
      <c r="W103" s="765"/>
      <c r="X103" s="765"/>
      <c r="AC103" s="778"/>
      <c r="AE103" s="780"/>
      <c r="AF103" s="780"/>
      <c r="AG103" s="780"/>
      <c r="AH103" s="780"/>
      <c r="AI103" s="780"/>
      <c r="AJ103" s="780"/>
      <c r="AK103" s="780"/>
      <c r="AL103" s="780"/>
      <c r="AM103" s="780"/>
      <c r="AN103" s="780"/>
      <c r="AO103" s="780"/>
      <c r="AP103" s="780"/>
      <c r="AQ103" s="780"/>
      <c r="AR103" s="780"/>
      <c r="AV103" s="764"/>
    </row>
    <row r="104" spans="2:48" ht="18" customHeight="1">
      <c r="B104" s="779"/>
      <c r="D104" s="766" t="s">
        <v>815</v>
      </c>
      <c r="Q104" s="765"/>
      <c r="R104" s="765"/>
      <c r="W104" s="765"/>
      <c r="X104" s="765"/>
      <c r="AC104" s="778"/>
      <c r="AE104" s="780"/>
      <c r="AF104" s="780"/>
      <c r="AG104" s="780"/>
      <c r="AH104" s="780"/>
      <c r="AI104" s="780"/>
      <c r="AJ104" s="780"/>
      <c r="AK104" s="780"/>
      <c r="AL104" s="780"/>
      <c r="AM104" s="780"/>
      <c r="AN104" s="780"/>
      <c r="AO104" s="780"/>
      <c r="AP104" s="780"/>
      <c r="AQ104" s="780"/>
      <c r="AR104" s="780"/>
      <c r="AV104" s="764"/>
    </row>
    <row r="105" spans="2:48" ht="4.9000000000000004" customHeight="1" thickBot="1">
      <c r="B105" s="779"/>
      <c r="D105" s="766"/>
      <c r="Q105" s="765"/>
      <c r="R105" s="765"/>
      <c r="W105" s="765"/>
      <c r="X105" s="765"/>
      <c r="AC105" s="778"/>
      <c r="AE105" s="777"/>
      <c r="AF105" s="777"/>
      <c r="AG105" s="777"/>
      <c r="AH105" s="777"/>
      <c r="AI105" s="776"/>
      <c r="AJ105" s="776"/>
      <c r="AK105" s="776"/>
      <c r="AL105" s="776"/>
      <c r="AM105" s="776"/>
      <c r="AN105" s="776"/>
      <c r="AO105" s="776"/>
      <c r="AP105" s="776"/>
      <c r="AQ105" s="834"/>
      <c r="AR105" s="834"/>
      <c r="AV105" s="764"/>
    </row>
    <row r="106" spans="2:48" ht="17.100000000000001" customHeight="1" thickBot="1">
      <c r="B106" s="775"/>
      <c r="C106" s="1096" t="s">
        <v>814</v>
      </c>
      <c r="D106" s="1096"/>
      <c r="E106" s="1096"/>
      <c r="F106" s="1096"/>
      <c r="G106" s="1096"/>
      <c r="H106" s="1096"/>
      <c r="I106" s="1096"/>
      <c r="J106" s="1096"/>
      <c r="K106" s="1097"/>
      <c r="L106" s="1112">
        <f>AV88</f>
        <v>0</v>
      </c>
      <c r="M106" s="1113"/>
      <c r="N106" s="764" t="s">
        <v>813</v>
      </c>
      <c r="O106" s="766"/>
      <c r="P106" s="766"/>
      <c r="Q106" s="766"/>
      <c r="R106" s="766"/>
      <c r="S106" s="766"/>
      <c r="T106" s="766"/>
      <c r="U106" s="766"/>
      <c r="V106" s="766"/>
      <c r="W106" s="766"/>
      <c r="AC106" s="774"/>
      <c r="AD106" s="768"/>
      <c r="AE106" s="768"/>
      <c r="AF106" s="768"/>
      <c r="AG106" s="768"/>
      <c r="AH106" s="768"/>
      <c r="AI106" s="767"/>
      <c r="AJ106" s="767"/>
      <c r="AK106" s="767"/>
      <c r="AL106" s="767"/>
      <c r="AM106" s="767"/>
      <c r="AN106" s="767"/>
      <c r="AO106" s="767"/>
      <c r="AP106" s="767"/>
      <c r="AQ106" s="832"/>
      <c r="AR106" s="832"/>
    </row>
    <row r="107" spans="2:48" ht="4.9000000000000004" customHeight="1">
      <c r="B107" s="773"/>
      <c r="C107" s="772"/>
      <c r="D107" s="772"/>
      <c r="E107" s="772"/>
      <c r="F107" s="772"/>
      <c r="G107" s="772"/>
      <c r="H107" s="772"/>
      <c r="I107" s="772"/>
      <c r="J107" s="772"/>
      <c r="K107" s="772"/>
      <c r="L107" s="772"/>
      <c r="M107" s="772"/>
      <c r="N107" s="772"/>
      <c r="O107" s="772"/>
      <c r="P107" s="772"/>
      <c r="Q107" s="772"/>
      <c r="R107" s="772"/>
      <c r="S107" s="772"/>
      <c r="T107" s="772"/>
      <c r="U107" s="772"/>
      <c r="V107" s="772"/>
      <c r="W107" s="772"/>
      <c r="X107" s="771"/>
      <c r="Y107" s="771"/>
      <c r="Z107" s="770"/>
      <c r="AA107" s="771"/>
      <c r="AB107" s="770"/>
      <c r="AC107" s="769"/>
      <c r="AD107" s="768"/>
      <c r="AE107" s="768"/>
      <c r="AF107" s="768"/>
      <c r="AG107" s="768"/>
      <c r="AH107" s="768"/>
      <c r="AI107" s="767"/>
      <c r="AJ107" s="767"/>
      <c r="AK107" s="767"/>
      <c r="AL107" s="767"/>
      <c r="AM107" s="767"/>
      <c r="AN107" s="767"/>
      <c r="AO107" s="767"/>
      <c r="AP107" s="767"/>
      <c r="AQ107" s="832"/>
      <c r="AR107" s="832"/>
    </row>
    <row r="108" spans="2:48" ht="8.65" customHeight="1">
      <c r="B108" s="767"/>
      <c r="Z108" s="768"/>
      <c r="AA108" s="768"/>
      <c r="AB108" s="768"/>
      <c r="AC108" s="768"/>
      <c r="AD108" s="768"/>
      <c r="AE108" s="767"/>
      <c r="AF108" s="767"/>
      <c r="AG108" s="767"/>
      <c r="AH108" s="767"/>
      <c r="AI108" s="767"/>
      <c r="AJ108" s="767"/>
      <c r="AK108" s="767"/>
      <c r="AL108" s="767"/>
      <c r="AN108" s="767"/>
      <c r="AO108" s="767"/>
    </row>
    <row r="109" spans="2:48" ht="15" customHeight="1">
      <c r="C109" s="766" t="s">
        <v>812</v>
      </c>
    </row>
    <row r="110" spans="2:48" ht="15" customHeight="1">
      <c r="C110" s="766" t="s">
        <v>811</v>
      </c>
    </row>
    <row r="111" spans="2:48" ht="15" customHeight="1">
      <c r="C111" s="766" t="s">
        <v>810</v>
      </c>
    </row>
    <row r="112" spans="2:48" ht="15" customHeight="1">
      <c r="C112" s="766" t="s">
        <v>809</v>
      </c>
    </row>
    <row r="113" spans="2:48" ht="15" customHeight="1">
      <c r="C113" s="766" t="s">
        <v>808</v>
      </c>
    </row>
    <row r="114" spans="2:48" ht="15" customHeight="1">
      <c r="C114" s="766" t="s">
        <v>807</v>
      </c>
    </row>
    <row r="115" spans="2:48" ht="15" customHeight="1">
      <c r="C115" s="766" t="s">
        <v>806</v>
      </c>
    </row>
    <row r="116" spans="2:48" ht="15" customHeight="1">
      <c r="C116" s="766" t="s">
        <v>805</v>
      </c>
    </row>
    <row r="117" spans="2:48" ht="15" customHeight="1">
      <c r="C117" s="766" t="s">
        <v>804</v>
      </c>
    </row>
    <row r="118" spans="2:48" ht="15" customHeight="1">
      <c r="C118" s="766" t="s">
        <v>803</v>
      </c>
    </row>
    <row r="119" spans="2:48" ht="15" customHeight="1">
      <c r="C119" s="766" t="s">
        <v>802</v>
      </c>
    </row>
    <row r="120" spans="2:48" ht="15" customHeight="1">
      <c r="C120" s="766" t="s">
        <v>874</v>
      </c>
    </row>
    <row r="121" spans="2:48" ht="15" customHeight="1">
      <c r="C121" s="766" t="s">
        <v>801</v>
      </c>
    </row>
    <row r="122" spans="2:48" ht="15" customHeight="1">
      <c r="C122" s="766" t="s">
        <v>800</v>
      </c>
    </row>
    <row r="123" spans="2:48" ht="15" customHeight="1">
      <c r="C123" s="766" t="s">
        <v>799</v>
      </c>
    </row>
    <row r="124" spans="2:48" s="831" customFormat="1" ht="15" customHeight="1">
      <c r="C124" s="766" t="s">
        <v>852</v>
      </c>
      <c r="AQ124" s="833"/>
      <c r="AR124" s="833"/>
      <c r="AU124" s="830"/>
      <c r="AV124" s="830"/>
    </row>
    <row r="125" spans="2:48" ht="15" customHeight="1">
      <c r="C125" s="766" t="s">
        <v>798</v>
      </c>
    </row>
    <row r="126" spans="2:48" ht="15" customHeight="1">
      <c r="B126" s="764" t="s">
        <v>796</v>
      </c>
    </row>
    <row r="127" spans="2:48" ht="15" customHeight="1">
      <c r="B127" s="764" t="s">
        <v>795</v>
      </c>
    </row>
    <row r="128" spans="2:48" ht="15" customHeight="1">
      <c r="B128" s="764" t="s">
        <v>797</v>
      </c>
    </row>
    <row r="129" spans="2:2">
      <c r="B129" s="764" t="s">
        <v>796</v>
      </c>
    </row>
    <row r="130" spans="2:2">
      <c r="B130" s="764" t="s">
        <v>795</v>
      </c>
    </row>
    <row r="132" spans="2:2">
      <c r="B132" s="764" t="s">
        <v>794</v>
      </c>
    </row>
    <row r="133" spans="2:2">
      <c r="B133" s="764" t="s">
        <v>793</v>
      </c>
    </row>
    <row r="134" spans="2:2">
      <c r="B134" s="764" t="s">
        <v>792</v>
      </c>
    </row>
    <row r="135" spans="2:2">
      <c r="B135" s="764" t="s">
        <v>584</v>
      </c>
    </row>
    <row r="136" spans="2:2">
      <c r="B136" s="764" t="s">
        <v>791</v>
      </c>
    </row>
    <row r="137" spans="2:2">
      <c r="B137" s="764" t="s">
        <v>790</v>
      </c>
    </row>
    <row r="138" spans="2:2">
      <c r="B138" s="764" t="s">
        <v>789</v>
      </c>
    </row>
    <row r="140" spans="2:2">
      <c r="B140" s="833"/>
    </row>
    <row r="141" spans="2:2">
      <c r="B141" s="833" t="s">
        <v>854</v>
      </c>
    </row>
  </sheetData>
  <mergeCells count="979">
    <mergeCell ref="AN70:AO70"/>
    <mergeCell ref="C69:H69"/>
    <mergeCell ref="I69:M69"/>
    <mergeCell ref="N69:O69"/>
    <mergeCell ref="Q69:R69"/>
    <mergeCell ref="T69:U69"/>
    <mergeCell ref="W69:X69"/>
    <mergeCell ref="Z69:AA69"/>
    <mergeCell ref="I70:M70"/>
    <mergeCell ref="N70:O70"/>
    <mergeCell ref="Q70:R70"/>
    <mergeCell ref="T70:U70"/>
    <mergeCell ref="W70:X70"/>
    <mergeCell ref="Z70:AA70"/>
    <mergeCell ref="AC70:AD70"/>
    <mergeCell ref="AF70:AG70"/>
    <mergeCell ref="AF38:AG38"/>
    <mergeCell ref="Z68:AA68"/>
    <mergeCell ref="AC68:AD68"/>
    <mergeCell ref="AH70:AI70"/>
    <mergeCell ref="AK64:AL64"/>
    <mergeCell ref="AH38:AI38"/>
    <mergeCell ref="AH54:AI54"/>
    <mergeCell ref="AH55:AI55"/>
    <mergeCell ref="AK70:AL70"/>
    <mergeCell ref="AK55:AL55"/>
    <mergeCell ref="AK57:AL57"/>
    <mergeCell ref="AF63:AG63"/>
    <mergeCell ref="AH56:AI56"/>
    <mergeCell ref="AH57:AI57"/>
    <mergeCell ref="AK65:AL65"/>
    <mergeCell ref="AK66:AL66"/>
    <mergeCell ref="AH65:AI65"/>
    <mergeCell ref="AH66:AI66"/>
    <mergeCell ref="AH51:AI51"/>
    <mergeCell ref="AH52:AI52"/>
    <mergeCell ref="AH53:AI53"/>
    <mergeCell ref="AK46:AL46"/>
    <mergeCell ref="AK47:AL47"/>
    <mergeCell ref="AH67:AI67"/>
    <mergeCell ref="W67:X67"/>
    <mergeCell ref="Z67:AA67"/>
    <mergeCell ref="C70:H70"/>
    <mergeCell ref="C38:H38"/>
    <mergeCell ref="I38:M38"/>
    <mergeCell ref="N38:O38"/>
    <mergeCell ref="Q38:R38"/>
    <mergeCell ref="T38:U38"/>
    <mergeCell ref="W38:X38"/>
    <mergeCell ref="Z38:AA38"/>
    <mergeCell ref="C67:H67"/>
    <mergeCell ref="C68:H68"/>
    <mergeCell ref="I68:M68"/>
    <mergeCell ref="N68:O68"/>
    <mergeCell ref="Q68:R68"/>
    <mergeCell ref="T68:U68"/>
    <mergeCell ref="W68:X68"/>
    <mergeCell ref="C65:H65"/>
    <mergeCell ref="W64:X64"/>
    <mergeCell ref="I47:M47"/>
    <mergeCell ref="Z51:AA51"/>
    <mergeCell ref="Q48:R48"/>
    <mergeCell ref="T48:U48"/>
    <mergeCell ref="W48:X48"/>
    <mergeCell ref="AF36:AG36"/>
    <mergeCell ref="AH35:AI35"/>
    <mergeCell ref="C36:H36"/>
    <mergeCell ref="I36:M36"/>
    <mergeCell ref="N36:O36"/>
    <mergeCell ref="Q36:R36"/>
    <mergeCell ref="T36:U36"/>
    <mergeCell ref="W36:X36"/>
    <mergeCell ref="C37:H37"/>
    <mergeCell ref="I37:M37"/>
    <mergeCell ref="N37:O37"/>
    <mergeCell ref="Q37:R37"/>
    <mergeCell ref="T37:U37"/>
    <mergeCell ref="W37:X37"/>
    <mergeCell ref="Z37:AA37"/>
    <mergeCell ref="AC37:AD37"/>
    <mergeCell ref="AF37:AG37"/>
    <mergeCell ref="C35:H35"/>
    <mergeCell ref="I35:M35"/>
    <mergeCell ref="N35:O35"/>
    <mergeCell ref="Q35:R35"/>
    <mergeCell ref="T35:U35"/>
    <mergeCell ref="W35:X35"/>
    <mergeCell ref="Z35:AA35"/>
    <mergeCell ref="AF35:AG35"/>
    <mergeCell ref="C33:H33"/>
    <mergeCell ref="I33:M33"/>
    <mergeCell ref="N33:O33"/>
    <mergeCell ref="Q33:R33"/>
    <mergeCell ref="T33:U33"/>
    <mergeCell ref="W33:X33"/>
    <mergeCell ref="C34:H34"/>
    <mergeCell ref="I34:M34"/>
    <mergeCell ref="N34:O34"/>
    <mergeCell ref="Q34:R34"/>
    <mergeCell ref="T34:U34"/>
    <mergeCell ref="W34:X34"/>
    <mergeCell ref="AN34:AO34"/>
    <mergeCell ref="Z32:AA32"/>
    <mergeCell ref="W31:X31"/>
    <mergeCell ref="Z31:AA31"/>
    <mergeCell ref="AC31:AD31"/>
    <mergeCell ref="AF31:AG31"/>
    <mergeCell ref="AH33:AI33"/>
    <mergeCell ref="Z33:AA33"/>
    <mergeCell ref="AC33:AD33"/>
    <mergeCell ref="AF33:AG33"/>
    <mergeCell ref="AC32:AD32"/>
    <mergeCell ref="AN31:AO31"/>
    <mergeCell ref="AN33:AO33"/>
    <mergeCell ref="Z34:AA34"/>
    <mergeCell ref="AC34:AD34"/>
    <mergeCell ref="AF34:AG34"/>
    <mergeCell ref="AN32:AO32"/>
    <mergeCell ref="I32:M32"/>
    <mergeCell ref="N32:O32"/>
    <mergeCell ref="Q32:R32"/>
    <mergeCell ref="T32:U32"/>
    <mergeCell ref="N30:O30"/>
    <mergeCell ref="Q30:R30"/>
    <mergeCell ref="T30:U30"/>
    <mergeCell ref="AF32:AG32"/>
    <mergeCell ref="AH32:AI32"/>
    <mergeCell ref="AN27:AO27"/>
    <mergeCell ref="AN28:AO28"/>
    <mergeCell ref="AN29:AO29"/>
    <mergeCell ref="Z24:AA24"/>
    <mergeCell ref="I28:M28"/>
    <mergeCell ref="C31:H31"/>
    <mergeCell ref="I31:M31"/>
    <mergeCell ref="N31:O31"/>
    <mergeCell ref="Q31:R31"/>
    <mergeCell ref="T31:U31"/>
    <mergeCell ref="AK26:AL26"/>
    <mergeCell ref="AN26:AO26"/>
    <mergeCell ref="AC25:AD25"/>
    <mergeCell ref="AF25:AG25"/>
    <mergeCell ref="AH25:AI25"/>
    <mergeCell ref="AK25:AL25"/>
    <mergeCell ref="AN25:AO25"/>
    <mergeCell ref="C24:H24"/>
    <mergeCell ref="I24:M24"/>
    <mergeCell ref="C28:H28"/>
    <mergeCell ref="C27:H27"/>
    <mergeCell ref="I27:M27"/>
    <mergeCell ref="AN10:AO10"/>
    <mergeCell ref="AN11:AO11"/>
    <mergeCell ref="AN12:AO12"/>
    <mergeCell ref="AN13:AO13"/>
    <mergeCell ref="AK16:AL16"/>
    <mergeCell ref="AF19:AG19"/>
    <mergeCell ref="AC12:AD12"/>
    <mergeCell ref="AF12:AG12"/>
    <mergeCell ref="AF14:AG14"/>
    <mergeCell ref="AH16:AI16"/>
    <mergeCell ref="AH17:AI17"/>
    <mergeCell ref="AH18:AI18"/>
    <mergeCell ref="AC15:AD15"/>
    <mergeCell ref="AK15:AL15"/>
    <mergeCell ref="AN14:AO14"/>
    <mergeCell ref="AN15:AO15"/>
    <mergeCell ref="AH14:AI14"/>
    <mergeCell ref="AH15:AI15"/>
    <mergeCell ref="AN16:AO16"/>
    <mergeCell ref="AN17:AO17"/>
    <mergeCell ref="AN18:AO18"/>
    <mergeCell ref="AN19:AO19"/>
    <mergeCell ref="AC19:AD19"/>
    <mergeCell ref="AF23:AG23"/>
    <mergeCell ref="AH23:AI23"/>
    <mergeCell ref="AK23:AL23"/>
    <mergeCell ref="AN23:AO23"/>
    <mergeCell ref="AH24:AI24"/>
    <mergeCell ref="AK24:AL24"/>
    <mergeCell ref="AN24:AO24"/>
    <mergeCell ref="AF26:AG26"/>
    <mergeCell ref="AH26:AI26"/>
    <mergeCell ref="AH22:AI22"/>
    <mergeCell ref="AH19:AI19"/>
    <mergeCell ref="AN20:AO20"/>
    <mergeCell ref="AN21:AO21"/>
    <mergeCell ref="AH20:AI20"/>
    <mergeCell ref="AH21:AI21"/>
    <mergeCell ref="AN22:AO22"/>
    <mergeCell ref="AK19:AL19"/>
    <mergeCell ref="AK20:AL20"/>
    <mergeCell ref="AK21:AL21"/>
    <mergeCell ref="AK22:AL22"/>
    <mergeCell ref="B1:AP1"/>
    <mergeCell ref="T10:U10"/>
    <mergeCell ref="T5:Y7"/>
    <mergeCell ref="T3:Y4"/>
    <mergeCell ref="AH63:AI63"/>
    <mergeCell ref="AH64:AI64"/>
    <mergeCell ref="AH60:AI60"/>
    <mergeCell ref="AH61:AI61"/>
    <mergeCell ref="AH62:AI62"/>
    <mergeCell ref="AH58:AI58"/>
    <mergeCell ref="AH8:AI8"/>
    <mergeCell ref="AH9:AI9"/>
    <mergeCell ref="AH10:AI10"/>
    <mergeCell ref="AH11:AI11"/>
    <mergeCell ref="AH12:AI12"/>
    <mergeCell ref="AH13:AI13"/>
    <mergeCell ref="AK29:AL29"/>
    <mergeCell ref="AH31:AI31"/>
    <mergeCell ref="AK17:AL17"/>
    <mergeCell ref="AK18:AL18"/>
    <mergeCell ref="AK11:AL11"/>
    <mergeCell ref="AK12:AL12"/>
    <mergeCell ref="AK13:AL13"/>
    <mergeCell ref="AK14:AL14"/>
    <mergeCell ref="W87:X87"/>
    <mergeCell ref="AF64:AG64"/>
    <mergeCell ref="AF86:AG86"/>
    <mergeCell ref="Z66:AA66"/>
    <mergeCell ref="Z87:AA87"/>
    <mergeCell ref="AC87:AD87"/>
    <mergeCell ref="AF87:AG87"/>
    <mergeCell ref="Z65:AA65"/>
    <mergeCell ref="AF65:AG65"/>
    <mergeCell ref="W66:X66"/>
    <mergeCell ref="AF66:AG66"/>
    <mergeCell ref="AF69:AG69"/>
    <mergeCell ref="AF68:AG68"/>
    <mergeCell ref="Z84:AA84"/>
    <mergeCell ref="AF73:AG73"/>
    <mergeCell ref="AF74:AG74"/>
    <mergeCell ref="AF77:AG77"/>
    <mergeCell ref="AC66:AD66"/>
    <mergeCell ref="AC65:AD65"/>
    <mergeCell ref="AF67:AG67"/>
    <mergeCell ref="AF78:AG78"/>
    <mergeCell ref="Z76:AA76"/>
    <mergeCell ref="W65:X65"/>
    <mergeCell ref="AC69:AD69"/>
    <mergeCell ref="AK67:AL67"/>
    <mergeCell ref="AH69:AI69"/>
    <mergeCell ref="AK69:AL69"/>
    <mergeCell ref="AH68:AI68"/>
    <mergeCell ref="AK68:AL68"/>
    <mergeCell ref="W83:X83"/>
    <mergeCell ref="AF82:AG82"/>
    <mergeCell ref="AK76:AL76"/>
    <mergeCell ref="AK77:AL77"/>
    <mergeCell ref="AF72:AG72"/>
    <mergeCell ref="AH75:AI75"/>
    <mergeCell ref="W71:X71"/>
    <mergeCell ref="W74:X74"/>
    <mergeCell ref="AC74:AD74"/>
    <mergeCell ref="AC67:AD67"/>
    <mergeCell ref="Z71:AA71"/>
    <mergeCell ref="AC71:AD71"/>
    <mergeCell ref="Z74:AA74"/>
    <mergeCell ref="Z79:AA79"/>
    <mergeCell ref="AC79:AD79"/>
    <mergeCell ref="AF79:AG79"/>
    <mergeCell ref="Z78:AA78"/>
    <mergeCell ref="AC78:AD78"/>
    <mergeCell ref="AF71:AG71"/>
    <mergeCell ref="T86:U86"/>
    <mergeCell ref="AN77:AO77"/>
    <mergeCell ref="AH71:AI71"/>
    <mergeCell ref="AN72:AO72"/>
    <mergeCell ref="AK72:AL72"/>
    <mergeCell ref="AK73:AL73"/>
    <mergeCell ref="AK74:AL74"/>
    <mergeCell ref="AK75:AL75"/>
    <mergeCell ref="AC82:AD82"/>
    <mergeCell ref="W86:X86"/>
    <mergeCell ref="Z86:AA86"/>
    <mergeCell ref="AC86:AD86"/>
    <mergeCell ref="AH77:AI77"/>
    <mergeCell ref="AH73:AI73"/>
    <mergeCell ref="AH74:AI74"/>
    <mergeCell ref="Z85:AA85"/>
    <mergeCell ref="AC85:AD85"/>
    <mergeCell ref="AF85:AG85"/>
    <mergeCell ref="AN75:AO75"/>
    <mergeCell ref="AN76:AO76"/>
    <mergeCell ref="AH76:AI76"/>
    <mergeCell ref="Z77:AA77"/>
    <mergeCell ref="AC77:AD77"/>
    <mergeCell ref="AK71:AL71"/>
    <mergeCell ref="T87:U87"/>
    <mergeCell ref="AU90:AU91"/>
    <mergeCell ref="C106:K106"/>
    <mergeCell ref="C103:K103"/>
    <mergeCell ref="I88:J88"/>
    <mergeCell ref="Z88:AA88"/>
    <mergeCell ref="AF90:AO91"/>
    <mergeCell ref="AH88:AP88"/>
    <mergeCell ref="AH89:AP89"/>
    <mergeCell ref="AF88:AG88"/>
    <mergeCell ref="L103:M103"/>
    <mergeCell ref="B94:AO98"/>
    <mergeCell ref="B5:B91"/>
    <mergeCell ref="C83:H83"/>
    <mergeCell ref="I83:M83"/>
    <mergeCell ref="AC24:AD24"/>
    <mergeCell ref="N25:O25"/>
    <mergeCell ref="Q25:R25"/>
    <mergeCell ref="T25:U25"/>
    <mergeCell ref="N24:O24"/>
    <mergeCell ref="L106:M106"/>
    <mergeCell ref="AH72:AI72"/>
    <mergeCell ref="AN64:AO64"/>
    <mergeCell ref="AN65:AO65"/>
    <mergeCell ref="AN73:AO73"/>
    <mergeCell ref="AN74:AO74"/>
    <mergeCell ref="AN39:AO39"/>
    <mergeCell ref="AN40:AO40"/>
    <mergeCell ref="AN41:AO41"/>
    <mergeCell ref="AN30:AO30"/>
    <mergeCell ref="AN55:AO55"/>
    <mergeCell ref="AN56:AO56"/>
    <mergeCell ref="AN57:AO57"/>
    <mergeCell ref="AN37:AO37"/>
    <mergeCell ref="AN67:AO67"/>
    <mergeCell ref="AN69:AO69"/>
    <mergeCell ref="AN42:AO42"/>
    <mergeCell ref="AN43:AO43"/>
    <mergeCell ref="AN44:AO44"/>
    <mergeCell ref="AN45:AO45"/>
    <mergeCell ref="AN66:AO66"/>
    <mergeCell ref="AN71:AO71"/>
    <mergeCell ref="AN38:AO38"/>
    <mergeCell ref="AN58:AO58"/>
    <mergeCell ref="AN59:AO59"/>
    <mergeCell ref="AN46:AO46"/>
    <mergeCell ref="AN60:AO60"/>
    <mergeCell ref="AN68:AO68"/>
    <mergeCell ref="AF60:AG60"/>
    <mergeCell ref="AF61:AG61"/>
    <mergeCell ref="AN61:AO61"/>
    <mergeCell ref="AN62:AO62"/>
    <mergeCell ref="AN63:AO63"/>
    <mergeCell ref="AK58:AL58"/>
    <mergeCell ref="AH59:AI59"/>
    <mergeCell ref="AF62:AG62"/>
    <mergeCell ref="AF58:AG58"/>
    <mergeCell ref="AN36:AO36"/>
    <mergeCell ref="AK63:AL63"/>
    <mergeCell ref="AK43:AL43"/>
    <mergeCell ref="AK44:AL44"/>
    <mergeCell ref="AK52:AL52"/>
    <mergeCell ref="AK56:AL56"/>
    <mergeCell ref="AK51:AL51"/>
    <mergeCell ref="AK62:AL62"/>
    <mergeCell ref="AK53:AL53"/>
    <mergeCell ref="AK54:AL54"/>
    <mergeCell ref="AK59:AL59"/>
    <mergeCell ref="AK60:AL60"/>
    <mergeCell ref="AK61:AL61"/>
    <mergeCell ref="AN47:AO47"/>
    <mergeCell ref="AN48:AO48"/>
    <mergeCell ref="AN49:AO49"/>
    <mergeCell ref="AN50:AO50"/>
    <mergeCell ref="AN51:AO51"/>
    <mergeCell ref="AN52:AO52"/>
    <mergeCell ref="AN53:AO53"/>
    <mergeCell ref="AN54:AO54"/>
    <mergeCell ref="AK48:AL48"/>
    <mergeCell ref="AK49:AL49"/>
    <mergeCell ref="AK50:AL50"/>
    <mergeCell ref="AN35:AO35"/>
    <mergeCell ref="AK28:AL28"/>
    <mergeCell ref="AH44:AI44"/>
    <mergeCell ref="AH45:AI45"/>
    <mergeCell ref="AH37:AI37"/>
    <mergeCell ref="AK37:AL37"/>
    <mergeCell ref="AH39:AI39"/>
    <mergeCell ref="AH40:AI40"/>
    <mergeCell ref="AH41:AI41"/>
    <mergeCell ref="AH42:AI42"/>
    <mergeCell ref="AK30:AL30"/>
    <mergeCell ref="AK31:AL31"/>
    <mergeCell ref="AH29:AI29"/>
    <mergeCell ref="AH30:AI30"/>
    <mergeCell ref="AK33:AL33"/>
    <mergeCell ref="AK36:AL36"/>
    <mergeCell ref="AK39:AL39"/>
    <mergeCell ref="AK40:AL40"/>
    <mergeCell ref="AK41:AL41"/>
    <mergeCell ref="AK42:AL42"/>
    <mergeCell ref="AK45:AL45"/>
    <mergeCell ref="AK35:AL35"/>
    <mergeCell ref="AK38:AL38"/>
    <mergeCell ref="AH36:AI36"/>
    <mergeCell ref="AH47:AI47"/>
    <mergeCell ref="AH48:AI48"/>
    <mergeCell ref="AH49:AI49"/>
    <mergeCell ref="AH50:AI50"/>
    <mergeCell ref="AH46:AI46"/>
    <mergeCell ref="AK27:AL27"/>
    <mergeCell ref="AH27:AI27"/>
    <mergeCell ref="AH43:AI43"/>
    <mergeCell ref="AH28:AI28"/>
    <mergeCell ref="AK32:AL32"/>
    <mergeCell ref="AH34:AI34"/>
    <mergeCell ref="AK34:AL34"/>
    <mergeCell ref="T74:U74"/>
    <mergeCell ref="T80:U80"/>
    <mergeCell ref="N83:O83"/>
    <mergeCell ref="T83:U83"/>
    <mergeCell ref="Z83:AA83"/>
    <mergeCell ref="AC83:AD83"/>
    <mergeCell ref="AF83:AG83"/>
    <mergeCell ref="Z80:AA80"/>
    <mergeCell ref="AC80:AD80"/>
    <mergeCell ref="AC81:AD81"/>
    <mergeCell ref="AF81:AG81"/>
    <mergeCell ref="AF80:AG80"/>
    <mergeCell ref="AC76:AD76"/>
    <mergeCell ref="AF76:AG76"/>
    <mergeCell ref="C85:H85"/>
    <mergeCell ref="I85:M85"/>
    <mergeCell ref="N85:O85"/>
    <mergeCell ref="Q85:R85"/>
    <mergeCell ref="T85:U85"/>
    <mergeCell ref="W85:X85"/>
    <mergeCell ref="AC84:AD84"/>
    <mergeCell ref="AF84:AG84"/>
    <mergeCell ref="AC72:AD72"/>
    <mergeCell ref="Z73:AA73"/>
    <mergeCell ref="T73:U73"/>
    <mergeCell ref="W73:X73"/>
    <mergeCell ref="AC73:AD73"/>
    <mergeCell ref="Q83:R83"/>
    <mergeCell ref="C80:H80"/>
    <mergeCell ref="I80:M80"/>
    <mergeCell ref="N80:O80"/>
    <mergeCell ref="Q80:R80"/>
    <mergeCell ref="W79:X79"/>
    <mergeCell ref="Z75:AA75"/>
    <mergeCell ref="AC75:AD75"/>
    <mergeCell ref="AF75:AG75"/>
    <mergeCell ref="N75:O75"/>
    <mergeCell ref="C82:H82"/>
    <mergeCell ref="I82:M82"/>
    <mergeCell ref="N82:O82"/>
    <mergeCell ref="Q82:R82"/>
    <mergeCell ref="T82:U82"/>
    <mergeCell ref="W82:X82"/>
    <mergeCell ref="Z82:AA82"/>
    <mergeCell ref="I65:M65"/>
    <mergeCell ref="N65:O65"/>
    <mergeCell ref="Q65:R65"/>
    <mergeCell ref="Z81:AA81"/>
    <mergeCell ref="W80:X80"/>
    <mergeCell ref="I77:M77"/>
    <mergeCell ref="Q66:R66"/>
    <mergeCell ref="T66:U66"/>
    <mergeCell ref="T65:U65"/>
    <mergeCell ref="Q75:R75"/>
    <mergeCell ref="T75:U75"/>
    <mergeCell ref="T78:U78"/>
    <mergeCell ref="N72:O72"/>
    <mergeCell ref="Q72:R72"/>
    <mergeCell ref="T72:U72"/>
    <mergeCell ref="W72:X72"/>
    <mergeCell ref="Z72:AA72"/>
    <mergeCell ref="N77:O77"/>
    <mergeCell ref="C71:H71"/>
    <mergeCell ref="I71:M71"/>
    <mergeCell ref="N71:O71"/>
    <mergeCell ref="C73:H73"/>
    <mergeCell ref="I73:M73"/>
    <mergeCell ref="N73:O73"/>
    <mergeCell ref="Q73:R73"/>
    <mergeCell ref="C75:H75"/>
    <mergeCell ref="I75:M75"/>
    <mergeCell ref="C74:H74"/>
    <mergeCell ref="I74:M74"/>
    <mergeCell ref="N74:O74"/>
    <mergeCell ref="Q74:R74"/>
    <mergeCell ref="AF55:AG55"/>
    <mergeCell ref="AF56:AG56"/>
    <mergeCell ref="Z64:AA64"/>
    <mergeCell ref="AC64:AD64"/>
    <mergeCell ref="I63:M63"/>
    <mergeCell ref="N63:O63"/>
    <mergeCell ref="Q63:R63"/>
    <mergeCell ref="T63:U63"/>
    <mergeCell ref="W63:X63"/>
    <mergeCell ref="Z63:AA63"/>
    <mergeCell ref="AC63:AD63"/>
    <mergeCell ref="T64:U64"/>
    <mergeCell ref="T61:U61"/>
    <mergeCell ref="AC59:AD59"/>
    <mergeCell ref="Z60:AA60"/>
    <mergeCell ref="AC60:AD60"/>
    <mergeCell ref="AC61:AD61"/>
    <mergeCell ref="I57:M57"/>
    <mergeCell ref="AC62:AD62"/>
    <mergeCell ref="N57:O57"/>
    <mergeCell ref="Q57:R57"/>
    <mergeCell ref="N62:O62"/>
    <mergeCell ref="Q62:R62"/>
    <mergeCell ref="AF59:AG59"/>
    <mergeCell ref="AF40:AG40"/>
    <mergeCell ref="AC42:AD42"/>
    <mergeCell ref="AF50:AG50"/>
    <mergeCell ref="AF51:AG51"/>
    <mergeCell ref="AF52:AG52"/>
    <mergeCell ref="AF53:AG53"/>
    <mergeCell ref="AF54:AG54"/>
    <mergeCell ref="AF45:AG45"/>
    <mergeCell ref="AF46:AG46"/>
    <mergeCell ref="T62:U62"/>
    <mergeCell ref="W62:X62"/>
    <mergeCell ref="Q61:R61"/>
    <mergeCell ref="T50:U50"/>
    <mergeCell ref="AF57:AG57"/>
    <mergeCell ref="AC58:AD58"/>
    <mergeCell ref="Z57:AA57"/>
    <mergeCell ref="AC57:AD57"/>
    <mergeCell ref="AF42:AG42"/>
    <mergeCell ref="AF43:AG43"/>
    <mergeCell ref="AF49:AG49"/>
    <mergeCell ref="Z48:AA48"/>
    <mergeCell ref="AC48:AD48"/>
    <mergeCell ref="AF48:AG48"/>
    <mergeCell ref="Z49:AA49"/>
    <mergeCell ref="AC51:AD51"/>
    <mergeCell ref="Z53:AA53"/>
    <mergeCell ref="AC52:AD52"/>
    <mergeCell ref="Z54:AA54"/>
    <mergeCell ref="AC54:AD54"/>
    <mergeCell ref="AC43:AD43"/>
    <mergeCell ref="AC49:AD49"/>
    <mergeCell ref="AF47:AG47"/>
    <mergeCell ref="Z47:AA47"/>
    <mergeCell ref="Z21:AA21"/>
    <mergeCell ref="AC35:AD35"/>
    <mergeCell ref="AC38:AD38"/>
    <mergeCell ref="AC53:AD53"/>
    <mergeCell ref="AC56:AD56"/>
    <mergeCell ref="Z52:AA52"/>
    <mergeCell ref="Z62:AA62"/>
    <mergeCell ref="Z39:AA39"/>
    <mergeCell ref="Z40:AA40"/>
    <mergeCell ref="AC40:AD40"/>
    <mergeCell ref="Z41:AA41"/>
    <mergeCell ref="AC23:AD23"/>
    <mergeCell ref="AC26:AD26"/>
    <mergeCell ref="Z36:AA36"/>
    <mergeCell ref="AC36:AD36"/>
    <mergeCell ref="Z25:AA25"/>
    <mergeCell ref="Z58:AA58"/>
    <mergeCell ref="AC47:AD47"/>
    <mergeCell ref="Z55:AA55"/>
    <mergeCell ref="AC55:AD55"/>
    <mergeCell ref="Z56:AA56"/>
    <mergeCell ref="Z50:AA50"/>
    <mergeCell ref="AC50:AD50"/>
    <mergeCell ref="AF39:AG39"/>
    <mergeCell ref="AF22:AG22"/>
    <mergeCell ref="AF24:AG24"/>
    <mergeCell ref="AC41:AD41"/>
    <mergeCell ref="AF41:AG41"/>
    <mergeCell ref="Z19:AA19"/>
    <mergeCell ref="W19:X19"/>
    <mergeCell ref="Q19:R19"/>
    <mergeCell ref="T19:U19"/>
    <mergeCell ref="W20:X20"/>
    <mergeCell ref="AF21:AG21"/>
    <mergeCell ref="AC21:AD21"/>
    <mergeCell ref="Z30:AA30"/>
    <mergeCell ref="AC30:AD30"/>
    <mergeCell ref="Z27:AA27"/>
    <mergeCell ref="AC27:AD27"/>
    <mergeCell ref="AF27:AG27"/>
    <mergeCell ref="Z28:AA28"/>
    <mergeCell ref="AF29:AG29"/>
    <mergeCell ref="AF30:AG30"/>
    <mergeCell ref="AC28:AD28"/>
    <mergeCell ref="AF28:AG28"/>
    <mergeCell ref="Z29:AA29"/>
    <mergeCell ref="AC29:AD29"/>
    <mergeCell ref="W21:X21"/>
    <mergeCell ref="T23:U23"/>
    <mergeCell ref="W23:X23"/>
    <mergeCell ref="W32:X32"/>
    <mergeCell ref="T56:U56"/>
    <mergeCell ref="W56:X56"/>
    <mergeCell ref="N55:O55"/>
    <mergeCell ref="Q55:R55"/>
    <mergeCell ref="T55:U55"/>
    <mergeCell ref="N54:O54"/>
    <mergeCell ref="N47:O47"/>
    <mergeCell ref="Q47:R47"/>
    <mergeCell ref="T47:U47"/>
    <mergeCell ref="T27:U27"/>
    <mergeCell ref="W27:X27"/>
    <mergeCell ref="N49:O49"/>
    <mergeCell ref="Q49:R49"/>
    <mergeCell ref="T49:U49"/>
    <mergeCell ref="W49:X49"/>
    <mergeCell ref="N48:O48"/>
    <mergeCell ref="W25:X25"/>
    <mergeCell ref="W30:X30"/>
    <mergeCell ref="W55:X55"/>
    <mergeCell ref="N20:O20"/>
    <mergeCell ref="Q20:R20"/>
    <mergeCell ref="T20:U20"/>
    <mergeCell ref="AC39:AD39"/>
    <mergeCell ref="Z22:AA22"/>
    <mergeCell ref="AC22:AD22"/>
    <mergeCell ref="Z23:AA23"/>
    <mergeCell ref="Z26:AA26"/>
    <mergeCell ref="N17:O17"/>
    <mergeCell ref="N19:O19"/>
    <mergeCell ref="W24:X24"/>
    <mergeCell ref="T22:U22"/>
    <mergeCell ref="W22:X22"/>
    <mergeCell ref="W26:X26"/>
    <mergeCell ref="N28:O28"/>
    <mergeCell ref="Q28:R28"/>
    <mergeCell ref="T28:U28"/>
    <mergeCell ref="W28:X28"/>
    <mergeCell ref="N29:O29"/>
    <mergeCell ref="Q29:R29"/>
    <mergeCell ref="T29:U29"/>
    <mergeCell ref="W29:X29"/>
    <mergeCell ref="N27:O27"/>
    <mergeCell ref="Q27:R27"/>
    <mergeCell ref="I18:M18"/>
    <mergeCell ref="N18:O18"/>
    <mergeCell ref="Q18:R18"/>
    <mergeCell ref="T18:U18"/>
    <mergeCell ref="W18:X18"/>
    <mergeCell ref="Z18:AA18"/>
    <mergeCell ref="I53:M53"/>
    <mergeCell ref="I39:M39"/>
    <mergeCell ref="N26:O26"/>
    <mergeCell ref="Q26:R26"/>
    <mergeCell ref="T26:U26"/>
    <mergeCell ref="I43:M43"/>
    <mergeCell ref="N43:O43"/>
    <mergeCell ref="Q43:R43"/>
    <mergeCell ref="T43:U43"/>
    <mergeCell ref="W43:X43"/>
    <mergeCell ref="Z43:AA43"/>
    <mergeCell ref="Z42:AA42"/>
    <mergeCell ref="W47:X47"/>
    <mergeCell ref="N21:O21"/>
    <mergeCell ref="Q21:R21"/>
    <mergeCell ref="T21:U21"/>
    <mergeCell ref="Q24:R24"/>
    <mergeCell ref="T24:U24"/>
    <mergeCell ref="C23:H23"/>
    <mergeCell ref="I23:M23"/>
    <mergeCell ref="N23:O23"/>
    <mergeCell ref="Q23:R23"/>
    <mergeCell ref="C21:H21"/>
    <mergeCell ref="I21:M21"/>
    <mergeCell ref="C22:H22"/>
    <mergeCell ref="I22:M22"/>
    <mergeCell ref="N22:O22"/>
    <mergeCell ref="Q22:R22"/>
    <mergeCell ref="C20:H20"/>
    <mergeCell ref="C48:H48"/>
    <mergeCell ref="I48:M48"/>
    <mergeCell ref="T39:U39"/>
    <mergeCell ref="W39:X39"/>
    <mergeCell ref="N39:O39"/>
    <mergeCell ref="Q39:R39"/>
    <mergeCell ref="C40:H40"/>
    <mergeCell ref="I40:M40"/>
    <mergeCell ref="N40:O40"/>
    <mergeCell ref="Q40:R40"/>
    <mergeCell ref="T40:U40"/>
    <mergeCell ref="W40:X40"/>
    <mergeCell ref="N41:O41"/>
    <mergeCell ref="Q41:R41"/>
    <mergeCell ref="T41:U41"/>
    <mergeCell ref="W41:X41"/>
    <mergeCell ref="C42:H42"/>
    <mergeCell ref="I42:M42"/>
    <mergeCell ref="N42:O42"/>
    <mergeCell ref="Q42:R42"/>
    <mergeCell ref="T42:U42"/>
    <mergeCell ref="W42:X42"/>
    <mergeCell ref="C43:H43"/>
    <mergeCell ref="C39:H39"/>
    <mergeCell ref="C52:H52"/>
    <mergeCell ref="I52:M52"/>
    <mergeCell ref="C18:H18"/>
    <mergeCell ref="C19:H19"/>
    <mergeCell ref="I55:M55"/>
    <mergeCell ref="I17:M17"/>
    <mergeCell ref="C30:H30"/>
    <mergeCell ref="I30:M30"/>
    <mergeCell ref="C32:H32"/>
    <mergeCell ref="C51:H51"/>
    <mergeCell ref="I51:M51"/>
    <mergeCell ref="C41:H41"/>
    <mergeCell ref="I20:M20"/>
    <mergeCell ref="C49:H49"/>
    <mergeCell ref="I49:M49"/>
    <mergeCell ref="I19:M19"/>
    <mergeCell ref="C25:H25"/>
    <mergeCell ref="I25:M25"/>
    <mergeCell ref="C26:H26"/>
    <mergeCell ref="I26:M26"/>
    <mergeCell ref="C29:H29"/>
    <mergeCell ref="I29:M29"/>
    <mergeCell ref="I41:M41"/>
    <mergeCell ref="C47:H47"/>
    <mergeCell ref="C50:H50"/>
    <mergeCell ref="I50:M50"/>
    <mergeCell ref="N50:O50"/>
    <mergeCell ref="Q50:R50"/>
    <mergeCell ref="C54:H54"/>
    <mergeCell ref="T54:U54"/>
    <mergeCell ref="W54:X54"/>
    <mergeCell ref="Q53:R53"/>
    <mergeCell ref="N52:O52"/>
    <mergeCell ref="W51:X51"/>
    <mergeCell ref="Q54:R54"/>
    <mergeCell ref="W50:X50"/>
    <mergeCell ref="I54:M54"/>
    <mergeCell ref="N53:O53"/>
    <mergeCell ref="T53:U53"/>
    <mergeCell ref="W53:X53"/>
    <mergeCell ref="N51:O51"/>
    <mergeCell ref="Q51:R51"/>
    <mergeCell ref="T51:U51"/>
    <mergeCell ref="Q52:R52"/>
    <mergeCell ref="T52:U52"/>
    <mergeCell ref="W52:X52"/>
    <mergeCell ref="C53:H53"/>
    <mergeCell ref="C56:H56"/>
    <mergeCell ref="I56:M56"/>
    <mergeCell ref="N56:O56"/>
    <mergeCell ref="Q56:R56"/>
    <mergeCell ref="T57:U57"/>
    <mergeCell ref="T59:U59"/>
    <mergeCell ref="C55:H55"/>
    <mergeCell ref="W61:X61"/>
    <mergeCell ref="Z61:AA61"/>
    <mergeCell ref="T60:U60"/>
    <mergeCell ref="W60:X60"/>
    <mergeCell ref="C58:H58"/>
    <mergeCell ref="I58:M58"/>
    <mergeCell ref="N58:O58"/>
    <mergeCell ref="Q58:R58"/>
    <mergeCell ref="T58:U58"/>
    <mergeCell ref="W58:X58"/>
    <mergeCell ref="W59:X59"/>
    <mergeCell ref="Z59:AA59"/>
    <mergeCell ref="C61:H61"/>
    <mergeCell ref="I61:M61"/>
    <mergeCell ref="N61:O61"/>
    <mergeCell ref="C57:H57"/>
    <mergeCell ref="W57:X57"/>
    <mergeCell ref="Z89:AA90"/>
    <mergeCell ref="AC89:AD90"/>
    <mergeCell ref="I91:M91"/>
    <mergeCell ref="T76:U76"/>
    <mergeCell ref="W76:X76"/>
    <mergeCell ref="C81:H81"/>
    <mergeCell ref="I81:M81"/>
    <mergeCell ref="N81:O81"/>
    <mergeCell ref="Q81:R81"/>
    <mergeCell ref="C76:H76"/>
    <mergeCell ref="I76:M76"/>
    <mergeCell ref="N76:O76"/>
    <mergeCell ref="Q76:R76"/>
    <mergeCell ref="Q77:R77"/>
    <mergeCell ref="T77:U77"/>
    <mergeCell ref="W77:X77"/>
    <mergeCell ref="C79:H79"/>
    <mergeCell ref="I79:M79"/>
    <mergeCell ref="N79:O79"/>
    <mergeCell ref="Q79:R79"/>
    <mergeCell ref="T79:U79"/>
    <mergeCell ref="N78:O78"/>
    <mergeCell ref="Q78:R78"/>
    <mergeCell ref="C78:H78"/>
    <mergeCell ref="C59:H59"/>
    <mergeCell ref="I59:M59"/>
    <mergeCell ref="N59:O59"/>
    <mergeCell ref="Q59:R59"/>
    <mergeCell ref="C64:H64"/>
    <mergeCell ref="I64:M64"/>
    <mergeCell ref="N64:O64"/>
    <mergeCell ref="Q64:R64"/>
    <mergeCell ref="C72:H72"/>
    <mergeCell ref="I72:M72"/>
    <mergeCell ref="I67:M67"/>
    <mergeCell ref="N67:O67"/>
    <mergeCell ref="Q67:R67"/>
    <mergeCell ref="Q71:R71"/>
    <mergeCell ref="C60:H60"/>
    <mergeCell ref="I60:M60"/>
    <mergeCell ref="N60:O60"/>
    <mergeCell ref="C66:H66"/>
    <mergeCell ref="I66:M66"/>
    <mergeCell ref="N66:O66"/>
    <mergeCell ref="Q60:R60"/>
    <mergeCell ref="C63:H63"/>
    <mergeCell ref="C62:H62"/>
    <mergeCell ref="I62:M62"/>
    <mergeCell ref="T71:U71"/>
    <mergeCell ref="T67:U67"/>
    <mergeCell ref="C88:H91"/>
    <mergeCell ref="N88:S91"/>
    <mergeCell ref="T88:Y91"/>
    <mergeCell ref="I89:M90"/>
    <mergeCell ref="C77:H77"/>
    <mergeCell ref="T81:U81"/>
    <mergeCell ref="W81:X81"/>
    <mergeCell ref="W75:X75"/>
    <mergeCell ref="I78:M78"/>
    <mergeCell ref="W78:X78"/>
    <mergeCell ref="C84:H84"/>
    <mergeCell ref="I84:M84"/>
    <mergeCell ref="N84:O84"/>
    <mergeCell ref="Q84:R84"/>
    <mergeCell ref="T84:U84"/>
    <mergeCell ref="W84:X84"/>
    <mergeCell ref="C86:H86"/>
    <mergeCell ref="I86:M86"/>
    <mergeCell ref="N86:O86"/>
    <mergeCell ref="Q86:R86"/>
    <mergeCell ref="C87:H87"/>
    <mergeCell ref="I87:M87"/>
    <mergeCell ref="N87:O87"/>
    <mergeCell ref="Q87:R87"/>
    <mergeCell ref="AF10:AG10"/>
    <mergeCell ref="Z3:AE4"/>
    <mergeCell ref="AF3:AG4"/>
    <mergeCell ref="C9:H9"/>
    <mergeCell ref="I9:M9"/>
    <mergeCell ref="Z8:AA8"/>
    <mergeCell ref="I8:M8"/>
    <mergeCell ref="N8:O8"/>
    <mergeCell ref="Q8:R8"/>
    <mergeCell ref="T8:U8"/>
    <mergeCell ref="C5:H7"/>
    <mergeCell ref="I5:M7"/>
    <mergeCell ref="N5:S7"/>
    <mergeCell ref="B3:G4"/>
    <mergeCell ref="AC8:AD8"/>
    <mergeCell ref="W10:X10"/>
    <mergeCell ref="Z10:AA10"/>
    <mergeCell ref="AC10:AD10"/>
    <mergeCell ref="Z5:AE7"/>
    <mergeCell ref="C8:H8"/>
    <mergeCell ref="W8:X8"/>
    <mergeCell ref="H3:M4"/>
    <mergeCell ref="N3:S4"/>
    <mergeCell ref="AH3:AI4"/>
    <mergeCell ref="AJ3:AJ4"/>
    <mergeCell ref="AP3:AP4"/>
    <mergeCell ref="AM3:AM4"/>
    <mergeCell ref="AF8:AG8"/>
    <mergeCell ref="W9:X9"/>
    <mergeCell ref="Z9:AA9"/>
    <mergeCell ref="AC9:AD9"/>
    <mergeCell ref="AF9:AG9"/>
    <mergeCell ref="AK8:AL8"/>
    <mergeCell ref="AK9:AL9"/>
    <mergeCell ref="AF5:AP7"/>
    <mergeCell ref="AK3:AL4"/>
    <mergeCell ref="AN3:AO4"/>
    <mergeCell ref="AN8:AO8"/>
    <mergeCell ref="AN9:AO9"/>
    <mergeCell ref="Z12:AA12"/>
    <mergeCell ref="AF11:AG11"/>
    <mergeCell ref="C12:H12"/>
    <mergeCell ref="AK10:AL10"/>
    <mergeCell ref="C10:H10"/>
    <mergeCell ref="I10:M10"/>
    <mergeCell ref="N10:O10"/>
    <mergeCell ref="Q10:R10"/>
    <mergeCell ref="N9:O9"/>
    <mergeCell ref="Q9:R9"/>
    <mergeCell ref="C11:H11"/>
    <mergeCell ref="I11:M11"/>
    <mergeCell ref="N11:O11"/>
    <mergeCell ref="Q11:R11"/>
    <mergeCell ref="T11:U11"/>
    <mergeCell ref="W11:X11"/>
    <mergeCell ref="I12:M12"/>
    <mergeCell ref="N12:O12"/>
    <mergeCell ref="Q12:R12"/>
    <mergeCell ref="T12:U12"/>
    <mergeCell ref="W12:X12"/>
    <mergeCell ref="T9:U9"/>
    <mergeCell ref="Z11:AA11"/>
    <mergeCell ref="AC11:AD11"/>
    <mergeCell ref="C13:H13"/>
    <mergeCell ref="I13:M13"/>
    <mergeCell ref="N13:O13"/>
    <mergeCell ref="Q13:R13"/>
    <mergeCell ref="I15:M15"/>
    <mergeCell ref="Q17:R17"/>
    <mergeCell ref="I16:M16"/>
    <mergeCell ref="N16:O16"/>
    <mergeCell ref="Q16:R16"/>
    <mergeCell ref="N15:O15"/>
    <mergeCell ref="Q15:R15"/>
    <mergeCell ref="T15:U15"/>
    <mergeCell ref="W15:X15"/>
    <mergeCell ref="AF15:AG15"/>
    <mergeCell ref="AF17:AG17"/>
    <mergeCell ref="C14:H14"/>
    <mergeCell ref="I14:M14"/>
    <mergeCell ref="N14:O14"/>
    <mergeCell ref="Q14:R14"/>
    <mergeCell ref="C15:H15"/>
    <mergeCell ref="C16:H16"/>
    <mergeCell ref="C17:H17"/>
    <mergeCell ref="C44:H44"/>
    <mergeCell ref="I44:M44"/>
    <mergeCell ref="N44:O44"/>
    <mergeCell ref="Q44:R44"/>
    <mergeCell ref="T44:U44"/>
    <mergeCell ref="W44:X44"/>
    <mergeCell ref="Z44:AA44"/>
    <mergeCell ref="AC44:AD44"/>
    <mergeCell ref="AF44:AG44"/>
    <mergeCell ref="C45:H45"/>
    <mergeCell ref="I45:M45"/>
    <mergeCell ref="N45:O45"/>
    <mergeCell ref="Q45:R45"/>
    <mergeCell ref="T45:U45"/>
    <mergeCell ref="W45:X45"/>
    <mergeCell ref="Z45:AA45"/>
    <mergeCell ref="AC45:AD45"/>
    <mergeCell ref="C46:H46"/>
    <mergeCell ref="I46:M46"/>
    <mergeCell ref="N46:O46"/>
    <mergeCell ref="Q46:R46"/>
    <mergeCell ref="T46:U46"/>
    <mergeCell ref="W46:X46"/>
    <mergeCell ref="Z46:AA46"/>
    <mergeCell ref="AC46:AD46"/>
    <mergeCell ref="T13:U13"/>
    <mergeCell ref="Z20:AA20"/>
    <mergeCell ref="AC20:AD20"/>
    <mergeCell ref="AF20:AG20"/>
    <mergeCell ref="AF13:AG13"/>
    <mergeCell ref="Z14:AA14"/>
    <mergeCell ref="AC14:AD14"/>
    <mergeCell ref="AC13:AD13"/>
    <mergeCell ref="Z15:AA15"/>
    <mergeCell ref="AC16:AD16"/>
    <mergeCell ref="AF16:AG16"/>
    <mergeCell ref="W13:X13"/>
    <mergeCell ref="Z13:AA13"/>
    <mergeCell ref="T14:U14"/>
    <mergeCell ref="W14:X14"/>
    <mergeCell ref="Z17:AA17"/>
    <mergeCell ref="AC17:AD17"/>
    <mergeCell ref="AC18:AD18"/>
    <mergeCell ref="T17:U17"/>
    <mergeCell ref="W17:X17"/>
    <mergeCell ref="AF18:AG18"/>
    <mergeCell ref="T16:U16"/>
    <mergeCell ref="W16:X16"/>
    <mergeCell ref="Z16:AA16"/>
    <mergeCell ref="AS5:AS7"/>
    <mergeCell ref="AT5:AT7"/>
    <mergeCell ref="AS3:AV4"/>
    <mergeCell ref="AU5:AV5"/>
    <mergeCell ref="AU6:AU7"/>
    <mergeCell ref="AV6:AV7"/>
    <mergeCell ref="AW6:AW7"/>
    <mergeCell ref="AQ3:AR4"/>
    <mergeCell ref="AQ5:AQ7"/>
    <mergeCell ref="AR5:AR7"/>
  </mergeCells>
  <phoneticPr fontId="4"/>
  <dataValidations count="5">
    <dataValidation type="list" allowBlank="1" showInputMessage="1" showErrorMessage="1" sqref="I8:M87" xr:uid="{00000000-0002-0000-0100-000003000000}">
      <formula1>$C$109:$C$125</formula1>
    </dataValidation>
    <dataValidation allowBlank="1" showInputMessage="1" showErrorMessage="1" prompt="利用定員を入力すること。_x000a_（注1）分園がある場合、本園+分園の合計定員を記入すること。_x000a_（注2）認定こども園の場合、1号+2・3号の合計定員を記入すること。" sqref="H3" xr:uid="{00000000-0002-0000-0100-000002000000}"/>
    <dataValidation type="list" allowBlank="1" showInputMessage="1" showErrorMessage="1" sqref="AH78:AH87 AF8:AG87" xr:uid="{00000000-0002-0000-0100-000001000000}">
      <formula1>$B$126:$B$128</formula1>
    </dataValidation>
    <dataValidation type="list" allowBlank="1" showInputMessage="1" showErrorMessage="1" sqref="AF3" xr:uid="{00000000-0002-0000-0100-000000000000}">
      <formula1>"昭和,平成,令和"</formula1>
    </dataValidation>
    <dataValidation type="list" allowBlank="1" showInputMessage="1" showErrorMessage="1" sqref="AQ8:AR77" xr:uid="{F644579B-B62C-4429-BD24-8245206F026E}">
      <formula1>$B$140:$B$141</formula1>
    </dataValidation>
  </dataValidations>
  <printOptions horizontalCentered="1"/>
  <pageMargins left="0.70866141732283472" right="0.51181102362204722" top="0.35433070866141736" bottom="0.35433070866141736" header="0.31496062992125984" footer="0.31496062992125984"/>
  <pageSetup paperSize="9" scale="61"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2D033-7CA3-44D5-97D5-5167806FD9BD}">
  <sheetPr>
    <pageSetUpPr fitToPage="1"/>
  </sheetPr>
  <dimension ref="A1:E29"/>
  <sheetViews>
    <sheetView showGridLines="0" view="pageBreakPreview" zoomScale="85" zoomScaleNormal="85" zoomScaleSheetLayoutView="85" workbookViewId="0">
      <selection activeCell="D17" sqref="D17"/>
    </sheetView>
  </sheetViews>
  <sheetFormatPr defaultColWidth="9" defaultRowHeight="13.5"/>
  <cols>
    <col min="1" max="2" width="3.375" style="434" customWidth="1"/>
    <col min="3" max="3" width="16.875" style="434" bestFit="1" customWidth="1"/>
    <col min="4" max="4" width="21" style="434" customWidth="1"/>
    <col min="5" max="16384" width="9" style="434"/>
  </cols>
  <sheetData>
    <row r="1" spans="1:5">
      <c r="A1" s="434" t="s">
        <v>436</v>
      </c>
    </row>
    <row r="2" spans="1:5">
      <c r="B2" s="440" t="s">
        <v>446</v>
      </c>
    </row>
    <row r="4" spans="1:5" s="435" customFormat="1" ht="24.75" customHeight="1">
      <c r="B4" s="435" t="s">
        <v>438</v>
      </c>
    </row>
    <row r="5" spans="1:5" s="435" customFormat="1" ht="24.75" customHeight="1">
      <c r="C5" s="436" t="s">
        <v>437</v>
      </c>
      <c r="D5" s="437" t="e">
        <f>加算率a</f>
        <v>#N/A</v>
      </c>
    </row>
    <row r="6" spans="1:5" s="435" customFormat="1" ht="24.75" customHeight="1">
      <c r="C6" s="436" t="s">
        <v>439</v>
      </c>
      <c r="D6" s="437" t="e">
        <f>加算率b</f>
        <v>#N/A</v>
      </c>
    </row>
    <row r="8" spans="1:5" s="435" customFormat="1" ht="24.75" customHeight="1">
      <c r="B8" s="435" t="s">
        <v>441</v>
      </c>
    </row>
    <row r="9" spans="1:5" s="435" customFormat="1" ht="24.75" customHeight="1">
      <c r="C9" s="436" t="s">
        <v>440</v>
      </c>
      <c r="D9" s="438" t="e">
        <f>'2_区分12加算額計算表'!$F$61</f>
        <v>#N/A</v>
      </c>
    </row>
    <row r="10" spans="1:5" s="435" customFormat="1" ht="24.75" customHeight="1">
      <c r="C10" s="436" t="s">
        <v>150</v>
      </c>
      <c r="D10" s="438" t="e">
        <f>ROUNDDOWN(D9*実施月数,-3)</f>
        <v>#N/A</v>
      </c>
      <c r="E10" s="443" t="s">
        <v>765</v>
      </c>
    </row>
    <row r="12" spans="1:5" s="435" customFormat="1" ht="24.75" customHeight="1">
      <c r="B12" s="435" t="s">
        <v>442</v>
      </c>
    </row>
    <row r="13" spans="1:5" s="435" customFormat="1" ht="24.75" customHeight="1">
      <c r="C13" s="436" t="s">
        <v>440</v>
      </c>
      <c r="D13" s="438" t="e">
        <f>'2_区分12加算額計算表'!$F$62</f>
        <v>#N/A</v>
      </c>
    </row>
    <row r="14" spans="1:5" s="435" customFormat="1" ht="24.75" customHeight="1">
      <c r="C14" s="436" t="s">
        <v>150</v>
      </c>
      <c r="D14" s="438" t="e">
        <f>ROUNDDOWN(D13*実施月数,-3)</f>
        <v>#N/A</v>
      </c>
      <c r="E14" s="443" t="s">
        <v>765</v>
      </c>
    </row>
    <row r="16" spans="1:5" s="435" customFormat="1" ht="24.75" customHeight="1">
      <c r="B16" s="435" t="s">
        <v>443</v>
      </c>
    </row>
    <row r="17" spans="1:5" s="435" customFormat="1" ht="24.75" customHeight="1">
      <c r="C17" s="436" t="s">
        <v>444</v>
      </c>
      <c r="D17" s="439">
        <f>IF('3_区分3計算表'!$I$54="","実人数を入力してください",MIN('3_区分3計算表'!$H$54:$I$54))</f>
        <v>0</v>
      </c>
    </row>
    <row r="18" spans="1:5" s="435" customFormat="1" ht="24.75" customHeight="1">
      <c r="C18" s="436" t="s">
        <v>445</v>
      </c>
      <c r="D18" s="439">
        <f>IF('3_区分3計算表'!$I$55="","実人数を入力してください",MIN('3_区分3計算表'!$H$55:$I$55))</f>
        <v>0</v>
      </c>
    </row>
    <row r="19" spans="1:5" s="435" customFormat="1" ht="24.75" customHeight="1">
      <c r="C19" s="436" t="s">
        <v>440</v>
      </c>
      <c r="D19" s="438">
        <f>'3_区分3計算表'!H60</f>
        <v>0</v>
      </c>
    </row>
    <row r="20" spans="1:5" s="435" customFormat="1" ht="24.75" customHeight="1">
      <c r="C20" s="436" t="s">
        <v>150</v>
      </c>
      <c r="D20" s="438">
        <f>ROUNDDOWN(D19*実施月数,-3)</f>
        <v>0</v>
      </c>
      <c r="E20" s="443" t="s">
        <v>766</v>
      </c>
    </row>
    <row r="22" spans="1:5">
      <c r="A22" s="440" t="str">
        <f>IF('1-1_児童数計算表'!$M$3="","・施設・事業所名がブランクになっています。（児童数計算表）","")</f>
        <v/>
      </c>
    </row>
    <row r="23" spans="1:5">
      <c r="A23" s="440" t="str">
        <f>IF(OR('3_区分3計算表'!$I$54="",'3_区分3計算表'!$I$55=""),"・区分3計算表の加算算定対象人数の実人数にブランクがあります。","")</f>
        <v/>
      </c>
    </row>
    <row r="25" spans="1:5" ht="18.75">
      <c r="B25" s="824" t="s">
        <v>846</v>
      </c>
      <c r="C25" s="824"/>
      <c r="D25" s="824"/>
    </row>
    <row r="26" spans="1:5" ht="18.75">
      <c r="B26" s="824"/>
      <c r="C26" s="825" t="s">
        <v>847</v>
      </c>
      <c r="D26" s="826">
        <f>IF(SUM(処遇改善等加算に係る経験年数算定表!L103+処遇改善等加算に係る経験年数算定表!L106)&gt;0,SUM(処遇改善等加算に係る経験年数算定表!L103+処遇改善等加算に係る経験年数算定表!L106)-D17,0)</f>
        <v>0</v>
      </c>
    </row>
    <row r="27" spans="1:5" ht="18.75">
      <c r="B27" s="824"/>
      <c r="C27" s="827" t="s">
        <v>848</v>
      </c>
      <c r="D27" s="826">
        <f>処遇改善等加算に係る経験年数算定表!L106</f>
        <v>0</v>
      </c>
    </row>
    <row r="28" spans="1:5" ht="18.75">
      <c r="B28" s="824"/>
      <c r="C28" s="825" t="s">
        <v>440</v>
      </c>
      <c r="D28" s="828">
        <f>D26*40000</f>
        <v>0</v>
      </c>
    </row>
    <row r="29" spans="1:5" ht="18.75">
      <c r="B29" s="824"/>
      <c r="C29" s="825" t="s">
        <v>150</v>
      </c>
      <c r="D29" s="828">
        <f>ROUNDDOWN(D28*実施月数,-3)</f>
        <v>0</v>
      </c>
    </row>
  </sheetData>
  <phoneticPr fontId="4"/>
  <pageMargins left="0.7" right="0.7" top="0.75" bottom="0.75" header="0.3" footer="0.3"/>
  <pageSetup paperSize="9" scale="8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B5C50-8ACC-4CBA-BCBE-85DBA9C2B1A8}">
  <sheetPr>
    <pageSetUpPr fitToPage="1"/>
  </sheetPr>
  <dimension ref="B1:AQ54"/>
  <sheetViews>
    <sheetView showGridLines="0" view="pageBreakPreview" zoomScale="85" zoomScaleNormal="100" zoomScaleSheetLayoutView="85" workbookViewId="0">
      <selection activeCell="D53" sqref="D53"/>
    </sheetView>
  </sheetViews>
  <sheetFormatPr defaultColWidth="9" defaultRowHeight="18" customHeight="1"/>
  <cols>
    <col min="1" max="1" width="2" style="576" customWidth="1"/>
    <col min="2" max="2" width="2.5" style="576" customWidth="1"/>
    <col min="3" max="7" width="3" style="576" customWidth="1"/>
    <col min="8" max="21" width="3.625" style="576" customWidth="1"/>
    <col min="22" max="25" width="3" style="576" customWidth="1"/>
    <col min="26" max="26" width="3" style="577" customWidth="1"/>
    <col min="27" max="30" width="3" style="576" customWidth="1"/>
    <col min="31" max="33" width="3.375" style="576" customWidth="1"/>
    <col min="34" max="34" width="3.875" style="576" customWidth="1"/>
    <col min="35" max="52" width="3.375" style="576" customWidth="1"/>
    <col min="53" max="16384" width="9" style="576"/>
  </cols>
  <sheetData>
    <row r="1" spans="2:43" ht="18" customHeight="1">
      <c r="B1" s="575" t="s">
        <v>510</v>
      </c>
      <c r="AQ1" s="578" t="s">
        <v>509</v>
      </c>
    </row>
    <row r="2" spans="2:43" ht="18" customHeight="1">
      <c r="B2" s="1139" t="str">
        <f>$AQ$1&amp;AQ2&amp;"年度加算率等認定申請書（処遇改善等加算）"</f>
        <v>令和８年度加算率等認定申請書（処遇改善等加算）</v>
      </c>
      <c r="C2" s="1139"/>
      <c r="D2" s="1139"/>
      <c r="E2" s="1139"/>
      <c r="F2" s="1139"/>
      <c r="G2" s="1139"/>
      <c r="H2" s="1139"/>
      <c r="I2" s="1139"/>
      <c r="J2" s="1139"/>
      <c r="K2" s="1139"/>
      <c r="L2" s="1139"/>
      <c r="M2" s="1139"/>
      <c r="N2" s="1139"/>
      <c r="O2" s="1139"/>
      <c r="P2" s="1139"/>
      <c r="Q2" s="1139"/>
      <c r="R2" s="1139"/>
      <c r="S2" s="1139"/>
      <c r="T2" s="1139"/>
      <c r="U2" s="1139"/>
      <c r="V2" s="1139"/>
      <c r="W2" s="1139"/>
      <c r="X2" s="1139"/>
      <c r="Y2" s="1139"/>
      <c r="Z2" s="1139"/>
      <c r="AA2" s="1139"/>
      <c r="AB2" s="1139"/>
      <c r="AC2" s="1139"/>
      <c r="AD2" s="1139"/>
      <c r="AE2" s="1139"/>
      <c r="AF2" s="1139"/>
      <c r="AG2" s="1139"/>
      <c r="AQ2" s="579" t="s">
        <v>876</v>
      </c>
    </row>
    <row r="3" spans="2:43" ht="9.75" customHeight="1">
      <c r="C3" s="580"/>
      <c r="D3" s="580"/>
      <c r="E3" s="580"/>
      <c r="F3" s="580"/>
      <c r="G3" s="580"/>
      <c r="H3" s="580"/>
      <c r="I3" s="580"/>
      <c r="J3" s="580"/>
      <c r="K3" s="580"/>
      <c r="L3" s="580"/>
      <c r="M3" s="580"/>
      <c r="N3" s="580"/>
      <c r="O3" s="580"/>
      <c r="P3" s="580"/>
      <c r="Q3" s="580"/>
      <c r="R3" s="580"/>
      <c r="S3" s="580"/>
      <c r="T3" s="580"/>
      <c r="U3" s="580"/>
      <c r="V3" s="580"/>
      <c r="W3" s="580"/>
      <c r="X3" s="580"/>
      <c r="Y3" s="580"/>
      <c r="Z3" s="581"/>
      <c r="AA3" s="580"/>
      <c r="AB3" s="580"/>
      <c r="AC3" s="580"/>
      <c r="AD3" s="580"/>
      <c r="AE3" s="580"/>
      <c r="AF3" s="580"/>
      <c r="AG3" s="580"/>
    </row>
    <row r="4" spans="2:43" ht="18" customHeight="1">
      <c r="F4" s="582"/>
      <c r="G4" s="582"/>
      <c r="N4" s="582"/>
      <c r="O4" s="582"/>
    </row>
    <row r="5" spans="2:43" ht="17.25" customHeight="1">
      <c r="F5" s="1140" t="s">
        <v>849</v>
      </c>
      <c r="G5" s="1140"/>
      <c r="H5" s="1140"/>
      <c r="I5" s="1140"/>
      <c r="J5" s="1140"/>
      <c r="K5" s="1140"/>
      <c r="L5" s="1140"/>
      <c r="M5" s="582"/>
      <c r="N5" s="582"/>
      <c r="O5" s="582"/>
    </row>
    <row r="6" spans="2:43" ht="17.25" customHeight="1" thickBot="1">
      <c r="F6" s="582"/>
      <c r="G6" s="582"/>
      <c r="H6" s="582"/>
      <c r="I6" s="582"/>
      <c r="J6" s="582"/>
      <c r="K6" s="582"/>
      <c r="L6" s="582"/>
      <c r="M6" s="582"/>
      <c r="N6" s="582"/>
      <c r="O6" s="582"/>
      <c r="U6" s="583"/>
      <c r="V6" s="583"/>
      <c r="W6" s="583"/>
      <c r="X6" s="583"/>
      <c r="Y6" s="583"/>
      <c r="Z6" s="583"/>
      <c r="AA6" s="583"/>
      <c r="AB6" s="583"/>
      <c r="AC6" s="583"/>
      <c r="AD6" s="583"/>
      <c r="AE6" s="583"/>
      <c r="AF6" s="583"/>
      <c r="AG6" s="583"/>
    </row>
    <row r="7" spans="2:43" ht="17.25" customHeight="1">
      <c r="F7" s="582"/>
      <c r="G7" s="582"/>
      <c r="N7" s="582"/>
      <c r="O7" s="1141" t="s">
        <v>508</v>
      </c>
      <c r="P7" s="1141"/>
      <c r="Q7" s="1141"/>
      <c r="R7" s="1141"/>
      <c r="S7" s="1141"/>
      <c r="T7" s="1141"/>
      <c r="U7" s="1142" t="s">
        <v>850</v>
      </c>
      <c r="V7" s="1142"/>
      <c r="W7" s="1142"/>
      <c r="X7" s="1142"/>
      <c r="Y7" s="1142"/>
      <c r="Z7" s="1142"/>
      <c r="AA7" s="1142"/>
      <c r="AB7" s="1142"/>
      <c r="AC7" s="1142"/>
      <c r="AD7" s="1142"/>
      <c r="AE7" s="1142"/>
      <c r="AF7" s="1142"/>
      <c r="AG7" s="1143"/>
    </row>
    <row r="8" spans="2:43" ht="17.25" customHeight="1">
      <c r="N8" s="582"/>
      <c r="O8" s="1146" t="s">
        <v>507</v>
      </c>
      <c r="P8" s="1146"/>
      <c r="Q8" s="1146"/>
      <c r="R8" s="1146"/>
      <c r="S8" s="1146"/>
      <c r="T8" s="1146"/>
      <c r="U8" s="1147">
        <f>'0_基本情報'!$D$4</f>
        <v>0</v>
      </c>
      <c r="V8" s="1147"/>
      <c r="W8" s="1147"/>
      <c r="X8" s="1147"/>
      <c r="Y8" s="1147"/>
      <c r="Z8" s="1147"/>
      <c r="AA8" s="1147"/>
      <c r="AB8" s="1147"/>
      <c r="AC8" s="1147"/>
      <c r="AD8" s="1147"/>
      <c r="AE8" s="1147"/>
      <c r="AF8" s="1147"/>
      <c r="AG8" s="1148"/>
    </row>
    <row r="9" spans="2:43" ht="17.25" customHeight="1" thickBot="1">
      <c r="N9" s="582"/>
      <c r="O9" s="1149" t="s">
        <v>506</v>
      </c>
      <c r="P9" s="1149"/>
      <c r="Q9" s="1149"/>
      <c r="R9" s="1149"/>
      <c r="S9" s="1149"/>
      <c r="T9" s="1149"/>
      <c r="U9" s="1150">
        <f>'0_基本情報'!$D$5</f>
        <v>0</v>
      </c>
      <c r="V9" s="1150"/>
      <c r="W9" s="1150"/>
      <c r="X9" s="1150"/>
      <c r="Y9" s="1150"/>
      <c r="Z9" s="1150"/>
      <c r="AA9" s="1150"/>
      <c r="AB9" s="1150"/>
      <c r="AC9" s="1150"/>
      <c r="AD9" s="1150"/>
      <c r="AE9" s="1150"/>
      <c r="AF9" s="1150"/>
      <c r="AG9" s="1151"/>
    </row>
    <row r="10" spans="2:43" ht="17.25" customHeight="1">
      <c r="Q10" s="584"/>
      <c r="R10" s="584"/>
      <c r="S10" s="584"/>
      <c r="T10" s="584"/>
      <c r="U10" s="840"/>
      <c r="V10" s="584"/>
      <c r="W10" s="584"/>
      <c r="X10" s="584"/>
      <c r="Y10" s="584"/>
    </row>
    <row r="11" spans="2:43" ht="9.75" customHeight="1">
      <c r="Q11" s="584"/>
      <c r="R11" s="584"/>
      <c r="S11" s="584"/>
      <c r="T11" s="584"/>
      <c r="U11" s="584"/>
      <c r="V11" s="584"/>
      <c r="W11" s="584"/>
      <c r="X11" s="584"/>
      <c r="Y11" s="584"/>
    </row>
    <row r="12" spans="2:43" ht="9.75" customHeight="1">
      <c r="Q12" s="584"/>
      <c r="R12" s="584"/>
      <c r="S12" s="584"/>
      <c r="T12" s="584"/>
      <c r="U12" s="584"/>
      <c r="V12" s="584"/>
      <c r="W12" s="584"/>
      <c r="X12" s="584"/>
      <c r="Y12" s="584"/>
    </row>
    <row r="13" spans="2:43" ht="18.75" customHeight="1" thickBot="1">
      <c r="B13" s="585" t="s">
        <v>505</v>
      </c>
      <c r="D13" s="586"/>
      <c r="E13" s="586"/>
      <c r="F13" s="586"/>
      <c r="G13" s="586"/>
      <c r="H13" s="586"/>
      <c r="I13" s="586"/>
      <c r="J13" s="586"/>
      <c r="K13" s="586"/>
      <c r="L13" s="586"/>
      <c r="M13" s="586"/>
      <c r="N13" s="586"/>
      <c r="O13" s="586"/>
      <c r="P13" s="586"/>
      <c r="Q13" s="586"/>
      <c r="R13" s="586"/>
      <c r="S13" s="586"/>
      <c r="T13" s="586"/>
      <c r="U13" s="586"/>
      <c r="V13" s="586"/>
      <c r="W13" s="586"/>
      <c r="X13" s="586"/>
      <c r="Y13" s="586"/>
      <c r="Z13" s="587"/>
      <c r="AA13" s="586"/>
      <c r="AB13" s="586"/>
      <c r="AC13" s="586"/>
      <c r="AD13" s="586"/>
      <c r="AE13" s="586"/>
      <c r="AF13" s="586"/>
      <c r="AG13" s="586"/>
      <c r="AH13" s="586"/>
      <c r="AI13" s="586"/>
      <c r="AJ13" s="586"/>
      <c r="AK13" s="586"/>
      <c r="AL13" s="586"/>
      <c r="AM13" s="586"/>
      <c r="AN13" s="586"/>
    </row>
    <row r="14" spans="2:43" ht="10.5" customHeight="1" thickBot="1">
      <c r="B14" s="586"/>
      <c r="C14" s="1131" t="s">
        <v>504</v>
      </c>
      <c r="D14" s="1131"/>
      <c r="E14" s="1131"/>
      <c r="F14" s="1131"/>
      <c r="G14" s="1131"/>
      <c r="H14" s="1131"/>
      <c r="I14" s="1131"/>
      <c r="J14" s="1131"/>
      <c r="K14" s="1131"/>
      <c r="L14" s="1152"/>
      <c r="AA14" s="586"/>
    </row>
    <row r="15" spans="2:43" ht="34.5" customHeight="1">
      <c r="B15" s="586"/>
      <c r="C15" s="1131"/>
      <c r="D15" s="1131"/>
      <c r="E15" s="1131"/>
      <c r="F15" s="1131"/>
      <c r="G15" s="1131"/>
      <c r="H15" s="1131"/>
      <c r="I15" s="1131"/>
      <c r="J15" s="1131"/>
      <c r="K15" s="1131"/>
      <c r="L15" s="1152"/>
      <c r="AA15" s="586"/>
    </row>
    <row r="16" spans="2:43" ht="18.75" customHeight="1" thickBot="1">
      <c r="B16" s="586"/>
      <c r="C16" s="1144" t="str">
        <f>IF('0_基本情報'!$D$22='【リスト】 (2)'!$C$2,"適","否")</f>
        <v>否</v>
      </c>
      <c r="D16" s="1144"/>
      <c r="E16" s="1144"/>
      <c r="F16" s="1145">
        <f>IF(C16="適",加算率a,0)</f>
        <v>0</v>
      </c>
      <c r="G16" s="1145"/>
      <c r="H16" s="1145"/>
      <c r="I16" s="1145"/>
      <c r="J16" s="1145"/>
      <c r="K16" s="1145"/>
      <c r="L16" s="588" t="s">
        <v>498</v>
      </c>
      <c r="AA16" s="586"/>
    </row>
    <row r="17" spans="2:34" ht="14.25">
      <c r="B17" s="586"/>
      <c r="C17" s="589" t="s">
        <v>497</v>
      </c>
      <c r="D17" s="590" t="s">
        <v>503</v>
      </c>
      <c r="E17" s="591"/>
      <c r="F17" s="591"/>
      <c r="G17" s="591"/>
      <c r="H17" s="591"/>
      <c r="I17" s="591"/>
      <c r="J17" s="591"/>
      <c r="K17" s="591"/>
      <c r="L17" s="591"/>
      <c r="M17" s="591"/>
      <c r="N17" s="591"/>
      <c r="O17" s="591"/>
      <c r="P17" s="591"/>
      <c r="Q17" s="591"/>
      <c r="R17" s="591"/>
      <c r="S17" s="591"/>
      <c r="T17" s="591"/>
      <c r="U17" s="591"/>
      <c r="V17" s="591"/>
      <c r="W17" s="591"/>
      <c r="X17" s="591"/>
      <c r="Y17" s="591"/>
      <c r="Z17" s="592"/>
      <c r="AA17" s="591"/>
      <c r="AB17" s="591"/>
      <c r="AC17" s="591"/>
      <c r="AD17" s="591"/>
      <c r="AE17" s="591"/>
      <c r="AF17" s="591"/>
      <c r="AG17" s="591"/>
      <c r="AH17" s="586"/>
    </row>
    <row r="18" spans="2:34" ht="14.25">
      <c r="B18" s="586"/>
      <c r="C18" s="589"/>
      <c r="D18" s="590"/>
      <c r="G18" s="591"/>
      <c r="H18" s="591"/>
      <c r="I18" s="591"/>
      <c r="J18" s="591"/>
      <c r="K18" s="591"/>
      <c r="L18" s="591"/>
      <c r="M18" s="591"/>
      <c r="N18" s="591"/>
      <c r="O18" s="591"/>
      <c r="P18" s="591"/>
      <c r="Q18" s="591"/>
      <c r="R18" s="591"/>
      <c r="S18" s="591"/>
      <c r="T18" s="591"/>
      <c r="U18" s="591"/>
      <c r="V18" s="591"/>
      <c r="W18" s="591"/>
      <c r="X18" s="591"/>
      <c r="Y18" s="591"/>
      <c r="Z18" s="592"/>
      <c r="AA18" s="591"/>
      <c r="AB18" s="591"/>
      <c r="AC18" s="591"/>
      <c r="AD18" s="591"/>
      <c r="AE18" s="591"/>
      <c r="AF18" s="591"/>
      <c r="AG18" s="591"/>
      <c r="AH18" s="586"/>
    </row>
    <row r="19" spans="2:34" ht="18.75" customHeight="1">
      <c r="B19" s="585" t="s">
        <v>502</v>
      </c>
      <c r="C19" s="593"/>
      <c r="D19" s="593"/>
      <c r="E19" s="593"/>
      <c r="F19" s="593"/>
      <c r="G19" s="593"/>
      <c r="H19" s="593"/>
      <c r="I19" s="593"/>
      <c r="J19" s="593"/>
      <c r="K19" s="594"/>
      <c r="L19" s="594"/>
      <c r="M19" s="594"/>
      <c r="N19" s="593"/>
      <c r="O19" s="593"/>
      <c r="P19" s="593"/>
      <c r="Q19" s="593"/>
      <c r="R19" s="593"/>
      <c r="S19" s="593"/>
      <c r="T19" s="593"/>
      <c r="U19" s="594"/>
    </row>
    <row r="20" spans="2:34" ht="33.75" customHeight="1">
      <c r="C20" s="591" t="s">
        <v>501</v>
      </c>
      <c r="D20" s="591"/>
      <c r="E20" s="591"/>
      <c r="F20" s="591"/>
      <c r="G20" s="591"/>
      <c r="H20" s="591"/>
      <c r="I20" s="591"/>
      <c r="J20" s="591"/>
      <c r="K20" s="591"/>
      <c r="L20" s="591"/>
      <c r="M20" s="591"/>
      <c r="N20" s="591"/>
      <c r="O20" s="591"/>
      <c r="P20" s="591"/>
      <c r="Q20" s="591"/>
      <c r="R20" s="591"/>
      <c r="S20" s="591"/>
      <c r="T20" s="591"/>
      <c r="U20" s="591"/>
      <c r="V20" s="591"/>
      <c r="W20" s="591"/>
      <c r="X20" s="591"/>
      <c r="Y20" s="591"/>
      <c r="Z20" s="591"/>
      <c r="AA20" s="591"/>
      <c r="AB20" s="591"/>
      <c r="AC20" s="591"/>
      <c r="AD20" s="591"/>
      <c r="AE20" s="591"/>
      <c r="AF20" s="591"/>
      <c r="AG20" s="591"/>
    </row>
    <row r="21" spans="2:34" ht="1.5" customHeight="1">
      <c r="C21" s="595"/>
      <c r="D21" s="591"/>
      <c r="E21" s="591"/>
      <c r="F21" s="591"/>
      <c r="G21" s="591"/>
      <c r="H21" s="591"/>
      <c r="I21" s="591"/>
      <c r="J21" s="591"/>
      <c r="K21" s="595"/>
      <c r="L21" s="595"/>
      <c r="M21" s="595"/>
      <c r="N21" s="595"/>
      <c r="O21" s="595"/>
      <c r="P21" s="595"/>
      <c r="Q21" s="595"/>
      <c r="R21" s="595"/>
      <c r="S21" s="595"/>
      <c r="T21" s="595"/>
      <c r="U21" s="595"/>
      <c r="V21" s="595"/>
      <c r="W21" s="595"/>
      <c r="X21" s="595"/>
      <c r="Y21" s="595"/>
      <c r="Z21" s="595"/>
      <c r="AA21" s="595"/>
      <c r="AB21" s="595"/>
      <c r="AC21" s="595"/>
      <c r="AD21" s="595"/>
      <c r="AE21" s="595"/>
      <c r="AF21" s="595"/>
      <c r="AG21" s="595"/>
    </row>
    <row r="22" spans="2:34" ht="1.5" customHeight="1">
      <c r="C22" s="595"/>
      <c r="D22" s="591"/>
      <c r="E22" s="591"/>
      <c r="F22" s="591"/>
      <c r="G22" s="591"/>
      <c r="H22" s="591"/>
      <c r="I22" s="591"/>
      <c r="J22" s="591"/>
      <c r="K22" s="594"/>
      <c r="L22" s="595"/>
      <c r="M22" s="595"/>
      <c r="N22" s="595"/>
      <c r="O22" s="595"/>
      <c r="P22" s="595"/>
      <c r="Q22" s="594"/>
      <c r="R22" s="595"/>
      <c r="S22" s="595"/>
      <c r="T22" s="595"/>
      <c r="U22" s="595"/>
      <c r="V22" s="595"/>
      <c r="W22" s="595"/>
      <c r="X22" s="595"/>
      <c r="Y22" s="595"/>
      <c r="Z22" s="595"/>
      <c r="AA22" s="595"/>
      <c r="AB22" s="595"/>
      <c r="AC22" s="595"/>
      <c r="AD22" s="595"/>
      <c r="AE22" s="595"/>
      <c r="AF22" s="595"/>
      <c r="AG22" s="595"/>
    </row>
    <row r="23" spans="2:34" ht="1.5" customHeight="1">
      <c r="C23" s="595"/>
      <c r="D23" s="596"/>
      <c r="E23" s="596"/>
      <c r="F23" s="591"/>
      <c r="G23" s="591"/>
      <c r="H23" s="591"/>
      <c r="I23" s="591"/>
      <c r="J23" s="591"/>
      <c r="K23" s="591"/>
      <c r="L23" s="591"/>
      <c r="M23" s="591"/>
      <c r="N23" s="591"/>
      <c r="O23" s="591"/>
      <c r="P23" s="591"/>
      <c r="Q23" s="591"/>
      <c r="R23" s="591"/>
      <c r="S23" s="591"/>
      <c r="T23" s="591"/>
      <c r="U23" s="591"/>
      <c r="V23" s="591"/>
      <c r="W23" s="591"/>
      <c r="X23" s="591"/>
      <c r="Y23" s="591"/>
      <c r="Z23" s="591"/>
      <c r="AA23" s="591"/>
      <c r="AB23" s="591"/>
      <c r="AC23" s="591"/>
      <c r="AD23" s="591"/>
      <c r="AE23" s="591"/>
      <c r="AF23" s="591"/>
      <c r="AG23" s="591"/>
    </row>
    <row r="24" spans="2:34" ht="1.5" customHeight="1">
      <c r="C24" s="595"/>
      <c r="D24" s="597"/>
      <c r="E24" s="597"/>
      <c r="F24" s="597"/>
      <c r="G24" s="597"/>
      <c r="H24" s="597"/>
      <c r="I24" s="597"/>
      <c r="J24" s="597"/>
      <c r="K24" s="597"/>
      <c r="L24" s="597"/>
      <c r="M24" s="597"/>
      <c r="N24" s="597"/>
      <c r="O24" s="597"/>
      <c r="P24" s="597"/>
      <c r="Q24" s="597"/>
      <c r="R24" s="597"/>
      <c r="S24" s="597"/>
      <c r="T24" s="597"/>
      <c r="U24" s="597"/>
      <c r="V24" s="597"/>
      <c r="W24" s="597"/>
      <c r="X24" s="597"/>
      <c r="Y24" s="597"/>
      <c r="Z24" s="597"/>
      <c r="AA24" s="597"/>
      <c r="AB24" s="597"/>
      <c r="AC24" s="597"/>
      <c r="AD24" s="597"/>
      <c r="AE24" s="597"/>
      <c r="AF24" s="597"/>
      <c r="AG24" s="597"/>
    </row>
    <row r="25" spans="2:34" ht="1.5" customHeight="1">
      <c r="C25" s="595"/>
      <c r="D25" s="597"/>
      <c r="E25" s="597"/>
      <c r="F25" s="597"/>
      <c r="G25" s="597"/>
      <c r="H25" s="597"/>
      <c r="I25" s="597"/>
      <c r="J25" s="597"/>
      <c r="K25" s="597"/>
      <c r="L25" s="597"/>
      <c r="M25" s="597"/>
      <c r="N25" s="597"/>
      <c r="O25" s="597"/>
      <c r="P25" s="597"/>
      <c r="Q25" s="597"/>
      <c r="R25" s="597"/>
      <c r="S25" s="597"/>
      <c r="T25" s="597"/>
      <c r="U25" s="597"/>
      <c r="V25" s="597"/>
      <c r="W25" s="597"/>
      <c r="X25" s="597"/>
      <c r="Y25" s="597"/>
      <c r="Z25" s="597"/>
      <c r="AA25" s="597"/>
      <c r="AB25" s="597"/>
      <c r="AC25" s="597"/>
      <c r="AD25" s="597"/>
      <c r="AE25" s="597"/>
      <c r="AF25" s="597"/>
      <c r="AG25" s="597"/>
    </row>
    <row r="26" spans="2:34" ht="1.5" customHeight="1">
      <c r="C26" s="595"/>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7"/>
      <c r="AE26" s="597"/>
      <c r="AF26" s="597"/>
      <c r="AG26" s="597"/>
    </row>
    <row r="27" spans="2:34" ht="1.5" customHeight="1">
      <c r="C27" s="595"/>
      <c r="D27" s="597"/>
      <c r="E27" s="597"/>
      <c r="F27" s="597"/>
      <c r="G27" s="597"/>
      <c r="H27" s="597"/>
      <c r="I27" s="597"/>
      <c r="J27" s="597"/>
      <c r="K27" s="597"/>
      <c r="L27" s="597"/>
      <c r="M27" s="597"/>
      <c r="N27" s="597"/>
      <c r="O27" s="597"/>
      <c r="P27" s="597"/>
      <c r="Q27" s="597"/>
      <c r="R27" s="597"/>
      <c r="S27" s="597"/>
      <c r="T27" s="597"/>
      <c r="U27" s="597"/>
      <c r="V27" s="597"/>
      <c r="W27" s="597"/>
      <c r="X27" s="597"/>
      <c r="Y27" s="597"/>
      <c r="Z27" s="597"/>
      <c r="AA27" s="597"/>
      <c r="AB27" s="597"/>
      <c r="AC27" s="597"/>
      <c r="AD27" s="597"/>
      <c r="AE27" s="597"/>
      <c r="AF27" s="597"/>
      <c r="AG27" s="597"/>
    </row>
    <row r="28" spans="2:34" ht="1.5" customHeight="1">
      <c r="C28" s="595"/>
      <c r="D28" s="597"/>
      <c r="E28" s="597"/>
      <c r="F28" s="597"/>
      <c r="G28" s="597"/>
      <c r="H28" s="597"/>
      <c r="I28" s="597"/>
      <c r="J28" s="597"/>
      <c r="K28" s="597"/>
      <c r="L28" s="597"/>
      <c r="M28" s="597"/>
      <c r="N28" s="597"/>
      <c r="O28" s="597"/>
      <c r="P28" s="597"/>
      <c r="Q28" s="597"/>
      <c r="R28" s="597"/>
      <c r="S28" s="597"/>
      <c r="T28" s="597"/>
      <c r="U28" s="597"/>
      <c r="V28" s="597"/>
      <c r="W28" s="597"/>
      <c r="X28" s="597"/>
      <c r="Y28" s="597"/>
      <c r="Z28" s="597"/>
      <c r="AA28" s="597"/>
      <c r="AB28" s="597"/>
      <c r="AC28" s="597"/>
      <c r="AD28" s="597"/>
      <c r="AE28" s="597"/>
      <c r="AF28" s="597"/>
      <c r="AG28" s="597"/>
    </row>
    <row r="29" spans="2:34" ht="1.5" customHeight="1">
      <c r="C29" s="595"/>
      <c r="D29" s="597"/>
      <c r="E29" s="597"/>
      <c r="F29" s="597"/>
      <c r="G29" s="597"/>
      <c r="H29" s="597"/>
      <c r="I29" s="597"/>
      <c r="J29" s="597"/>
      <c r="K29" s="597"/>
      <c r="L29" s="597"/>
      <c r="M29" s="597"/>
      <c r="N29" s="597"/>
      <c r="O29" s="597"/>
      <c r="P29" s="597"/>
      <c r="Q29" s="597"/>
      <c r="R29" s="597"/>
      <c r="S29" s="597"/>
      <c r="T29" s="597"/>
      <c r="U29" s="597"/>
      <c r="V29" s="597"/>
      <c r="W29" s="597"/>
      <c r="X29" s="597"/>
      <c r="Y29" s="597"/>
      <c r="Z29" s="597"/>
      <c r="AA29" s="597"/>
      <c r="AB29" s="597"/>
      <c r="AC29" s="597"/>
      <c r="AD29" s="597"/>
      <c r="AE29" s="597"/>
      <c r="AF29" s="597"/>
      <c r="AG29" s="597"/>
    </row>
    <row r="30" spans="2:34" ht="1.5" customHeight="1">
      <c r="C30" s="595"/>
      <c r="D30" s="597"/>
      <c r="E30" s="597"/>
      <c r="F30" s="597"/>
      <c r="G30" s="597"/>
      <c r="H30" s="597"/>
      <c r="I30" s="597"/>
      <c r="J30" s="597"/>
      <c r="K30" s="597"/>
      <c r="L30" s="597"/>
      <c r="M30" s="597"/>
      <c r="N30" s="597"/>
      <c r="O30" s="597"/>
      <c r="P30" s="597"/>
      <c r="Q30" s="597"/>
      <c r="R30" s="597"/>
      <c r="S30" s="597"/>
      <c r="T30" s="597"/>
      <c r="U30" s="597"/>
      <c r="V30" s="597"/>
      <c r="W30" s="597"/>
      <c r="X30" s="597"/>
      <c r="Y30" s="597"/>
      <c r="Z30" s="597"/>
      <c r="AA30" s="597"/>
      <c r="AB30" s="597"/>
      <c r="AC30" s="597"/>
      <c r="AD30" s="597"/>
      <c r="AE30" s="597"/>
      <c r="AF30" s="597"/>
      <c r="AG30" s="597"/>
    </row>
    <row r="31" spans="2:34" ht="1.5" customHeight="1">
      <c r="C31" s="595"/>
      <c r="D31" s="597"/>
      <c r="E31" s="597"/>
      <c r="F31" s="597"/>
      <c r="G31" s="597"/>
      <c r="H31" s="597"/>
      <c r="I31" s="597"/>
      <c r="J31" s="597"/>
      <c r="K31" s="597"/>
      <c r="L31" s="597"/>
      <c r="M31" s="597"/>
      <c r="N31" s="597"/>
      <c r="O31" s="597"/>
      <c r="P31" s="597"/>
      <c r="Q31" s="597"/>
      <c r="R31" s="597"/>
      <c r="S31" s="597"/>
      <c r="T31" s="597"/>
      <c r="U31" s="597"/>
      <c r="V31" s="597"/>
      <c r="W31" s="597"/>
      <c r="X31" s="597"/>
      <c r="Y31" s="597"/>
      <c r="Z31" s="597"/>
      <c r="AA31" s="597"/>
      <c r="AB31" s="597"/>
      <c r="AC31" s="597"/>
      <c r="AD31" s="597"/>
      <c r="AE31" s="597"/>
      <c r="AF31" s="597"/>
      <c r="AG31" s="597"/>
    </row>
    <row r="32" spans="2:34" ht="1.5" customHeight="1">
      <c r="C32" s="595"/>
      <c r="D32" s="597"/>
      <c r="E32" s="597"/>
      <c r="F32" s="597"/>
      <c r="G32" s="597"/>
      <c r="H32" s="597"/>
      <c r="I32" s="597"/>
      <c r="J32" s="597"/>
      <c r="K32" s="597"/>
      <c r="L32" s="597"/>
      <c r="M32" s="597"/>
      <c r="N32" s="597"/>
      <c r="O32" s="597"/>
      <c r="P32" s="597"/>
      <c r="Q32" s="597"/>
      <c r="R32" s="597"/>
      <c r="S32" s="597"/>
      <c r="T32" s="597"/>
      <c r="U32" s="597"/>
      <c r="V32" s="597"/>
      <c r="W32" s="597"/>
      <c r="X32" s="597"/>
      <c r="Y32" s="597"/>
      <c r="Z32" s="597"/>
      <c r="AA32" s="597"/>
      <c r="AB32" s="597"/>
      <c r="AC32" s="597"/>
      <c r="AD32" s="597"/>
      <c r="AE32" s="597"/>
      <c r="AF32" s="597"/>
      <c r="AG32" s="597"/>
    </row>
    <row r="33" spans="2:33" ht="1.5" customHeight="1">
      <c r="C33" s="595"/>
      <c r="D33" s="597"/>
      <c r="E33" s="597"/>
      <c r="F33" s="597"/>
      <c r="G33" s="597"/>
      <c r="H33" s="597"/>
      <c r="I33" s="597"/>
      <c r="J33" s="597"/>
      <c r="K33" s="597"/>
      <c r="L33" s="597"/>
      <c r="M33" s="597"/>
      <c r="N33" s="597"/>
      <c r="O33" s="597"/>
      <c r="P33" s="597"/>
      <c r="Q33" s="597"/>
      <c r="R33" s="597"/>
      <c r="S33" s="597"/>
      <c r="T33" s="597"/>
      <c r="U33" s="597"/>
      <c r="V33" s="597"/>
      <c r="W33" s="597"/>
      <c r="X33" s="597"/>
      <c r="Y33" s="597"/>
      <c r="Z33" s="597"/>
      <c r="AA33" s="597"/>
      <c r="AB33" s="597"/>
      <c r="AC33" s="597"/>
      <c r="AD33" s="597"/>
      <c r="AE33" s="597"/>
      <c r="AF33" s="597"/>
      <c r="AG33" s="597"/>
    </row>
    <row r="34" spans="2:33" ht="1.5" customHeight="1">
      <c r="C34" s="595"/>
      <c r="D34" s="597"/>
      <c r="E34" s="597"/>
      <c r="F34" s="597"/>
      <c r="G34" s="597"/>
      <c r="H34" s="597"/>
      <c r="I34" s="597"/>
      <c r="J34" s="597"/>
      <c r="K34" s="597"/>
      <c r="L34" s="597"/>
      <c r="M34" s="597"/>
      <c r="N34" s="597"/>
      <c r="O34" s="597"/>
      <c r="P34" s="597"/>
      <c r="Q34" s="597"/>
      <c r="R34" s="597"/>
      <c r="S34" s="597"/>
      <c r="T34" s="597"/>
      <c r="U34" s="597"/>
      <c r="V34" s="597"/>
      <c r="W34" s="597"/>
      <c r="X34" s="597"/>
      <c r="Y34" s="597"/>
      <c r="Z34" s="597"/>
      <c r="AA34" s="597"/>
      <c r="AB34" s="597"/>
      <c r="AC34" s="597"/>
      <c r="AD34" s="597"/>
      <c r="AE34" s="597"/>
      <c r="AF34" s="597"/>
      <c r="AG34" s="597"/>
    </row>
    <row r="35" spans="2:33" ht="1.5" customHeight="1">
      <c r="C35" s="595"/>
      <c r="D35" s="597"/>
      <c r="E35" s="597"/>
      <c r="F35" s="597"/>
      <c r="G35" s="597"/>
      <c r="H35" s="597"/>
      <c r="I35" s="597"/>
      <c r="J35" s="597"/>
      <c r="K35" s="597"/>
      <c r="L35" s="597"/>
      <c r="M35" s="597"/>
      <c r="N35" s="597"/>
      <c r="O35" s="597"/>
      <c r="P35" s="597"/>
      <c r="Q35" s="597"/>
      <c r="R35" s="597"/>
      <c r="S35" s="597"/>
      <c r="T35" s="597"/>
      <c r="U35" s="597"/>
      <c r="V35" s="597"/>
      <c r="W35" s="597"/>
      <c r="X35" s="597"/>
      <c r="Y35" s="597"/>
      <c r="Z35" s="597"/>
      <c r="AA35" s="597"/>
      <c r="AB35" s="597"/>
      <c r="AC35" s="597"/>
      <c r="AD35" s="597"/>
      <c r="AE35" s="597"/>
      <c r="AF35" s="597"/>
      <c r="AG35" s="597"/>
    </row>
    <row r="36" spans="2:33" ht="1.5" customHeight="1">
      <c r="C36" s="595"/>
      <c r="D36" s="597"/>
      <c r="E36" s="597"/>
      <c r="F36" s="597"/>
      <c r="G36" s="597"/>
      <c r="H36" s="597"/>
      <c r="I36" s="597"/>
      <c r="J36" s="597"/>
      <c r="K36" s="597"/>
      <c r="L36" s="597"/>
      <c r="M36" s="597"/>
      <c r="N36" s="597"/>
      <c r="O36" s="597"/>
      <c r="P36" s="597"/>
      <c r="Q36" s="597"/>
      <c r="R36" s="597"/>
      <c r="S36" s="597"/>
      <c r="T36" s="597"/>
      <c r="U36" s="597"/>
      <c r="V36" s="597"/>
      <c r="W36" s="597"/>
      <c r="X36" s="597"/>
      <c r="Y36" s="597"/>
      <c r="Z36" s="597"/>
      <c r="AA36" s="597"/>
      <c r="AB36" s="597"/>
      <c r="AC36" s="597"/>
      <c r="AD36" s="597"/>
      <c r="AE36" s="597"/>
      <c r="AF36" s="597"/>
      <c r="AG36" s="597"/>
    </row>
    <row r="37" spans="2:33" ht="1.5" customHeight="1">
      <c r="C37" s="595"/>
      <c r="D37" s="597"/>
      <c r="E37" s="597"/>
      <c r="F37" s="597"/>
      <c r="G37" s="597"/>
      <c r="H37" s="597"/>
      <c r="I37" s="597"/>
      <c r="J37" s="597"/>
      <c r="K37" s="597"/>
      <c r="L37" s="597"/>
      <c r="M37" s="597"/>
      <c r="N37" s="597"/>
      <c r="O37" s="597"/>
      <c r="P37" s="597"/>
      <c r="Q37" s="597"/>
      <c r="R37" s="597"/>
      <c r="S37" s="597"/>
      <c r="T37" s="597"/>
      <c r="U37" s="597"/>
      <c r="V37" s="597"/>
      <c r="W37" s="597"/>
      <c r="X37" s="597"/>
      <c r="Y37" s="597"/>
      <c r="Z37" s="597"/>
      <c r="AA37" s="597"/>
      <c r="AB37" s="597"/>
      <c r="AC37" s="597"/>
      <c r="AD37" s="597"/>
      <c r="AE37" s="597"/>
      <c r="AF37" s="597"/>
      <c r="AG37" s="597"/>
    </row>
    <row r="38" spans="2:33" ht="1.5" customHeight="1">
      <c r="C38" s="595"/>
      <c r="D38" s="597"/>
      <c r="E38" s="597"/>
      <c r="F38" s="597"/>
      <c r="G38" s="597"/>
      <c r="H38" s="597"/>
      <c r="I38" s="597"/>
      <c r="J38" s="597"/>
      <c r="K38" s="597"/>
      <c r="L38" s="597"/>
      <c r="M38" s="597"/>
      <c r="N38" s="597"/>
      <c r="O38" s="597"/>
      <c r="P38" s="597"/>
      <c r="Q38" s="597"/>
      <c r="R38" s="597"/>
      <c r="S38" s="597"/>
      <c r="T38" s="597"/>
      <c r="U38" s="597"/>
      <c r="V38" s="597"/>
      <c r="W38" s="597"/>
      <c r="X38" s="597"/>
      <c r="Y38" s="597"/>
      <c r="Z38" s="597"/>
      <c r="AA38" s="597"/>
      <c r="AB38" s="597"/>
      <c r="AC38" s="597"/>
      <c r="AD38" s="597"/>
      <c r="AE38" s="597"/>
      <c r="AF38" s="597"/>
      <c r="AG38" s="597"/>
    </row>
    <row r="39" spans="2:33" ht="1.5" customHeight="1">
      <c r="C39" s="595"/>
      <c r="D39" s="597"/>
      <c r="E39" s="597"/>
      <c r="F39" s="597"/>
      <c r="G39" s="597"/>
      <c r="H39" s="597"/>
      <c r="I39" s="597"/>
      <c r="J39" s="597"/>
      <c r="K39" s="597"/>
      <c r="L39" s="597"/>
      <c r="M39" s="597"/>
      <c r="N39" s="597"/>
      <c r="O39" s="597"/>
      <c r="P39" s="597"/>
      <c r="Q39" s="597"/>
      <c r="R39" s="597"/>
      <c r="S39" s="597"/>
      <c r="T39" s="597"/>
      <c r="U39" s="597"/>
      <c r="V39" s="597"/>
      <c r="W39" s="597"/>
      <c r="X39" s="597"/>
      <c r="Y39" s="597"/>
      <c r="Z39" s="597"/>
      <c r="AA39" s="597"/>
      <c r="AB39" s="597"/>
      <c r="AC39" s="597"/>
      <c r="AD39" s="597"/>
      <c r="AE39" s="597"/>
      <c r="AF39" s="597"/>
      <c r="AG39" s="597"/>
    </row>
    <row r="40" spans="2:33" ht="1.5" customHeight="1">
      <c r="C40" s="595"/>
      <c r="D40" s="595"/>
      <c r="E40" s="595"/>
      <c r="F40" s="595"/>
      <c r="G40" s="595"/>
      <c r="H40" s="591"/>
      <c r="I40" s="591"/>
      <c r="J40" s="591"/>
      <c r="K40" s="595"/>
      <c r="L40" s="595"/>
      <c r="M40" s="595"/>
      <c r="N40" s="595"/>
      <c r="O40" s="595"/>
      <c r="P40" s="595"/>
      <c r="Q40" s="595"/>
      <c r="R40" s="595"/>
      <c r="S40" s="595"/>
      <c r="T40" s="595"/>
      <c r="U40" s="595"/>
      <c r="V40" s="595"/>
      <c r="W40" s="591"/>
      <c r="X40" s="591"/>
      <c r="Y40" s="591"/>
      <c r="Z40" s="591"/>
    </row>
    <row r="41" spans="2:33" ht="1.5" customHeight="1">
      <c r="C41" s="595"/>
      <c r="D41" s="595"/>
      <c r="E41" s="595"/>
      <c r="F41" s="595"/>
      <c r="G41" s="595"/>
      <c r="H41" s="591"/>
      <c r="I41" s="591"/>
      <c r="J41" s="591"/>
      <c r="K41" s="595"/>
      <c r="L41" s="595"/>
      <c r="M41" s="595"/>
      <c r="N41" s="595"/>
      <c r="O41" s="595"/>
      <c r="P41" s="595"/>
      <c r="Q41" s="595"/>
      <c r="R41" s="595"/>
      <c r="S41" s="595"/>
      <c r="T41" s="595"/>
      <c r="U41" s="595"/>
      <c r="V41" s="595"/>
      <c r="W41" s="591"/>
      <c r="X41" s="591"/>
      <c r="Y41" s="591"/>
      <c r="Z41" s="591"/>
    </row>
    <row r="42" spans="2:33" ht="1.5" customHeight="1">
      <c r="C42" s="598"/>
      <c r="D42" s="598"/>
      <c r="E42" s="598"/>
      <c r="F42" s="598"/>
      <c r="G42" s="598"/>
      <c r="H42" s="598"/>
      <c r="I42" s="598"/>
      <c r="J42" s="598"/>
      <c r="K42" s="598"/>
      <c r="L42" s="598"/>
      <c r="M42" s="598"/>
      <c r="N42" s="598"/>
      <c r="O42" s="598"/>
      <c r="P42" s="595"/>
      <c r="Q42" s="595"/>
      <c r="R42" s="595"/>
      <c r="S42" s="595"/>
      <c r="T42" s="595"/>
      <c r="U42" s="596"/>
      <c r="V42" s="596"/>
      <c r="W42" s="596"/>
      <c r="X42" s="596"/>
      <c r="Y42" s="596"/>
      <c r="Z42" s="592"/>
      <c r="AA42" s="596"/>
      <c r="AB42" s="596"/>
      <c r="AC42" s="596"/>
      <c r="AD42" s="591"/>
      <c r="AE42" s="591"/>
      <c r="AF42" s="591"/>
      <c r="AG42" s="591"/>
    </row>
    <row r="43" spans="2:33" ht="1.5" customHeight="1">
      <c r="C43" s="599"/>
      <c r="D43" s="600"/>
      <c r="E43" s="600"/>
      <c r="F43" s="601"/>
      <c r="G43" s="601"/>
      <c r="H43" s="601"/>
      <c r="I43" s="601"/>
      <c r="J43" s="601"/>
      <c r="K43" s="601"/>
      <c r="L43" s="601"/>
      <c r="M43" s="601"/>
      <c r="N43" s="601"/>
      <c r="O43" s="601"/>
      <c r="P43" s="601"/>
      <c r="Q43" s="601"/>
      <c r="R43" s="601"/>
      <c r="S43" s="601"/>
      <c r="T43" s="601"/>
      <c r="U43" s="601"/>
      <c r="V43" s="601"/>
      <c r="W43" s="601"/>
      <c r="X43" s="601"/>
      <c r="Y43" s="601"/>
      <c r="Z43" s="599"/>
      <c r="AA43" s="601"/>
      <c r="AB43" s="601"/>
      <c r="AC43" s="601"/>
      <c r="AD43" s="601"/>
      <c r="AE43" s="601"/>
      <c r="AF43" s="601"/>
      <c r="AG43" s="601"/>
    </row>
    <row r="44" spans="2:33" ht="1.5" customHeight="1">
      <c r="C44" s="599"/>
      <c r="D44" s="600"/>
      <c r="E44" s="600"/>
      <c r="F44" s="601"/>
      <c r="G44" s="601"/>
      <c r="H44" s="601"/>
      <c r="I44" s="601"/>
      <c r="J44" s="601"/>
      <c r="K44" s="601"/>
      <c r="L44" s="601"/>
      <c r="M44" s="601"/>
      <c r="N44" s="601"/>
      <c r="O44" s="601"/>
      <c r="P44" s="601"/>
      <c r="Q44" s="601"/>
      <c r="R44" s="601"/>
      <c r="S44" s="601"/>
      <c r="T44" s="601"/>
      <c r="U44" s="601"/>
      <c r="V44" s="601"/>
      <c r="W44" s="601"/>
      <c r="X44" s="601"/>
      <c r="Y44" s="601"/>
      <c r="Z44" s="599"/>
      <c r="AA44" s="601"/>
      <c r="AB44" s="601"/>
      <c r="AC44" s="601"/>
      <c r="AD44" s="601"/>
      <c r="AE44" s="601"/>
      <c r="AF44" s="601"/>
      <c r="AG44" s="601"/>
    </row>
    <row r="45" spans="2:33" ht="1.5" customHeight="1">
      <c r="C45" s="602"/>
    </row>
    <row r="46" spans="2:33" ht="1.5" customHeight="1">
      <c r="C46" s="602"/>
    </row>
    <row r="47" spans="2:33" ht="18.75" customHeight="1" thickBot="1">
      <c r="B47" s="585" t="s">
        <v>500</v>
      </c>
      <c r="C47" s="593"/>
      <c r="D47" s="593"/>
      <c r="E47" s="593"/>
      <c r="F47" s="593"/>
      <c r="G47" s="593"/>
      <c r="H47" s="593"/>
      <c r="I47" s="593"/>
      <c r="J47" s="593"/>
      <c r="K47" s="594"/>
      <c r="L47" s="594"/>
      <c r="M47" s="594"/>
      <c r="N47" s="593"/>
      <c r="O47" s="593"/>
      <c r="P47" s="593"/>
      <c r="Q47" s="593"/>
      <c r="R47" s="603"/>
      <c r="S47" s="593"/>
      <c r="T47" s="593"/>
      <c r="U47" s="594"/>
    </row>
    <row r="48" spans="2:33" ht="18.75" customHeight="1">
      <c r="B48" s="585"/>
      <c r="C48" s="1131" t="s">
        <v>499</v>
      </c>
      <c r="D48" s="1132"/>
      <c r="E48" s="1132"/>
      <c r="F48" s="1132"/>
      <c r="G48" s="1132"/>
      <c r="H48" s="1132"/>
      <c r="I48" s="1132"/>
      <c r="J48" s="1132"/>
      <c r="K48" s="1132"/>
      <c r="L48" s="1132"/>
      <c r="M48" s="1132"/>
      <c r="N48" s="1132"/>
      <c r="O48" s="1132"/>
      <c r="P48" s="1133"/>
      <c r="Q48" s="593"/>
      <c r="R48" s="593"/>
      <c r="S48" s="593"/>
      <c r="T48" s="593"/>
      <c r="U48" s="594"/>
    </row>
    <row r="49" spans="2:21" ht="24" customHeight="1">
      <c r="B49" s="585"/>
      <c r="C49" s="1134"/>
      <c r="D49" s="1135"/>
      <c r="E49" s="1135"/>
      <c r="F49" s="1135"/>
      <c r="G49" s="1135"/>
      <c r="H49" s="1135"/>
      <c r="I49" s="1135"/>
      <c r="J49" s="1135"/>
      <c r="K49" s="1135"/>
      <c r="L49" s="1135"/>
      <c r="M49" s="1135"/>
      <c r="N49" s="1135"/>
      <c r="O49" s="1135"/>
      <c r="P49" s="1136"/>
      <c r="Q49" s="593"/>
      <c r="R49" s="593"/>
      <c r="S49" s="593"/>
      <c r="T49" s="593"/>
      <c r="U49" s="594"/>
    </row>
    <row r="50" spans="2:21" ht="18.75" customHeight="1" thickBot="1">
      <c r="B50" s="585"/>
      <c r="C50" s="1144" t="str">
        <f>IF('0_基本情報'!$D$23='【リスト】 (2)'!$C$2,"適","否")</f>
        <v>否</v>
      </c>
      <c r="D50" s="1144"/>
      <c r="E50" s="1144"/>
      <c r="F50" s="1145">
        <f>IF(C50="適",加算率b,0)</f>
        <v>0</v>
      </c>
      <c r="G50" s="1145"/>
      <c r="H50" s="1145"/>
      <c r="I50" s="1145"/>
      <c r="J50" s="1145"/>
      <c r="K50" s="1145"/>
      <c r="L50" s="1137" t="s">
        <v>498</v>
      </c>
      <c r="M50" s="1137"/>
      <c r="N50" s="1137"/>
      <c r="O50" s="1137"/>
      <c r="P50" s="1138"/>
      <c r="Q50" s="593"/>
      <c r="R50" s="593"/>
      <c r="S50" s="593"/>
      <c r="T50" s="593"/>
      <c r="U50" s="594"/>
    </row>
    <row r="51" spans="2:21" ht="18.75" customHeight="1">
      <c r="B51" s="585"/>
      <c r="C51" s="604"/>
      <c r="D51" s="605"/>
      <c r="E51" s="606"/>
      <c r="F51" s="607"/>
      <c r="G51" s="608"/>
      <c r="H51" s="608"/>
      <c r="I51" s="608"/>
      <c r="J51" s="608"/>
      <c r="K51" s="608"/>
      <c r="L51" s="609"/>
      <c r="M51" s="606"/>
      <c r="N51" s="593"/>
      <c r="O51" s="593"/>
      <c r="P51" s="593"/>
      <c r="Q51" s="593"/>
      <c r="R51" s="593"/>
      <c r="S51" s="593"/>
      <c r="T51" s="593"/>
      <c r="U51" s="594"/>
    </row>
    <row r="52" spans="2:21" ht="18.75" customHeight="1">
      <c r="B52" s="585"/>
      <c r="C52" s="589"/>
      <c r="D52" s="610"/>
      <c r="E52" s="591"/>
      <c r="F52" s="591"/>
      <c r="G52" s="593"/>
      <c r="H52" s="593"/>
      <c r="I52" s="593"/>
      <c r="J52" s="593"/>
      <c r="K52" s="594"/>
      <c r="L52" s="594"/>
      <c r="M52" s="594"/>
      <c r="N52" s="593"/>
      <c r="O52" s="593"/>
      <c r="P52" s="593"/>
      <c r="Q52" s="593"/>
      <c r="R52" s="593"/>
      <c r="S52" s="593"/>
      <c r="T52" s="593"/>
      <c r="U52" s="594"/>
    </row>
    <row r="53" spans="2:21" ht="18.75" customHeight="1">
      <c r="B53" s="585"/>
      <c r="C53" s="589"/>
      <c r="D53" s="610"/>
      <c r="E53" s="591"/>
      <c r="F53" s="591"/>
      <c r="G53" s="593"/>
      <c r="H53" s="593"/>
      <c r="I53" s="593"/>
      <c r="J53" s="593"/>
      <c r="K53" s="594"/>
      <c r="L53" s="594"/>
      <c r="M53" s="594"/>
      <c r="N53" s="593"/>
      <c r="O53" s="593"/>
      <c r="P53" s="593"/>
      <c r="Q53" s="593"/>
      <c r="R53" s="593"/>
      <c r="S53" s="593"/>
      <c r="T53" s="593"/>
      <c r="U53" s="594"/>
    </row>
    <row r="54" spans="2:21" ht="18.75" customHeight="1">
      <c r="B54" s="585"/>
      <c r="C54" s="589"/>
      <c r="D54" s="610"/>
      <c r="E54" s="591"/>
      <c r="F54" s="591"/>
      <c r="G54" s="593"/>
      <c r="H54" s="593"/>
      <c r="I54" s="593"/>
      <c r="J54" s="593"/>
      <c r="K54" s="594"/>
      <c r="L54" s="594"/>
      <c r="M54" s="594"/>
      <c r="N54" s="593"/>
      <c r="O54" s="593"/>
      <c r="P54" s="593"/>
      <c r="Q54" s="593"/>
      <c r="R54" s="593"/>
      <c r="S54" s="593"/>
      <c r="T54" s="593"/>
      <c r="U54" s="594"/>
    </row>
  </sheetData>
  <sheetProtection insertRows="0"/>
  <mergeCells count="15">
    <mergeCell ref="C48:P49"/>
    <mergeCell ref="L50:P50"/>
    <mergeCell ref="B2:AG2"/>
    <mergeCell ref="F5:L5"/>
    <mergeCell ref="O7:T7"/>
    <mergeCell ref="U7:AG7"/>
    <mergeCell ref="C50:E50"/>
    <mergeCell ref="F50:K50"/>
    <mergeCell ref="O8:T8"/>
    <mergeCell ref="U8:AG8"/>
    <mergeCell ref="O9:T9"/>
    <mergeCell ref="U9:AG9"/>
    <mergeCell ref="C14:L15"/>
    <mergeCell ref="C16:E16"/>
    <mergeCell ref="F16:K16"/>
  </mergeCells>
  <phoneticPr fontId="4"/>
  <dataValidations count="2">
    <dataValidation type="list" allowBlank="1" showInputMessage="1" showErrorMessage="1" sqref="C16:E16 C50:E50" xr:uid="{E02821F2-C733-4BB4-9001-634D7F17A89C}">
      <formula1>"適,否"</formula1>
    </dataValidation>
    <dataValidation type="list" allowBlank="1" showInputMessage="1" showErrorMessage="1" sqref="C51" xr:uid="{00000000-0002-0000-0000-000002000000}">
      <formula1>#REF!</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20</vt:i4>
      </vt:variant>
    </vt:vector>
  </HeadingPairs>
  <TitlesOfParts>
    <vt:vector size="42" baseType="lpstr">
      <vt:lpstr>0_基本情報</vt:lpstr>
      <vt:lpstr>1-1_児童数計算表</vt:lpstr>
      <vt:lpstr>1-2_児童数計算表_分園1</vt:lpstr>
      <vt:lpstr>1-2_児童数計算表_分園2</vt:lpstr>
      <vt:lpstr>2_区分12加算額計算表</vt:lpstr>
      <vt:lpstr>3_区分3計算表</vt:lpstr>
      <vt:lpstr>処遇改善等加算に係る経験年数算定表</vt:lpstr>
      <vt:lpstr>【参考】計算結果</vt:lpstr>
      <vt:lpstr>様式1</vt:lpstr>
      <vt:lpstr>様式2</vt:lpstr>
      <vt:lpstr>様式3</vt:lpstr>
      <vt:lpstr>様式4</vt:lpstr>
      <vt:lpstr>様式4別添1</vt:lpstr>
      <vt:lpstr>様式4別添2</vt:lpstr>
      <vt:lpstr>様式5</vt:lpstr>
      <vt:lpstr>様式7</vt:lpstr>
      <vt:lpstr>計算_区分12_1号</vt:lpstr>
      <vt:lpstr>計算_区分12_23号</vt:lpstr>
      <vt:lpstr>認こ1号単価</vt:lpstr>
      <vt:lpstr>認こ23号単価</vt:lpstr>
      <vt:lpstr>【リスト】 (2)</vt:lpstr>
      <vt:lpstr>【リスト】</vt:lpstr>
      <vt:lpstr>【参考】計算結果!Print_Area</vt:lpstr>
      <vt:lpstr>'0_基本情報'!Print_Area</vt:lpstr>
      <vt:lpstr>'1-1_児童数計算表'!Print_Area</vt:lpstr>
      <vt:lpstr>'1-2_児童数計算表_分園1'!Print_Area</vt:lpstr>
      <vt:lpstr>'1-2_児童数計算表_分園2'!Print_Area</vt:lpstr>
      <vt:lpstr>'2_区分12加算額計算表'!Print_Area</vt:lpstr>
      <vt:lpstr>'3_区分3計算表'!Print_Area</vt:lpstr>
      <vt:lpstr>処遇改善等加算に係る経験年数算定表!Print_Area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横須賀市</cp:lastModifiedBy>
  <dcterms:modified xsi:type="dcterms:W3CDTF">2026-08-25T22:59:22Z</dcterms:modified>
</cp:coreProperties>
</file>