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comments2.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jack\v3_fsroot\FS\子育て支援課共有\〇放課後児童対策係\R07 放課後児童健全育成事業関係\02【民設】放課後児童クラブ\04補助金\01次年度説明会\00_様式\01_変更交付・実績\"/>
    </mc:Choice>
  </mc:AlternateContent>
  <xr:revisionPtr revIDLastSave="0" documentId="13_ncr:1_{AE12D6B9-B896-4CDB-9498-81D2EA82552D}" xr6:coauthVersionLast="47" xr6:coauthVersionMax="47" xr10:uidLastSave="{00000000-0000-0000-0000-000000000000}"/>
  <bookViews>
    <workbookView xWindow="-120" yWindow="-120" windowWidth="24240" windowHeight="13020" tabRatio="749" xr2:uid="{4AF234D6-55E2-49CF-9A9C-B6BA9DC275EE}"/>
  </bookViews>
  <sheets>
    <sheet name="鑑" sheetId="31" r:id="rId1"/>
    <sheet name="様式１（放課後児童名簿・利用料割引者名簿）" sheetId="52" r:id="rId2"/>
    <sheet name="様式２（クラブ児童数等報告書）" sheetId="46" r:id="rId3"/>
    <sheet name="様式３職員名簿および各種加算等一覧" sheetId="53" r:id="rId4"/>
    <sheet name="様式４年間開所カレンダー" sheetId="51" r:id="rId5"/>
    <sheet name="様式５（請求書）" sheetId="21" r:id="rId6"/>
    <sheet name="様式６（事業計画変更申請書）" sheetId="67" r:id="rId7"/>
    <sheet name="使わない" sheetId="27" state="hidden" r:id="rId8"/>
    <sheet name="●常勤処遇改善の交付額" sheetId="55" r:id="rId9"/>
    <sheet name="別紙様式２　事業実績報告書" sheetId="58" r:id="rId10"/>
    <sheet name="別紙様式２別添１　賃金改善内訳 " sheetId="59" r:id="rId11"/>
    <sheet name="参考" sheetId="60" state="hidden" r:id="rId12"/>
    <sheet name="別紙様式1　賃金改善計画書" sheetId="65" r:id="rId13"/>
    <sheet name="別紙様式１別添１　賃金改善内訳" sheetId="66" r:id="rId14"/>
    <sheet name="補助金算出シート " sheetId="68" r:id="rId15"/>
  </sheets>
  <externalReferences>
    <externalReference r:id="rId16"/>
  </externalReferences>
  <definedNames>
    <definedName name="_xlnm._FilterDatabase" localSheetId="4" hidden="1">様式４年間開所カレンダー!$A$3:$AO$370</definedName>
    <definedName name="aaaa" localSheetId="8">#REF!</definedName>
    <definedName name="aaaa" localSheetId="14">#REF!</definedName>
    <definedName name="aaaa" localSheetId="1">#REF!</definedName>
    <definedName name="aaaa" localSheetId="4">#REF!</definedName>
    <definedName name="aaaa">#REF!</definedName>
    <definedName name="bbbb" localSheetId="8">#REF!</definedName>
    <definedName name="bbbb" localSheetId="14">#REF!</definedName>
    <definedName name="bbbb" localSheetId="1">#REF!</definedName>
    <definedName name="bbbb" localSheetId="4">#REF!</definedName>
    <definedName name="bbbb">#REF!</definedName>
    <definedName name="ｄ" localSheetId="8">#REF!,#REF!,#REF!,#REF!,#REF!,#REF!,#REF!</definedName>
    <definedName name="ｄ" localSheetId="14">#REF!,#REF!,#REF!,#REF!,#REF!,#REF!,#REF!</definedName>
    <definedName name="ｄ" localSheetId="1">#REF!,#REF!,#REF!,#REF!,#REF!,#REF!,#REF!</definedName>
    <definedName name="ｄ" localSheetId="4">#REF!,#REF!,#REF!,#REF!,#REF!,#REF!,#REF!</definedName>
    <definedName name="ｄ">#REF!,#REF!,#REF!,#REF!,#REF!,#REF!,#REF!</definedName>
    <definedName name="ｄｄｄ" localSheetId="8">#REF!,#REF!,#REF!,#REF!,#REF!,#REF!,#REF!</definedName>
    <definedName name="ｄｄｄ" localSheetId="14">#REF!,#REF!,#REF!,#REF!,#REF!,#REF!,#REF!</definedName>
    <definedName name="ｄｄｄ" localSheetId="1">#REF!,#REF!,#REF!,#REF!,#REF!,#REF!,#REF!</definedName>
    <definedName name="ｄｄｄ" localSheetId="4">#REF!,#REF!,#REF!,#REF!,#REF!,#REF!,#REF!</definedName>
    <definedName name="ｄｄｄ">#REF!,#REF!,#REF!,#REF!,#REF!,#REF!,#REF!</definedName>
    <definedName name="ｇｇ" localSheetId="8">#REF!,#REF!,#REF!,#REF!,#REF!,#REF!,#REF!</definedName>
    <definedName name="ｇｇ" localSheetId="14">#REF!,#REF!,#REF!,#REF!,#REF!,#REF!,#REF!</definedName>
    <definedName name="ｇｇ" localSheetId="1">#REF!,#REF!,#REF!,#REF!,#REF!,#REF!,#REF!</definedName>
    <definedName name="ｇｇ" localSheetId="4">#REF!,#REF!,#REF!,#REF!,#REF!,#REF!,#REF!</definedName>
    <definedName name="ｇｇ">#REF!,#REF!,#REF!,#REF!,#REF!,#REF!,#REF!</definedName>
    <definedName name="_xlnm.Print_Area" localSheetId="8">●常勤処遇改善の交付額!$A$1:$G$24</definedName>
    <definedName name="_xlnm.Print_Area" localSheetId="0">鑑!$A$1:$K$20</definedName>
    <definedName name="_xlnm.Print_Area" localSheetId="7">使わない!$A$1:$AA$56</definedName>
    <definedName name="_xlnm.Print_Area" localSheetId="12">'別紙様式1　賃金改善計画書'!$A$1:$AI$33</definedName>
    <definedName name="_xlnm.Print_Area" localSheetId="13">'別紙様式１別添１　賃金改善内訳'!$A$1:$T$44</definedName>
    <definedName name="_xlnm.Print_Area" localSheetId="9">'別紙様式２　事業実績報告書'!$A$1:$AI$33</definedName>
    <definedName name="_xlnm.Print_Area" localSheetId="10">'別紙様式２別添１　賃金改善内訳 '!$A$1:$T$51</definedName>
    <definedName name="_xlnm.Print_Area" localSheetId="1">'様式１（放課後児童名簿・利用料割引者名簿）'!$A$1:$V$76</definedName>
    <definedName name="_xlnm.Print_Area" localSheetId="2">'様式２（クラブ児童数等報告書）'!$A$1:$Q$28</definedName>
    <definedName name="_xlnm.Print_Area" localSheetId="3">様式３職員名簿および各種加算等一覧!$A$1:$AB$50</definedName>
    <definedName name="_xlnm.Print_Area" localSheetId="4">様式４年間開所カレンダー!$A$1:$AK$379</definedName>
    <definedName name="_xlnm.Print_Area" localSheetId="6">'様式６（事業計画変更申請書）'!$A$1:$AA$55</definedName>
    <definedName name="_xlnm.Print_Titles" localSheetId="13">'別紙様式１別添１　賃金改善内訳'!$1:$5</definedName>
    <definedName name="_xlnm.Print_Titles" localSheetId="10">'別紙様式２別添１　賃金改善内訳 '!$1:$5</definedName>
    <definedName name="_xlnm.Print_Titles" localSheetId="1">'様式１（放課後児童名簿・利用料割引者名簿）'!$7:$7</definedName>
    <definedName name="_xlnm.Print_Titles" localSheetId="4">様式４年間開所カレンダー!$1:$4</definedName>
    <definedName name="ｓ" localSheetId="8">#REF!,#REF!,#REF!,#REF!,#REF!,#REF!,#REF!</definedName>
    <definedName name="ｓ" localSheetId="14">#REF!,#REF!,#REF!,#REF!,#REF!,#REF!,#REF!</definedName>
    <definedName name="ｓ" localSheetId="1">#REF!,#REF!,#REF!,#REF!,#REF!,#REF!,#REF!</definedName>
    <definedName name="ｓ" localSheetId="4">#REF!,#REF!,#REF!,#REF!,#REF!,#REF!,#REF!</definedName>
    <definedName name="ｓ">#REF!,#REF!,#REF!,#REF!,#REF!,#REF!,#REF!</definedName>
    <definedName name="ss" localSheetId="8">#REF!</definedName>
    <definedName name="ss" localSheetId="14">#REF!</definedName>
    <definedName name="ss" localSheetId="1">#REF!</definedName>
    <definedName name="ss" localSheetId="4">#REF!</definedName>
    <definedName name="ss">#REF!</definedName>
    <definedName name="あ" localSheetId="8">#REF!,#REF!,#REF!,#REF!,#REF!,#REF!,#REF!</definedName>
    <definedName name="あ" localSheetId="14">#REF!,#REF!,#REF!,#REF!,#REF!,#REF!,#REF!</definedName>
    <definedName name="あ" localSheetId="1">#REF!,#REF!,#REF!,#REF!,#REF!,#REF!,#REF!</definedName>
    <definedName name="あ" localSheetId="4">#REF!,#REF!,#REF!,#REF!,#REF!,#REF!,#REF!</definedName>
    <definedName name="あ">#REF!,#REF!,#REF!,#REF!,#REF!,#REF!,#REF!</definedName>
    <definedName name="ひとり親・兄弟姉妹計算シート" localSheetId="8">#REF!,#REF!,#REF!,#REF!,#REF!,#REF!,#REF!</definedName>
    <definedName name="ひとり親・兄弟姉妹計算シート" localSheetId="14">#REF!,#REF!,#REF!,#REF!,#REF!,#REF!,#REF!</definedName>
    <definedName name="ひとり親・兄弟姉妹計算シート" localSheetId="1">#REF!,#REF!,#REF!,#REF!,#REF!,#REF!,#REF!</definedName>
    <definedName name="ひとり親・兄弟姉妹計算シート" localSheetId="4">#REF!,#REF!,#REF!,#REF!,#REF!,#REF!,#REF!</definedName>
    <definedName name="ひとり親・兄弟姉妹計算シート">#REF!,#REF!,#REF!,#REF!,#REF!,#REF!,#REF!</definedName>
    <definedName name="後" localSheetId="8">#REF!,#REF!,#REF!,#REF!,#REF!,#REF!,#REF!</definedName>
    <definedName name="後" localSheetId="14">#REF!,#REF!,#REF!,#REF!,#REF!,#REF!,#REF!</definedName>
    <definedName name="後" localSheetId="1">#REF!,#REF!,#REF!,#REF!,#REF!,#REF!,#REF!</definedName>
    <definedName name="後" localSheetId="4">#REF!,#REF!,#REF!,#REF!,#REF!,#REF!,#REF!</definedName>
    <definedName name="後">#REF!,#REF!,#REF!,#REF!,#REF!,#REF!,#REF!</definedName>
    <definedName name="後期" localSheetId="8">#REF!,#REF!,#REF!,#REF!,#REF!,#REF!,#REF!</definedName>
    <definedName name="後期" localSheetId="14">#REF!,#REF!,#REF!,#REF!,#REF!,#REF!,#REF!</definedName>
    <definedName name="後期" localSheetId="1">#REF!,#REF!,#REF!,#REF!,#REF!,#REF!,#REF!</definedName>
    <definedName name="後期" localSheetId="4">#REF!,#REF!,#REF!,#REF!,#REF!,#REF!,#REF!</definedName>
    <definedName name="後期">#REF!,#REF!,#REF!,#REF!,#REF!,#REF!,#REF!</definedName>
    <definedName name="後曜" localSheetId="8">#REF!,#REF!,#REF!,#REF!,#REF!,#REF!,#REF!</definedName>
    <definedName name="後曜" localSheetId="14">#REF!,#REF!,#REF!,#REF!,#REF!,#REF!,#REF!</definedName>
    <definedName name="後曜" localSheetId="1">#REF!,#REF!,#REF!,#REF!,#REF!,#REF!,#REF!</definedName>
    <definedName name="後曜" localSheetId="4">#REF!,#REF!,#REF!,#REF!,#REF!,#REF!,#REF!</definedName>
    <definedName name="後曜">#REF!,#REF!,#REF!,#REF!,#REF!,#REF!,#REF!</definedName>
    <definedName name="手書き" localSheetId="8">#REF!,#REF!,#REF!,#REF!,#REF!,#REF!,#REF!</definedName>
    <definedName name="手書き" localSheetId="14">#REF!,#REF!,#REF!,#REF!,#REF!,#REF!,#REF!</definedName>
    <definedName name="手書き" localSheetId="1">#REF!,#REF!,#REF!,#REF!,#REF!,#REF!,#REF!</definedName>
    <definedName name="手書き" localSheetId="4">#REF!,#REF!,#REF!,#REF!,#REF!,#REF!,#REF!</definedName>
    <definedName name="手書き">#REF!,#REF!,#REF!,#REF!,#REF!,#REF!,#REF!</definedName>
    <definedName name="前期" localSheetId="8">#REF!,#REF!,#REF!,#REF!,#REF!,#REF!</definedName>
    <definedName name="前期" localSheetId="14">#REF!,#REF!,#REF!,#REF!,#REF!,#REF!</definedName>
    <definedName name="前期" localSheetId="1">#REF!,#REF!,#REF!,#REF!,#REF!,#REF!</definedName>
    <definedName name="前期" localSheetId="4">#REF!,#REF!,#REF!,#REF!,#REF!,#REF!</definedName>
    <definedName name="前期">#REF!,#REF!,#REF!,#REF!,#REF!,#REF!</definedName>
    <definedName name="前曜" localSheetId="8">#REF!,#REF!,#REF!,#REF!,#REF!,#REF!</definedName>
    <definedName name="前曜" localSheetId="14">#REF!,#REF!,#REF!,#REF!,#REF!,#REF!</definedName>
    <definedName name="前曜" localSheetId="1">#REF!,#REF!,#REF!,#REF!,#REF!,#REF!</definedName>
    <definedName name="前曜" localSheetId="4">#REF!,#REF!,#REF!,#REF!,#REF!,#REF!</definedName>
    <definedName name="前曜">#REF!,#REF!,#REF!,#REF!,#REF!,#REF!</definedName>
    <definedName name="分割１" localSheetId="8">#REF!,#REF!,#REF!,#REF!,#REF!,#REF!,#REF!</definedName>
    <definedName name="分割１" localSheetId="14">#REF!,#REF!,#REF!,#REF!,#REF!,#REF!,#REF!</definedName>
    <definedName name="分割１" localSheetId="1">#REF!,#REF!,#REF!,#REF!,#REF!,#REF!,#REF!</definedName>
    <definedName name="分割１" localSheetId="4">#REF!,#REF!,#REF!,#REF!,#REF!,#REF!,#REF!</definedName>
    <definedName name="分割１">#REF!,#REF!,#REF!,#REF!,#REF!,#REF!,#REF!</definedName>
    <definedName name="保育所別民改費担当者一覧" localSheetId="8">#REF!</definedName>
    <definedName name="保育所別民改費担当者一覧" localSheetId="14">#REF!</definedName>
    <definedName name="保育所別民改費担当者一覧" localSheetId="1">#REF!</definedName>
    <definedName name="保育所別民改費担当者一覧" localSheetId="4">#REF!</definedName>
    <definedName name="保育所別民改費担当者一覧">#REF!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G6" i="51" l="1"/>
  <c r="AG7" i="51"/>
  <c r="AG8" i="51"/>
  <c r="AG9" i="51"/>
  <c r="AG10" i="51"/>
  <c r="AG11" i="51"/>
  <c r="AG12" i="51"/>
  <c r="AG13" i="51"/>
  <c r="AG14" i="51"/>
  <c r="AG15" i="51"/>
  <c r="AG16" i="51"/>
  <c r="AG17" i="51"/>
  <c r="AG18" i="51"/>
  <c r="AG19" i="51"/>
  <c r="AG20" i="51"/>
  <c r="AG21" i="51"/>
  <c r="AG22" i="51"/>
  <c r="AG23" i="51"/>
  <c r="AG24" i="51"/>
  <c r="AG25" i="51"/>
  <c r="AG26" i="51"/>
  <c r="AG27" i="51"/>
  <c r="AG28" i="51"/>
  <c r="AG29" i="51"/>
  <c r="AG30" i="51"/>
  <c r="AG31" i="51"/>
  <c r="AG32" i="51"/>
  <c r="AG33" i="51"/>
  <c r="AG34" i="51"/>
  <c r="AG35" i="51"/>
  <c r="AG36" i="51"/>
  <c r="AG37" i="51"/>
  <c r="AG38" i="51"/>
  <c r="AG39" i="51"/>
  <c r="AG40" i="51"/>
  <c r="AG41" i="51"/>
  <c r="AG42" i="51"/>
  <c r="AG43" i="51"/>
  <c r="AG44" i="51"/>
  <c r="AG45" i="51"/>
  <c r="AG46" i="51"/>
  <c r="AG47" i="51"/>
  <c r="AG48" i="51"/>
  <c r="AG49" i="51"/>
  <c r="AG50" i="51"/>
  <c r="AG51" i="51"/>
  <c r="AG52" i="51"/>
  <c r="AG53" i="51"/>
  <c r="AG54" i="51"/>
  <c r="AG55" i="51"/>
  <c r="AG56" i="51"/>
  <c r="AG57" i="51"/>
  <c r="AG58" i="51"/>
  <c r="AG59" i="51"/>
  <c r="AG60" i="51"/>
  <c r="AG61" i="51"/>
  <c r="AG62" i="51"/>
  <c r="AG63" i="51"/>
  <c r="AG64" i="51"/>
  <c r="AG65" i="51"/>
  <c r="AG66" i="51"/>
  <c r="AG67" i="51"/>
  <c r="AG68" i="51"/>
  <c r="AG69" i="51"/>
  <c r="AG70" i="51"/>
  <c r="AG71" i="51"/>
  <c r="AG72" i="51"/>
  <c r="AG73" i="51"/>
  <c r="AG74" i="51"/>
  <c r="AG75" i="51"/>
  <c r="AG76" i="51"/>
  <c r="AG77" i="51"/>
  <c r="AG78" i="51"/>
  <c r="AG79" i="51"/>
  <c r="AG80" i="51"/>
  <c r="AG81" i="51"/>
  <c r="AG82" i="51"/>
  <c r="AG83" i="51"/>
  <c r="AG84" i="51"/>
  <c r="AG85" i="51"/>
  <c r="AG86" i="51"/>
  <c r="AG87" i="51"/>
  <c r="AG88" i="51"/>
  <c r="AG89" i="51"/>
  <c r="AG90" i="51"/>
  <c r="AG91" i="51"/>
  <c r="AG92" i="51"/>
  <c r="AG93" i="51"/>
  <c r="AG94" i="51"/>
  <c r="AG95" i="51"/>
  <c r="AG96" i="51"/>
  <c r="AG97" i="51"/>
  <c r="AG98" i="51"/>
  <c r="AG99" i="51"/>
  <c r="AG100" i="51"/>
  <c r="AG101" i="51"/>
  <c r="AG102" i="51"/>
  <c r="AG103" i="51"/>
  <c r="AG104" i="51"/>
  <c r="AG105" i="51"/>
  <c r="AG106" i="51"/>
  <c r="AG107" i="51"/>
  <c r="AG108" i="51"/>
  <c r="AG109" i="51"/>
  <c r="AG110" i="51"/>
  <c r="AG111" i="51"/>
  <c r="AG112" i="51"/>
  <c r="AG113" i="51"/>
  <c r="AG114" i="51"/>
  <c r="AG115" i="51"/>
  <c r="AG116" i="51"/>
  <c r="AG117" i="51"/>
  <c r="AG118" i="51"/>
  <c r="AG119" i="51"/>
  <c r="AG120" i="51"/>
  <c r="AG121" i="51"/>
  <c r="AG122" i="51"/>
  <c r="AG123" i="51"/>
  <c r="AG124" i="51"/>
  <c r="AG125" i="51"/>
  <c r="AG126" i="51"/>
  <c r="AG127" i="51"/>
  <c r="AG128" i="51"/>
  <c r="AG129" i="51"/>
  <c r="AG130" i="51"/>
  <c r="AG131" i="51"/>
  <c r="AG132" i="51"/>
  <c r="AG133" i="51"/>
  <c r="AG134" i="51"/>
  <c r="AG135" i="51"/>
  <c r="AG136" i="51"/>
  <c r="AG137" i="51"/>
  <c r="AG138" i="51"/>
  <c r="AG139" i="51"/>
  <c r="AG140" i="51"/>
  <c r="AG141" i="51"/>
  <c r="AG142" i="51"/>
  <c r="AG143" i="51"/>
  <c r="AG144" i="51"/>
  <c r="AG145" i="51"/>
  <c r="AG146" i="51"/>
  <c r="AG147" i="51"/>
  <c r="AG148" i="51"/>
  <c r="AG149" i="51"/>
  <c r="AG150" i="51"/>
  <c r="AG151" i="51"/>
  <c r="AG152" i="51"/>
  <c r="AG153" i="51"/>
  <c r="AG154" i="51"/>
  <c r="AG155" i="51"/>
  <c r="AG156" i="51"/>
  <c r="AG157" i="51"/>
  <c r="AG158" i="51"/>
  <c r="AG159" i="51"/>
  <c r="AG160" i="51"/>
  <c r="AG161" i="51"/>
  <c r="AG162" i="51"/>
  <c r="AG163" i="51"/>
  <c r="AG164" i="51"/>
  <c r="AG165" i="51"/>
  <c r="AG166" i="51"/>
  <c r="AG167" i="51"/>
  <c r="AG168" i="51"/>
  <c r="AG169" i="51"/>
  <c r="AG170" i="51"/>
  <c r="AG171" i="51"/>
  <c r="AG172" i="51"/>
  <c r="AG173" i="51"/>
  <c r="AG174" i="51"/>
  <c r="AG175" i="51"/>
  <c r="AG176" i="51"/>
  <c r="AG177" i="51"/>
  <c r="AG178" i="51"/>
  <c r="AG179" i="51"/>
  <c r="AG180" i="51"/>
  <c r="AG181" i="51"/>
  <c r="AG182" i="51"/>
  <c r="AG183" i="51"/>
  <c r="AG184" i="51"/>
  <c r="AG185" i="51"/>
  <c r="AG186" i="51"/>
  <c r="AG187" i="51"/>
  <c r="AG188" i="51"/>
  <c r="AG189" i="51"/>
  <c r="AG190" i="51"/>
  <c r="AG191" i="51"/>
  <c r="AG192" i="51"/>
  <c r="AG193" i="51"/>
  <c r="AG194" i="51"/>
  <c r="AG195" i="51"/>
  <c r="AG196" i="51"/>
  <c r="AG197" i="51"/>
  <c r="AG198" i="51"/>
  <c r="AG199" i="51"/>
  <c r="AG200" i="51"/>
  <c r="AG201" i="51"/>
  <c r="AG202" i="51"/>
  <c r="AG203" i="51"/>
  <c r="AG204" i="51"/>
  <c r="AG205" i="51"/>
  <c r="AG206" i="51"/>
  <c r="AG207" i="51"/>
  <c r="AG208" i="51"/>
  <c r="AG209" i="51"/>
  <c r="AG210" i="51"/>
  <c r="AG211" i="51"/>
  <c r="AG212" i="51"/>
  <c r="AG213" i="51"/>
  <c r="AG214" i="51"/>
  <c r="AG215" i="51"/>
  <c r="AG216" i="51"/>
  <c r="AG217" i="51"/>
  <c r="AG218" i="51"/>
  <c r="AG219" i="51"/>
  <c r="AG220" i="51"/>
  <c r="AG221" i="51"/>
  <c r="AG222" i="51"/>
  <c r="AG223" i="51"/>
  <c r="AG224" i="51"/>
  <c r="AG225" i="51"/>
  <c r="AG226" i="51"/>
  <c r="AG227" i="51"/>
  <c r="AG228" i="51"/>
  <c r="AG229" i="51"/>
  <c r="AG230" i="51"/>
  <c r="AG231" i="51"/>
  <c r="AG232" i="51"/>
  <c r="AG233" i="51"/>
  <c r="AG234" i="51"/>
  <c r="AG235" i="51"/>
  <c r="AG236" i="51"/>
  <c r="AG237" i="51"/>
  <c r="AG238" i="51"/>
  <c r="AG239" i="51"/>
  <c r="AG240" i="51"/>
  <c r="AG241" i="51"/>
  <c r="AG242" i="51"/>
  <c r="AG243" i="51"/>
  <c r="AG244" i="51"/>
  <c r="AG245" i="51"/>
  <c r="AG246" i="51"/>
  <c r="AG247" i="51"/>
  <c r="AG248" i="51"/>
  <c r="AG249" i="51"/>
  <c r="AG250" i="51"/>
  <c r="AG251" i="51"/>
  <c r="AG252" i="51"/>
  <c r="AG253" i="51"/>
  <c r="AG254" i="51"/>
  <c r="AG255" i="51"/>
  <c r="AG256" i="51"/>
  <c r="AG257" i="51"/>
  <c r="AG258" i="51"/>
  <c r="AG259" i="51"/>
  <c r="AG260" i="51"/>
  <c r="AG261" i="51"/>
  <c r="AG262" i="51"/>
  <c r="AG263" i="51"/>
  <c r="AG264" i="51"/>
  <c r="AG265" i="51"/>
  <c r="AG266" i="51"/>
  <c r="AG267" i="51"/>
  <c r="AG268" i="51"/>
  <c r="AG269" i="51"/>
  <c r="AG270" i="51"/>
  <c r="AG271" i="51"/>
  <c r="AG272" i="51"/>
  <c r="AG273" i="51"/>
  <c r="AG274" i="51"/>
  <c r="AG275" i="51"/>
  <c r="AG276" i="51"/>
  <c r="AG277" i="51"/>
  <c r="AG278" i="51"/>
  <c r="AG279" i="51"/>
  <c r="AG280" i="51"/>
  <c r="AG281" i="51"/>
  <c r="AG282" i="51"/>
  <c r="AG283" i="51"/>
  <c r="AG284" i="51"/>
  <c r="AG285" i="51"/>
  <c r="AG286" i="51"/>
  <c r="AG287" i="51"/>
  <c r="AG288" i="51"/>
  <c r="AG289" i="51"/>
  <c r="AG290" i="51"/>
  <c r="AG291" i="51"/>
  <c r="AG292" i="51"/>
  <c r="AG293" i="51"/>
  <c r="AG294" i="51"/>
  <c r="AG295" i="51"/>
  <c r="AG296" i="51"/>
  <c r="AG297" i="51"/>
  <c r="AG298" i="51"/>
  <c r="AG299" i="51"/>
  <c r="AG300" i="51"/>
  <c r="AG301" i="51"/>
  <c r="AG302" i="51"/>
  <c r="AG303" i="51"/>
  <c r="AG304" i="51"/>
  <c r="AG305" i="51"/>
  <c r="AG306" i="51"/>
  <c r="AG307" i="51"/>
  <c r="AG308" i="51"/>
  <c r="AG309" i="51"/>
  <c r="AG310" i="51"/>
  <c r="AG311" i="51"/>
  <c r="AG312" i="51"/>
  <c r="AG313" i="51"/>
  <c r="AG314" i="51"/>
  <c r="AG315" i="51"/>
  <c r="AG316" i="51"/>
  <c r="AG317" i="51"/>
  <c r="AG318" i="51"/>
  <c r="AG319" i="51"/>
  <c r="AG320" i="51"/>
  <c r="AG321" i="51"/>
  <c r="AG322" i="51"/>
  <c r="AG323" i="51"/>
  <c r="AG324" i="51"/>
  <c r="AG325" i="51"/>
  <c r="AG326" i="51"/>
  <c r="AG327" i="51"/>
  <c r="AG328" i="51"/>
  <c r="AG329" i="51"/>
  <c r="AG330" i="51"/>
  <c r="AG331" i="51"/>
  <c r="AG332" i="51"/>
  <c r="AG333" i="51"/>
  <c r="AG334" i="51"/>
  <c r="AG335" i="51"/>
  <c r="AG336" i="51"/>
  <c r="AG337" i="51"/>
  <c r="AG338" i="51"/>
  <c r="AG339" i="51"/>
  <c r="AG340" i="51"/>
  <c r="AG341" i="51"/>
  <c r="AG342" i="51"/>
  <c r="AG343" i="51"/>
  <c r="AG344" i="51"/>
  <c r="AG345" i="51"/>
  <c r="AG346" i="51"/>
  <c r="AG347" i="51"/>
  <c r="AG348" i="51"/>
  <c r="AG349" i="51"/>
  <c r="AG350" i="51"/>
  <c r="AG351" i="51"/>
  <c r="AG352" i="51"/>
  <c r="AG353" i="51"/>
  <c r="AG354" i="51"/>
  <c r="AG355" i="51"/>
  <c r="AG356" i="51"/>
  <c r="AG357" i="51"/>
  <c r="AG358" i="51"/>
  <c r="AG359" i="51"/>
  <c r="AG360" i="51"/>
  <c r="AG361" i="51"/>
  <c r="AG362" i="51"/>
  <c r="AG363" i="51"/>
  <c r="AG364" i="51"/>
  <c r="AG365" i="51"/>
  <c r="AG366" i="51"/>
  <c r="AG367" i="51"/>
  <c r="AG368" i="51"/>
  <c r="AG369" i="51"/>
  <c r="AG5" i="51"/>
  <c r="I369" i="51" l="1"/>
  <c r="H369" i="51"/>
  <c r="I368" i="51"/>
  <c r="H368" i="51"/>
  <c r="I367" i="51"/>
  <c r="H367" i="51"/>
  <c r="I366" i="51"/>
  <c r="H366" i="51"/>
  <c r="I365" i="51"/>
  <c r="H365" i="51"/>
  <c r="I364" i="51"/>
  <c r="H364" i="51"/>
  <c r="I363" i="51"/>
  <c r="H363" i="51"/>
  <c r="I362" i="51"/>
  <c r="H362" i="51"/>
  <c r="I361" i="51"/>
  <c r="H361" i="51"/>
  <c r="I360" i="51"/>
  <c r="H360" i="51"/>
  <c r="I359" i="51"/>
  <c r="H359" i="51"/>
  <c r="I358" i="51"/>
  <c r="H358" i="51"/>
  <c r="I357" i="51"/>
  <c r="H357" i="51"/>
  <c r="I356" i="51"/>
  <c r="H356" i="51"/>
  <c r="I355" i="51"/>
  <c r="H355" i="51"/>
  <c r="I354" i="51"/>
  <c r="H354" i="51"/>
  <c r="I353" i="51"/>
  <c r="H353" i="51"/>
  <c r="I352" i="51"/>
  <c r="H352" i="51"/>
  <c r="I351" i="51"/>
  <c r="H351" i="51"/>
  <c r="I350" i="51"/>
  <c r="H350" i="51"/>
  <c r="I349" i="51"/>
  <c r="H349" i="51"/>
  <c r="I348" i="51"/>
  <c r="H348" i="51"/>
  <c r="I347" i="51"/>
  <c r="H347" i="51"/>
  <c r="I346" i="51"/>
  <c r="H346" i="51"/>
  <c r="I345" i="51"/>
  <c r="H345" i="51"/>
  <c r="I344" i="51"/>
  <c r="H344" i="51"/>
  <c r="I343" i="51"/>
  <c r="H343" i="51"/>
  <c r="I342" i="51"/>
  <c r="H342" i="51"/>
  <c r="I341" i="51"/>
  <c r="H341" i="51"/>
  <c r="I340" i="51"/>
  <c r="H340" i="51"/>
  <c r="I339" i="51"/>
  <c r="H339" i="51"/>
  <c r="I338" i="51"/>
  <c r="H338" i="51"/>
  <c r="I337" i="51"/>
  <c r="H337" i="51"/>
  <c r="I336" i="51"/>
  <c r="H336" i="51"/>
  <c r="I335" i="51"/>
  <c r="H335" i="51"/>
  <c r="I334" i="51"/>
  <c r="H334" i="51"/>
  <c r="I333" i="51"/>
  <c r="H333" i="51"/>
  <c r="I332" i="51"/>
  <c r="H332" i="51"/>
  <c r="I331" i="51"/>
  <c r="H331" i="51"/>
  <c r="I330" i="51"/>
  <c r="H330" i="51"/>
  <c r="I329" i="51"/>
  <c r="H329" i="51"/>
  <c r="I328" i="51"/>
  <c r="H328" i="51"/>
  <c r="I327" i="51"/>
  <c r="H327" i="51"/>
  <c r="I326" i="51"/>
  <c r="H326" i="51"/>
  <c r="I325" i="51"/>
  <c r="H325" i="51"/>
  <c r="I324" i="51"/>
  <c r="H324" i="51"/>
  <c r="I323" i="51"/>
  <c r="H323" i="51"/>
  <c r="I322" i="51"/>
  <c r="H322" i="51"/>
  <c r="I321" i="51"/>
  <c r="H321" i="51"/>
  <c r="I320" i="51"/>
  <c r="H320" i="51"/>
  <c r="I319" i="51"/>
  <c r="H319" i="51"/>
  <c r="I318" i="51"/>
  <c r="H318" i="51"/>
  <c r="I317" i="51"/>
  <c r="H317" i="51"/>
  <c r="I316" i="51"/>
  <c r="H316" i="51"/>
  <c r="I315" i="51"/>
  <c r="H315" i="51"/>
  <c r="I314" i="51"/>
  <c r="H314" i="51"/>
  <c r="I313" i="51"/>
  <c r="H313" i="51"/>
  <c r="I312" i="51"/>
  <c r="H312" i="51"/>
  <c r="I311" i="51"/>
  <c r="H311" i="51"/>
  <c r="I310" i="51"/>
  <c r="H310" i="51"/>
  <c r="I309" i="51"/>
  <c r="H309" i="51"/>
  <c r="I308" i="51"/>
  <c r="H308" i="51"/>
  <c r="I307" i="51"/>
  <c r="H307" i="51"/>
  <c r="I306" i="51"/>
  <c r="H306" i="51"/>
  <c r="I305" i="51"/>
  <c r="H305" i="51"/>
  <c r="I304" i="51"/>
  <c r="H304" i="51"/>
  <c r="I303" i="51"/>
  <c r="H303" i="51"/>
  <c r="I302" i="51"/>
  <c r="H302" i="51"/>
  <c r="I301" i="51"/>
  <c r="H301" i="51"/>
  <c r="I300" i="51"/>
  <c r="H300" i="51"/>
  <c r="I299" i="51"/>
  <c r="H299" i="51"/>
  <c r="I298" i="51"/>
  <c r="H298" i="51"/>
  <c r="I297" i="51"/>
  <c r="H297" i="51"/>
  <c r="I296" i="51"/>
  <c r="H296" i="51"/>
  <c r="I295" i="51"/>
  <c r="H295" i="51"/>
  <c r="I294" i="51"/>
  <c r="H294" i="51"/>
  <c r="I293" i="51"/>
  <c r="H293" i="51"/>
  <c r="I292" i="51"/>
  <c r="H292" i="51"/>
  <c r="I291" i="51"/>
  <c r="H291" i="51"/>
  <c r="I290" i="51"/>
  <c r="H290" i="51"/>
  <c r="I289" i="51"/>
  <c r="H289" i="51"/>
  <c r="I288" i="51"/>
  <c r="H288" i="51"/>
  <c r="I287" i="51"/>
  <c r="H287" i="51"/>
  <c r="I286" i="51"/>
  <c r="H286" i="51"/>
  <c r="I285" i="51"/>
  <c r="H285" i="51"/>
  <c r="I284" i="51"/>
  <c r="H284" i="51"/>
  <c r="I283" i="51"/>
  <c r="H283" i="51"/>
  <c r="I282" i="51"/>
  <c r="H282" i="51"/>
  <c r="I281" i="51"/>
  <c r="H281" i="51"/>
  <c r="I280" i="51"/>
  <c r="H280" i="51"/>
  <c r="I279" i="51"/>
  <c r="H279" i="51"/>
  <c r="I278" i="51"/>
  <c r="H278" i="51"/>
  <c r="I277" i="51"/>
  <c r="H277" i="51"/>
  <c r="I276" i="51"/>
  <c r="H276" i="51"/>
  <c r="I275" i="51"/>
  <c r="H275" i="51"/>
  <c r="I274" i="51"/>
  <c r="H274" i="51"/>
  <c r="I273" i="51"/>
  <c r="H273" i="51"/>
  <c r="I272" i="51"/>
  <c r="H272" i="51"/>
  <c r="I271" i="51"/>
  <c r="H271" i="51"/>
  <c r="I270" i="51"/>
  <c r="H270" i="51"/>
  <c r="I269" i="51"/>
  <c r="H269" i="51"/>
  <c r="I268" i="51"/>
  <c r="H268" i="51"/>
  <c r="I267" i="51"/>
  <c r="H267" i="51"/>
  <c r="I266" i="51"/>
  <c r="H266" i="51"/>
  <c r="I265" i="51"/>
  <c r="H265" i="51"/>
  <c r="I264" i="51"/>
  <c r="H264" i="51"/>
  <c r="I263" i="51"/>
  <c r="H263" i="51"/>
  <c r="I262" i="51"/>
  <c r="H262" i="51"/>
  <c r="I261" i="51"/>
  <c r="H261" i="51"/>
  <c r="I260" i="51"/>
  <c r="H260" i="51"/>
  <c r="I259" i="51"/>
  <c r="H259" i="51"/>
  <c r="I258" i="51"/>
  <c r="H258" i="51"/>
  <c r="I257" i="51"/>
  <c r="H257" i="51"/>
  <c r="I256" i="51"/>
  <c r="H256" i="51"/>
  <c r="I255" i="51"/>
  <c r="H255" i="51"/>
  <c r="I254" i="51"/>
  <c r="H254" i="51"/>
  <c r="I253" i="51"/>
  <c r="H253" i="51"/>
  <c r="I252" i="51"/>
  <c r="H252" i="51"/>
  <c r="I251" i="51"/>
  <c r="H251" i="51"/>
  <c r="I250" i="51"/>
  <c r="H250" i="51"/>
  <c r="I249" i="51"/>
  <c r="H249" i="51"/>
  <c r="I248" i="51"/>
  <c r="H248" i="51"/>
  <c r="I247" i="51"/>
  <c r="H247" i="51"/>
  <c r="I246" i="51"/>
  <c r="H246" i="51"/>
  <c r="I245" i="51"/>
  <c r="H245" i="51"/>
  <c r="I244" i="51"/>
  <c r="H244" i="51"/>
  <c r="I243" i="51"/>
  <c r="H243" i="51"/>
  <c r="I242" i="51"/>
  <c r="H242" i="51"/>
  <c r="I241" i="51"/>
  <c r="H241" i="51"/>
  <c r="I240" i="51"/>
  <c r="H240" i="51"/>
  <c r="I239" i="51"/>
  <c r="H239" i="51"/>
  <c r="I238" i="51"/>
  <c r="H238" i="51"/>
  <c r="I237" i="51"/>
  <c r="H237" i="51"/>
  <c r="I236" i="51"/>
  <c r="H236" i="51"/>
  <c r="I235" i="51"/>
  <c r="H235" i="51"/>
  <c r="I234" i="51"/>
  <c r="H234" i="51"/>
  <c r="I233" i="51"/>
  <c r="H233" i="51"/>
  <c r="I232" i="51"/>
  <c r="H232" i="51"/>
  <c r="I231" i="51"/>
  <c r="H231" i="51"/>
  <c r="I230" i="51"/>
  <c r="H230" i="51"/>
  <c r="I229" i="51"/>
  <c r="H229" i="51"/>
  <c r="I228" i="51"/>
  <c r="H228" i="51"/>
  <c r="I227" i="51"/>
  <c r="H227" i="51"/>
  <c r="I226" i="51"/>
  <c r="H226" i="51"/>
  <c r="I225" i="51"/>
  <c r="H225" i="51"/>
  <c r="I224" i="51"/>
  <c r="H224" i="51"/>
  <c r="I223" i="51"/>
  <c r="H223" i="51"/>
  <c r="I222" i="51"/>
  <c r="H222" i="51"/>
  <c r="I221" i="51"/>
  <c r="H221" i="51"/>
  <c r="I220" i="51"/>
  <c r="H220" i="51"/>
  <c r="I219" i="51"/>
  <c r="H219" i="51"/>
  <c r="I218" i="51"/>
  <c r="H218" i="51"/>
  <c r="I217" i="51"/>
  <c r="H217" i="51"/>
  <c r="I216" i="51"/>
  <c r="H216" i="51"/>
  <c r="I215" i="51"/>
  <c r="H215" i="51"/>
  <c r="I214" i="51"/>
  <c r="H214" i="51"/>
  <c r="I213" i="51"/>
  <c r="H213" i="51"/>
  <c r="I212" i="51"/>
  <c r="H212" i="51"/>
  <c r="I211" i="51"/>
  <c r="H211" i="51"/>
  <c r="I210" i="51"/>
  <c r="H210" i="51"/>
  <c r="I209" i="51"/>
  <c r="H209" i="51"/>
  <c r="I208" i="51"/>
  <c r="H208" i="51"/>
  <c r="I207" i="51"/>
  <c r="H207" i="51"/>
  <c r="I206" i="51"/>
  <c r="H206" i="51"/>
  <c r="I205" i="51"/>
  <c r="H205" i="51"/>
  <c r="I204" i="51"/>
  <c r="H204" i="51"/>
  <c r="I203" i="51"/>
  <c r="H203" i="51"/>
  <c r="I202" i="51"/>
  <c r="H202" i="51"/>
  <c r="I201" i="51"/>
  <c r="H201" i="51"/>
  <c r="I200" i="51"/>
  <c r="H200" i="51"/>
  <c r="I199" i="51"/>
  <c r="H199" i="51"/>
  <c r="I198" i="51"/>
  <c r="H198" i="51"/>
  <c r="I197" i="51"/>
  <c r="H197" i="51"/>
  <c r="I196" i="51"/>
  <c r="H196" i="51"/>
  <c r="I195" i="51"/>
  <c r="H195" i="51"/>
  <c r="I194" i="51"/>
  <c r="H194" i="51"/>
  <c r="I193" i="51"/>
  <c r="H193" i="51"/>
  <c r="I192" i="51"/>
  <c r="H192" i="51"/>
  <c r="I191" i="51"/>
  <c r="H191" i="51"/>
  <c r="I190" i="51"/>
  <c r="H190" i="51"/>
  <c r="I189" i="51"/>
  <c r="H189" i="51"/>
  <c r="I188" i="51"/>
  <c r="H188" i="51"/>
  <c r="I187" i="51"/>
  <c r="H187" i="51"/>
  <c r="I186" i="51"/>
  <c r="H186" i="51"/>
  <c r="I185" i="51"/>
  <c r="H185" i="51"/>
  <c r="I184" i="51"/>
  <c r="H184" i="51"/>
  <c r="I183" i="51"/>
  <c r="H183" i="51"/>
  <c r="I182" i="51"/>
  <c r="H182" i="51"/>
  <c r="I181" i="51"/>
  <c r="H181" i="51"/>
  <c r="I180" i="51"/>
  <c r="H180" i="51"/>
  <c r="I179" i="51"/>
  <c r="H179" i="51"/>
  <c r="I178" i="51"/>
  <c r="H178" i="51"/>
  <c r="I177" i="51"/>
  <c r="H177" i="51"/>
  <c r="I176" i="51"/>
  <c r="H176" i="51"/>
  <c r="I175" i="51"/>
  <c r="H175" i="51"/>
  <c r="I174" i="51"/>
  <c r="H174" i="51"/>
  <c r="I173" i="51"/>
  <c r="H173" i="51"/>
  <c r="I172" i="51"/>
  <c r="H172" i="51"/>
  <c r="I171" i="51"/>
  <c r="H171" i="51"/>
  <c r="I170" i="51"/>
  <c r="H170" i="51"/>
  <c r="I169" i="51"/>
  <c r="H169" i="51"/>
  <c r="I168" i="51"/>
  <c r="H168" i="51"/>
  <c r="I167" i="51"/>
  <c r="H167" i="51"/>
  <c r="I166" i="51"/>
  <c r="H166" i="51"/>
  <c r="I165" i="51"/>
  <c r="H165" i="51"/>
  <c r="I164" i="51"/>
  <c r="H164" i="51"/>
  <c r="I163" i="51"/>
  <c r="H163" i="51"/>
  <c r="I162" i="51"/>
  <c r="H162" i="51"/>
  <c r="I161" i="51"/>
  <c r="H161" i="51"/>
  <c r="I160" i="51"/>
  <c r="H160" i="51"/>
  <c r="I159" i="51"/>
  <c r="H159" i="51"/>
  <c r="I158" i="51"/>
  <c r="H158" i="51"/>
  <c r="I157" i="51"/>
  <c r="H157" i="51"/>
  <c r="I156" i="51"/>
  <c r="H156" i="51"/>
  <c r="I155" i="51"/>
  <c r="H155" i="51"/>
  <c r="I154" i="51"/>
  <c r="H154" i="51"/>
  <c r="I153" i="51"/>
  <c r="H153" i="51"/>
  <c r="I152" i="51"/>
  <c r="H152" i="51"/>
  <c r="I151" i="51"/>
  <c r="H151" i="51"/>
  <c r="I150" i="51"/>
  <c r="H150" i="51"/>
  <c r="I149" i="51"/>
  <c r="H149" i="51"/>
  <c r="I148" i="51"/>
  <c r="H148" i="51"/>
  <c r="I147" i="51"/>
  <c r="H147" i="51"/>
  <c r="I146" i="51"/>
  <c r="H146" i="51"/>
  <c r="I145" i="51"/>
  <c r="H145" i="51"/>
  <c r="I144" i="51"/>
  <c r="H144" i="51"/>
  <c r="I143" i="51"/>
  <c r="H143" i="51"/>
  <c r="I142" i="51"/>
  <c r="H142" i="51"/>
  <c r="I141" i="51"/>
  <c r="H141" i="51"/>
  <c r="I140" i="51"/>
  <c r="H140" i="51"/>
  <c r="I139" i="51"/>
  <c r="H139" i="51"/>
  <c r="I138" i="51"/>
  <c r="H138" i="51"/>
  <c r="I137" i="51"/>
  <c r="H137" i="51"/>
  <c r="I136" i="51"/>
  <c r="H136" i="51"/>
  <c r="I135" i="51"/>
  <c r="H135" i="51"/>
  <c r="I134" i="51"/>
  <c r="H134" i="51"/>
  <c r="I133" i="51"/>
  <c r="H133" i="51"/>
  <c r="I132" i="51"/>
  <c r="H132" i="51"/>
  <c r="I131" i="51"/>
  <c r="H131" i="51"/>
  <c r="I130" i="51"/>
  <c r="H130" i="51"/>
  <c r="I129" i="51"/>
  <c r="H129" i="51"/>
  <c r="I128" i="51"/>
  <c r="H128" i="51"/>
  <c r="I127" i="51"/>
  <c r="H127" i="51"/>
  <c r="I126" i="51"/>
  <c r="H126" i="51"/>
  <c r="I125" i="51"/>
  <c r="H125" i="51"/>
  <c r="I124" i="51"/>
  <c r="H124" i="51"/>
  <c r="I123" i="51"/>
  <c r="H123" i="51"/>
  <c r="I122" i="51"/>
  <c r="H122" i="51"/>
  <c r="I121" i="51"/>
  <c r="H121" i="51"/>
  <c r="I120" i="51"/>
  <c r="H120" i="51"/>
  <c r="I119" i="51"/>
  <c r="H119" i="51"/>
  <c r="I118" i="51"/>
  <c r="H118" i="51"/>
  <c r="I117" i="51"/>
  <c r="H117" i="51"/>
  <c r="I116" i="51"/>
  <c r="H116" i="51"/>
  <c r="I115" i="51"/>
  <c r="H115" i="51"/>
  <c r="I114" i="51"/>
  <c r="H114" i="51"/>
  <c r="I113" i="51"/>
  <c r="H113" i="51"/>
  <c r="I112" i="51"/>
  <c r="H112" i="51"/>
  <c r="I111" i="51"/>
  <c r="H111" i="51"/>
  <c r="I110" i="51"/>
  <c r="H110" i="51"/>
  <c r="I109" i="51"/>
  <c r="H109" i="51"/>
  <c r="I108" i="51"/>
  <c r="H108" i="51"/>
  <c r="I107" i="51"/>
  <c r="H107" i="51"/>
  <c r="I106" i="51"/>
  <c r="H106" i="51"/>
  <c r="I105" i="51"/>
  <c r="H105" i="51"/>
  <c r="I104" i="51"/>
  <c r="H104" i="51"/>
  <c r="I103" i="51"/>
  <c r="H103" i="51"/>
  <c r="I102" i="51"/>
  <c r="H102" i="51"/>
  <c r="I101" i="51"/>
  <c r="H101" i="51"/>
  <c r="I100" i="51"/>
  <c r="H100" i="51"/>
  <c r="I99" i="51"/>
  <c r="H99" i="51"/>
  <c r="I98" i="51"/>
  <c r="H98" i="51"/>
  <c r="I97" i="51"/>
  <c r="H97" i="51"/>
  <c r="I96" i="51"/>
  <c r="H96" i="51"/>
  <c r="I95" i="51"/>
  <c r="H95" i="51"/>
  <c r="I94" i="51"/>
  <c r="H94" i="51"/>
  <c r="I93" i="51"/>
  <c r="H93" i="51"/>
  <c r="I92" i="51"/>
  <c r="H92" i="51"/>
  <c r="I91" i="51"/>
  <c r="H91" i="51"/>
  <c r="I90" i="51"/>
  <c r="H90" i="51"/>
  <c r="I89" i="51"/>
  <c r="H89" i="51"/>
  <c r="I88" i="51"/>
  <c r="H88" i="51"/>
  <c r="I87" i="51"/>
  <c r="H87" i="51"/>
  <c r="I86" i="51"/>
  <c r="H86" i="51"/>
  <c r="I85" i="51"/>
  <c r="H85" i="51"/>
  <c r="I84" i="51"/>
  <c r="H84" i="51"/>
  <c r="I83" i="51"/>
  <c r="H83" i="51"/>
  <c r="I82" i="51"/>
  <c r="H82" i="51"/>
  <c r="I81" i="51"/>
  <c r="H81" i="51"/>
  <c r="I80" i="51"/>
  <c r="H80" i="51"/>
  <c r="I79" i="51"/>
  <c r="H79" i="51"/>
  <c r="I78" i="51"/>
  <c r="H78" i="51"/>
  <c r="I77" i="51"/>
  <c r="H77" i="51"/>
  <c r="I76" i="51"/>
  <c r="H76" i="51"/>
  <c r="I75" i="51"/>
  <c r="H75" i="51"/>
  <c r="I74" i="51"/>
  <c r="H74" i="51"/>
  <c r="I73" i="51"/>
  <c r="H73" i="51"/>
  <c r="I72" i="51"/>
  <c r="H72" i="51"/>
  <c r="I71" i="51"/>
  <c r="H71" i="51"/>
  <c r="I70" i="51"/>
  <c r="H70" i="51"/>
  <c r="I69" i="51"/>
  <c r="H69" i="51"/>
  <c r="I68" i="51"/>
  <c r="H68" i="51"/>
  <c r="I67" i="51"/>
  <c r="H67" i="51"/>
  <c r="I66" i="51"/>
  <c r="H66" i="51"/>
  <c r="I65" i="51"/>
  <c r="H65" i="51"/>
  <c r="I64" i="51"/>
  <c r="H64" i="51"/>
  <c r="I63" i="51"/>
  <c r="H63" i="51"/>
  <c r="I62" i="51"/>
  <c r="H62" i="51"/>
  <c r="I61" i="51"/>
  <c r="H61" i="51"/>
  <c r="I60" i="51"/>
  <c r="H60" i="51"/>
  <c r="I59" i="51"/>
  <c r="H59" i="51"/>
  <c r="I58" i="51"/>
  <c r="H58" i="51"/>
  <c r="I57" i="51"/>
  <c r="H57" i="51"/>
  <c r="I56" i="51"/>
  <c r="H56" i="51"/>
  <c r="I55" i="51"/>
  <c r="H55" i="51"/>
  <c r="I54" i="51"/>
  <c r="H54" i="51"/>
  <c r="I53" i="51"/>
  <c r="H53" i="51"/>
  <c r="I52" i="51"/>
  <c r="H52" i="51"/>
  <c r="I51" i="51"/>
  <c r="H51" i="51"/>
  <c r="I50" i="51"/>
  <c r="H50" i="51"/>
  <c r="I49" i="51"/>
  <c r="H49" i="51"/>
  <c r="I48" i="51"/>
  <c r="H48" i="51"/>
  <c r="I47" i="51"/>
  <c r="H47" i="51"/>
  <c r="I46" i="51"/>
  <c r="H46" i="51"/>
  <c r="I45" i="51"/>
  <c r="H45" i="51"/>
  <c r="I44" i="51"/>
  <c r="H44" i="51"/>
  <c r="I43" i="51"/>
  <c r="H43" i="51"/>
  <c r="I42" i="51"/>
  <c r="H42" i="51"/>
  <c r="I41" i="51"/>
  <c r="H41" i="51"/>
  <c r="I40" i="51"/>
  <c r="H40" i="51"/>
  <c r="I39" i="51"/>
  <c r="H39" i="51"/>
  <c r="I38" i="51"/>
  <c r="H38" i="51"/>
  <c r="I37" i="51"/>
  <c r="H37" i="51"/>
  <c r="I36" i="51"/>
  <c r="H36" i="51"/>
  <c r="I35" i="51"/>
  <c r="H35" i="51"/>
  <c r="I34" i="51"/>
  <c r="H34" i="51"/>
  <c r="I33" i="51"/>
  <c r="H33" i="51"/>
  <c r="I32" i="51"/>
  <c r="H32" i="51"/>
  <c r="I31" i="51"/>
  <c r="H31" i="51"/>
  <c r="I30" i="51"/>
  <c r="H30" i="51"/>
  <c r="I29" i="51"/>
  <c r="H29" i="51"/>
  <c r="I28" i="51"/>
  <c r="H28" i="51"/>
  <c r="I27" i="51"/>
  <c r="H27" i="51"/>
  <c r="I26" i="51"/>
  <c r="H26" i="51"/>
  <c r="I25" i="51"/>
  <c r="H25" i="51"/>
  <c r="I24" i="51"/>
  <c r="H24" i="51"/>
  <c r="I23" i="51"/>
  <c r="H23" i="51"/>
  <c r="I22" i="51"/>
  <c r="H22" i="51"/>
  <c r="I21" i="51"/>
  <c r="H21" i="51"/>
  <c r="I20" i="51"/>
  <c r="H20" i="51"/>
  <c r="I19" i="51"/>
  <c r="H19" i="51"/>
  <c r="I18" i="51"/>
  <c r="H18" i="51"/>
  <c r="I17" i="51"/>
  <c r="H17" i="51"/>
  <c r="I16" i="51"/>
  <c r="H16" i="51"/>
  <c r="I15" i="51"/>
  <c r="H15" i="51"/>
  <c r="I14" i="51"/>
  <c r="H14" i="51"/>
  <c r="I13" i="51"/>
  <c r="H13" i="51"/>
  <c r="I12" i="51"/>
  <c r="H12" i="51"/>
  <c r="I11" i="51"/>
  <c r="H11" i="51"/>
  <c r="I10" i="51"/>
  <c r="H10" i="51"/>
  <c r="I9" i="51"/>
  <c r="H9" i="51"/>
  <c r="I8" i="51"/>
  <c r="H8" i="51"/>
  <c r="I7" i="51"/>
  <c r="H7" i="51"/>
  <c r="I6" i="51"/>
  <c r="H6" i="51"/>
  <c r="I5" i="51"/>
  <c r="H5" i="51"/>
  <c r="H372" i="51" l="1"/>
  <c r="I372" i="51"/>
  <c r="G15" i="55" l="1"/>
  <c r="G14" i="55"/>
  <c r="K25" i="67" l="1"/>
  <c r="P25" i="67"/>
  <c r="K26" i="67"/>
  <c r="P26" i="67"/>
  <c r="K27" i="67"/>
  <c r="P27" i="67"/>
  <c r="K35" i="67"/>
  <c r="P35" i="67"/>
  <c r="K36" i="67"/>
  <c r="P36" i="67"/>
  <c r="K38" i="67"/>
  <c r="K37" i="67"/>
  <c r="AK24" i="67"/>
  <c r="AF24" i="67"/>
  <c r="AK23" i="67"/>
  <c r="AF23" i="67"/>
  <c r="H22" i="67"/>
  <c r="AF22" i="67" s="1"/>
  <c r="H20" i="67"/>
  <c r="U19" i="67"/>
  <c r="U39" i="67" s="1"/>
  <c r="AF20" i="67" l="1"/>
  <c r="AK22" i="67"/>
  <c r="AK20" i="67"/>
  <c r="J26" i="46" l="1"/>
  <c r="J27" i="46"/>
  <c r="J25" i="46"/>
  <c r="Q338" i="51"/>
  <c r="Q310" i="51"/>
  <c r="AI109" i="51" l="1"/>
  <c r="AI57" i="51"/>
  <c r="AI5" i="51"/>
  <c r="AI16" i="51" l="1"/>
  <c r="AI119" i="51"/>
  <c r="AI6" i="51"/>
  <c r="AI8" i="51"/>
  <c r="AI9" i="51"/>
  <c r="AI11" i="51"/>
  <c r="AI12" i="51"/>
  <c r="AI13" i="51"/>
  <c r="AI14" i="51"/>
  <c r="AI15" i="51"/>
  <c r="AI17" i="51"/>
  <c r="AI18" i="51"/>
  <c r="AI19" i="51"/>
  <c r="AI20" i="51"/>
  <c r="AI21" i="51"/>
  <c r="AI22" i="51"/>
  <c r="AI23" i="51"/>
  <c r="AI24" i="51"/>
  <c r="AI25" i="51"/>
  <c r="AI26" i="51"/>
  <c r="AI27" i="51"/>
  <c r="AI28" i="51"/>
  <c r="AI29" i="51"/>
  <c r="AI30" i="51"/>
  <c r="AI31" i="51"/>
  <c r="AI32" i="51"/>
  <c r="AI33" i="51"/>
  <c r="AI34" i="51"/>
  <c r="AI35" i="51"/>
  <c r="AI36" i="51"/>
  <c r="AI37" i="51"/>
  <c r="AI38" i="51"/>
  <c r="AI39" i="51"/>
  <c r="AI40" i="51"/>
  <c r="AI41" i="51"/>
  <c r="AI42" i="51"/>
  <c r="AI43" i="51"/>
  <c r="AI44" i="51"/>
  <c r="AI45" i="51"/>
  <c r="AI46" i="51"/>
  <c r="AI47" i="51"/>
  <c r="AI48" i="51"/>
  <c r="AI49" i="51"/>
  <c r="AI50" i="51"/>
  <c r="AI51" i="51"/>
  <c r="AI52" i="51"/>
  <c r="AI53" i="51"/>
  <c r="AI54" i="51"/>
  <c r="AI55" i="51"/>
  <c r="AI56" i="51"/>
  <c r="AI58" i="51"/>
  <c r="AI59" i="51"/>
  <c r="AI60" i="51"/>
  <c r="AI61" i="51"/>
  <c r="AI62" i="51"/>
  <c r="AI63" i="51"/>
  <c r="AI64" i="51"/>
  <c r="AI65" i="51"/>
  <c r="AI66" i="51"/>
  <c r="AI67" i="51"/>
  <c r="AI68" i="51"/>
  <c r="AI69" i="51"/>
  <c r="AI70" i="51"/>
  <c r="AI71" i="51"/>
  <c r="AI72" i="51"/>
  <c r="AI73" i="51"/>
  <c r="AI74" i="51"/>
  <c r="AI75" i="51"/>
  <c r="AI76" i="51"/>
  <c r="AI77" i="51"/>
  <c r="AI78" i="51"/>
  <c r="AI79" i="51"/>
  <c r="AI80" i="51"/>
  <c r="AI81" i="51"/>
  <c r="AI82" i="51"/>
  <c r="AI83" i="51"/>
  <c r="AI84" i="51"/>
  <c r="AI85" i="51"/>
  <c r="AI86" i="51"/>
  <c r="AI87" i="51"/>
  <c r="AI88" i="51"/>
  <c r="AI89" i="51"/>
  <c r="AI90" i="51"/>
  <c r="AI91" i="51"/>
  <c r="AI92" i="51"/>
  <c r="AI93" i="51"/>
  <c r="AI94" i="51"/>
  <c r="AI95" i="51"/>
  <c r="AI96" i="51"/>
  <c r="AI97" i="51"/>
  <c r="AI98" i="51"/>
  <c r="AI99" i="51"/>
  <c r="AI100" i="51"/>
  <c r="AI101" i="51"/>
  <c r="AI102" i="51"/>
  <c r="AI103" i="51"/>
  <c r="AI104" i="51"/>
  <c r="AI105" i="51"/>
  <c r="AI106" i="51"/>
  <c r="AI107" i="51"/>
  <c r="AI108" i="51"/>
  <c r="AI110" i="51"/>
  <c r="AI111" i="51"/>
  <c r="AI112" i="51"/>
  <c r="AI113" i="51"/>
  <c r="AI114" i="51"/>
  <c r="AI115" i="51"/>
  <c r="AI116" i="51"/>
  <c r="AI117" i="51"/>
  <c r="AI118" i="51"/>
  <c r="AI120" i="51"/>
  <c r="AI121" i="51"/>
  <c r="AI122" i="51"/>
  <c r="AI123" i="51"/>
  <c r="AI124" i="51"/>
  <c r="AI125" i="51"/>
  <c r="AI126" i="51"/>
  <c r="AI127" i="51"/>
  <c r="AI128" i="51"/>
  <c r="AI129" i="51"/>
  <c r="AI130" i="51"/>
  <c r="AI131" i="51"/>
  <c r="AI132" i="51"/>
  <c r="AI133" i="51"/>
  <c r="AI134" i="51"/>
  <c r="AI135" i="51"/>
  <c r="AI136" i="51"/>
  <c r="AI137" i="51"/>
  <c r="AI138" i="51"/>
  <c r="AI139" i="51"/>
  <c r="AI140" i="51"/>
  <c r="AI141" i="51"/>
  <c r="AI142" i="51"/>
  <c r="AI143" i="51"/>
  <c r="AI144" i="51"/>
  <c r="AI145" i="51"/>
  <c r="AI146" i="51"/>
  <c r="AI147" i="51"/>
  <c r="AI148" i="51"/>
  <c r="AI149" i="51"/>
  <c r="AI150" i="51"/>
  <c r="AI151" i="51"/>
  <c r="AI152" i="51"/>
  <c r="AI153" i="51"/>
  <c r="AI154" i="51"/>
  <c r="AI155" i="51"/>
  <c r="AI156" i="51"/>
  <c r="AI157" i="51"/>
  <c r="AI158" i="51"/>
  <c r="AI159" i="51"/>
  <c r="AI160" i="51"/>
  <c r="AI161" i="51"/>
  <c r="AI162" i="51"/>
  <c r="AI163" i="51"/>
  <c r="AI164" i="51"/>
  <c r="AI165" i="51"/>
  <c r="AI166" i="51"/>
  <c r="AI167" i="51"/>
  <c r="AI168" i="51"/>
  <c r="AI169" i="51"/>
  <c r="AI170" i="51"/>
  <c r="AI171" i="51"/>
  <c r="AI172" i="51"/>
  <c r="AI173" i="51"/>
  <c r="AI174" i="51"/>
  <c r="AI175" i="51"/>
  <c r="AI176" i="51"/>
  <c r="AI177" i="51"/>
  <c r="AI178" i="51"/>
  <c r="AI179" i="51"/>
  <c r="AI180" i="51"/>
  <c r="AI181" i="51"/>
  <c r="AI182" i="51"/>
  <c r="AI183" i="51"/>
  <c r="AI184" i="51"/>
  <c r="AI185" i="51"/>
  <c r="AI186" i="51"/>
  <c r="AI187" i="51"/>
  <c r="AI188" i="51"/>
  <c r="AI189" i="51"/>
  <c r="AI190" i="51"/>
  <c r="AI191" i="51"/>
  <c r="AI192" i="51"/>
  <c r="AI193" i="51"/>
  <c r="AI194" i="51"/>
  <c r="AI195" i="51"/>
  <c r="AI196" i="51"/>
  <c r="AI197" i="51"/>
  <c r="AI198" i="51"/>
  <c r="AI199" i="51"/>
  <c r="AI200" i="51"/>
  <c r="AI201" i="51"/>
  <c r="AI202" i="51"/>
  <c r="AI203" i="51"/>
  <c r="AI204" i="51"/>
  <c r="AI205" i="51"/>
  <c r="AI206" i="51"/>
  <c r="AI207" i="51"/>
  <c r="AI208" i="51"/>
  <c r="AI209" i="51"/>
  <c r="AI210" i="51"/>
  <c r="AI211" i="51"/>
  <c r="AI212" i="51"/>
  <c r="AI213" i="51"/>
  <c r="AI214" i="51"/>
  <c r="AI215" i="51"/>
  <c r="AI216" i="51"/>
  <c r="AI217" i="51"/>
  <c r="AI218" i="51"/>
  <c r="AI219" i="51"/>
  <c r="AI220" i="51"/>
  <c r="AI221" i="51"/>
  <c r="AI222" i="51"/>
  <c r="AI223" i="51"/>
  <c r="AI224" i="51"/>
  <c r="AI225" i="51"/>
  <c r="AI226" i="51"/>
  <c r="AI227" i="51"/>
  <c r="AI228" i="51"/>
  <c r="AI229" i="51"/>
  <c r="AI230" i="51"/>
  <c r="AI231" i="51"/>
  <c r="AI232" i="51"/>
  <c r="AI233" i="51"/>
  <c r="AI234" i="51"/>
  <c r="AI235" i="51"/>
  <c r="AI236" i="51"/>
  <c r="AI237" i="51"/>
  <c r="AI238" i="51"/>
  <c r="AI239" i="51"/>
  <c r="AI240" i="51"/>
  <c r="AI241" i="51"/>
  <c r="AI242" i="51"/>
  <c r="AI243" i="51"/>
  <c r="AI244" i="51"/>
  <c r="AI245" i="51"/>
  <c r="AI246" i="51"/>
  <c r="AI247" i="51"/>
  <c r="AI248" i="51"/>
  <c r="AI249" i="51"/>
  <c r="AI250" i="51"/>
  <c r="AI251" i="51"/>
  <c r="AI252" i="51"/>
  <c r="AI253" i="51"/>
  <c r="AI254" i="51"/>
  <c r="AI255" i="51"/>
  <c r="AI256" i="51"/>
  <c r="AI257" i="51"/>
  <c r="AI258" i="51"/>
  <c r="AI259" i="51"/>
  <c r="AI260" i="51"/>
  <c r="AI261" i="51"/>
  <c r="AI262" i="51"/>
  <c r="AI263" i="51"/>
  <c r="AI264" i="51"/>
  <c r="AI265" i="51"/>
  <c r="AI266" i="51"/>
  <c r="AI267" i="51"/>
  <c r="AI268" i="51"/>
  <c r="AI269" i="51"/>
  <c r="AI270" i="51"/>
  <c r="AI271" i="51"/>
  <c r="AI272" i="51"/>
  <c r="AI273" i="51"/>
  <c r="AI274" i="51"/>
  <c r="AI275" i="51"/>
  <c r="AI276" i="51"/>
  <c r="AI277" i="51"/>
  <c r="AI278" i="51"/>
  <c r="AI279" i="51"/>
  <c r="AI280" i="51"/>
  <c r="AI281" i="51"/>
  <c r="AI282" i="51"/>
  <c r="AI283" i="51"/>
  <c r="AI284" i="51"/>
  <c r="AI285" i="51"/>
  <c r="AI286" i="51"/>
  <c r="AI287" i="51"/>
  <c r="AI288" i="51"/>
  <c r="AI289" i="51"/>
  <c r="AI290" i="51"/>
  <c r="AI291" i="51"/>
  <c r="AI292" i="51"/>
  <c r="AI293" i="51"/>
  <c r="AI294" i="51"/>
  <c r="AI295" i="51"/>
  <c r="AI296" i="51"/>
  <c r="AI297" i="51"/>
  <c r="AI298" i="51"/>
  <c r="AI299" i="51"/>
  <c r="AI300" i="51"/>
  <c r="AI301" i="51"/>
  <c r="AI302" i="51"/>
  <c r="AI303" i="51"/>
  <c r="AI304" i="51"/>
  <c r="AI305" i="51"/>
  <c r="AI306" i="51"/>
  <c r="AI307" i="51"/>
  <c r="AI308" i="51"/>
  <c r="AI309" i="51"/>
  <c r="AI310" i="51"/>
  <c r="AI311" i="51"/>
  <c r="AI312" i="51"/>
  <c r="AI313" i="51"/>
  <c r="AI314" i="51"/>
  <c r="AI315" i="51"/>
  <c r="AI316" i="51"/>
  <c r="AI317" i="51"/>
  <c r="AI318" i="51"/>
  <c r="AI319" i="51"/>
  <c r="AI320" i="51"/>
  <c r="AI321" i="51"/>
  <c r="AI322" i="51"/>
  <c r="AI323" i="51"/>
  <c r="AI324" i="51"/>
  <c r="AI325" i="51"/>
  <c r="AI326" i="51"/>
  <c r="AI327" i="51"/>
  <c r="AI328" i="51"/>
  <c r="AI329" i="51"/>
  <c r="AI330" i="51"/>
  <c r="AI331" i="51"/>
  <c r="AI332" i="51"/>
  <c r="AI333" i="51"/>
  <c r="AI334" i="51"/>
  <c r="AI335" i="51"/>
  <c r="AI336" i="51"/>
  <c r="AI337" i="51"/>
  <c r="AI338" i="51"/>
  <c r="AI339" i="51"/>
  <c r="AI340" i="51"/>
  <c r="AI341" i="51"/>
  <c r="AI342" i="51"/>
  <c r="AI343" i="51"/>
  <c r="AI344" i="51"/>
  <c r="AI345" i="51"/>
  <c r="AI346" i="51"/>
  <c r="AI347" i="51"/>
  <c r="AI348" i="51"/>
  <c r="AI349" i="51"/>
  <c r="AI350" i="51"/>
  <c r="AI351" i="51"/>
  <c r="AI352" i="51"/>
  <c r="AI353" i="51"/>
  <c r="AI354" i="51"/>
  <c r="AI355" i="51"/>
  <c r="AI356" i="51"/>
  <c r="AI357" i="51"/>
  <c r="AI358" i="51"/>
  <c r="AI359" i="51"/>
  <c r="AI360" i="51"/>
  <c r="AI361" i="51"/>
  <c r="AI362" i="51"/>
  <c r="AI363" i="51"/>
  <c r="AI365" i="51"/>
  <c r="AI366" i="51"/>
  <c r="AI367" i="51"/>
  <c r="AI368" i="51"/>
  <c r="AI369" i="51"/>
  <c r="F377" i="51" l="1"/>
  <c r="P37" i="27" l="1"/>
  <c r="V8" i="52" l="1"/>
  <c r="U9" i="52"/>
  <c r="O26" i="46" l="1"/>
  <c r="AB8" i="53" l="1"/>
  <c r="H13" i="21" l="1"/>
  <c r="Q369" i="51"/>
  <c r="D370" i="51"/>
  <c r="F370" i="51" s="1"/>
  <c r="K76" i="52"/>
  <c r="T18" i="27" l="1"/>
  <c r="F3" i="55" l="1"/>
  <c r="I14" i="55" l="1"/>
  <c r="H15" i="55" s="1"/>
  <c r="I15" i="55" l="1"/>
  <c r="K39" i="27" l="1"/>
  <c r="K38" i="27"/>
  <c r="T12" i="66" l="1"/>
  <c r="T13" i="66"/>
  <c r="T14" i="66"/>
  <c r="T15" i="66"/>
  <c r="T16" i="66"/>
  <c r="T17" i="66"/>
  <c r="T18" i="66"/>
  <c r="T19" i="66"/>
  <c r="T20" i="66"/>
  <c r="T21" i="66"/>
  <c r="T22" i="66"/>
  <c r="T23" i="66"/>
  <c r="T24" i="66"/>
  <c r="T25" i="66"/>
  <c r="T26" i="66"/>
  <c r="T27" i="66"/>
  <c r="T28" i="66"/>
  <c r="T29" i="66"/>
  <c r="T30" i="66"/>
  <c r="T31" i="66"/>
  <c r="T32" i="66"/>
  <c r="T33" i="66"/>
  <c r="T34" i="66"/>
  <c r="T35" i="66"/>
  <c r="T36" i="66"/>
  <c r="T37" i="66"/>
  <c r="T38" i="66"/>
  <c r="T39" i="66"/>
  <c r="T40" i="66"/>
  <c r="T11" i="66"/>
  <c r="R41" i="66"/>
  <c r="P12" i="66"/>
  <c r="P13" i="66"/>
  <c r="P14" i="66"/>
  <c r="P15" i="66"/>
  <c r="P16" i="66"/>
  <c r="P17" i="66"/>
  <c r="P18" i="66"/>
  <c r="P19" i="66"/>
  <c r="P20" i="66"/>
  <c r="P21" i="66"/>
  <c r="P22" i="66"/>
  <c r="P23" i="66"/>
  <c r="P24" i="66"/>
  <c r="P25" i="66"/>
  <c r="P26" i="66"/>
  <c r="P27" i="66"/>
  <c r="P28" i="66"/>
  <c r="P29" i="66"/>
  <c r="P30" i="66"/>
  <c r="P31" i="66"/>
  <c r="P32" i="66"/>
  <c r="P33" i="66"/>
  <c r="P34" i="66"/>
  <c r="P35" i="66"/>
  <c r="P36" i="66"/>
  <c r="P37" i="66"/>
  <c r="P38" i="66"/>
  <c r="P39" i="66"/>
  <c r="P40" i="66"/>
  <c r="P11" i="66"/>
  <c r="O40" i="66"/>
  <c r="O12" i="66"/>
  <c r="O13" i="66"/>
  <c r="O14" i="66"/>
  <c r="O15" i="66"/>
  <c r="O16" i="66"/>
  <c r="O17" i="66"/>
  <c r="O18" i="66"/>
  <c r="O19" i="66"/>
  <c r="O20" i="66"/>
  <c r="O21" i="66"/>
  <c r="O22" i="66"/>
  <c r="O23" i="66"/>
  <c r="O24" i="66"/>
  <c r="O25" i="66"/>
  <c r="O26" i="66"/>
  <c r="O27" i="66"/>
  <c r="O28" i="66"/>
  <c r="O29" i="66"/>
  <c r="O30" i="66"/>
  <c r="O31" i="66"/>
  <c r="O32" i="66"/>
  <c r="O33" i="66"/>
  <c r="O34" i="66"/>
  <c r="O35" i="66"/>
  <c r="O36" i="66"/>
  <c r="O37" i="66"/>
  <c r="O38" i="66"/>
  <c r="O39" i="66"/>
  <c r="O11" i="66"/>
  <c r="M12" i="66"/>
  <c r="M13" i="66"/>
  <c r="M14" i="66"/>
  <c r="M15" i="66"/>
  <c r="M16" i="66"/>
  <c r="M17" i="66"/>
  <c r="M18" i="66"/>
  <c r="M19" i="66"/>
  <c r="M20" i="66"/>
  <c r="M21" i="66"/>
  <c r="M22" i="66"/>
  <c r="M23" i="66"/>
  <c r="M24" i="66"/>
  <c r="M25" i="66"/>
  <c r="M26" i="66"/>
  <c r="M27" i="66"/>
  <c r="M28" i="66"/>
  <c r="M29" i="66"/>
  <c r="M30" i="66"/>
  <c r="M31" i="66"/>
  <c r="M32" i="66"/>
  <c r="M33" i="66"/>
  <c r="M34" i="66"/>
  <c r="M35" i="66"/>
  <c r="M36" i="66"/>
  <c r="M37" i="66"/>
  <c r="M38" i="66"/>
  <c r="M39" i="66"/>
  <c r="M40" i="66"/>
  <c r="M11" i="66"/>
  <c r="K10" i="66"/>
  <c r="J12" i="66"/>
  <c r="J13" i="66"/>
  <c r="J14" i="66"/>
  <c r="J15" i="66"/>
  <c r="J16" i="66"/>
  <c r="J17" i="66"/>
  <c r="J18" i="66"/>
  <c r="J19" i="66"/>
  <c r="J20" i="66"/>
  <c r="J21" i="66"/>
  <c r="J22" i="66"/>
  <c r="J23" i="66"/>
  <c r="J24" i="66"/>
  <c r="J25" i="66"/>
  <c r="J26" i="66"/>
  <c r="J27" i="66"/>
  <c r="J28" i="66"/>
  <c r="J29" i="66"/>
  <c r="J30" i="66"/>
  <c r="J31" i="66"/>
  <c r="J32" i="66"/>
  <c r="J33" i="66"/>
  <c r="J34" i="66"/>
  <c r="J35" i="66"/>
  <c r="J36" i="66"/>
  <c r="J37" i="66"/>
  <c r="J38" i="66"/>
  <c r="J39" i="66"/>
  <c r="J40" i="66"/>
  <c r="J11" i="66"/>
  <c r="G12" i="66"/>
  <c r="G13" i="66"/>
  <c r="G14" i="66"/>
  <c r="G15" i="66"/>
  <c r="G16" i="66"/>
  <c r="G17" i="66"/>
  <c r="G18" i="66"/>
  <c r="G19" i="66"/>
  <c r="G20" i="66"/>
  <c r="G21" i="66"/>
  <c r="G22" i="66"/>
  <c r="G23" i="66"/>
  <c r="G24" i="66"/>
  <c r="G25" i="66"/>
  <c r="G26" i="66"/>
  <c r="G27" i="66"/>
  <c r="G28" i="66"/>
  <c r="G29" i="66"/>
  <c r="G30" i="66"/>
  <c r="G31" i="66"/>
  <c r="G32" i="66"/>
  <c r="G33" i="66"/>
  <c r="G34" i="66"/>
  <c r="G35" i="66"/>
  <c r="G36" i="66"/>
  <c r="G37" i="66"/>
  <c r="G38" i="66"/>
  <c r="G39" i="66"/>
  <c r="G40" i="66"/>
  <c r="G11" i="66"/>
  <c r="F12" i="66"/>
  <c r="F13" i="66"/>
  <c r="F14" i="66"/>
  <c r="F15" i="66"/>
  <c r="F16" i="66"/>
  <c r="F17" i="66"/>
  <c r="F18" i="66"/>
  <c r="F19" i="66"/>
  <c r="F20" i="66"/>
  <c r="F21" i="66"/>
  <c r="F22" i="66"/>
  <c r="F23" i="66"/>
  <c r="F24" i="66"/>
  <c r="F25" i="66"/>
  <c r="F26" i="66"/>
  <c r="F27" i="66"/>
  <c r="F28" i="66"/>
  <c r="F29" i="66"/>
  <c r="F30" i="66"/>
  <c r="F31" i="66"/>
  <c r="F32" i="66"/>
  <c r="F33" i="66"/>
  <c r="F34" i="66"/>
  <c r="F35" i="66"/>
  <c r="F36" i="66"/>
  <c r="F37" i="66"/>
  <c r="F38" i="66"/>
  <c r="F39" i="66"/>
  <c r="F40" i="66"/>
  <c r="F11" i="66"/>
  <c r="C11" i="66"/>
  <c r="C12" i="66"/>
  <c r="C13" i="66"/>
  <c r="C14" i="66"/>
  <c r="C15" i="66"/>
  <c r="C16" i="66"/>
  <c r="C17" i="66"/>
  <c r="C18" i="66"/>
  <c r="C19" i="66"/>
  <c r="C20" i="66"/>
  <c r="C21" i="66"/>
  <c r="C22" i="66"/>
  <c r="C23" i="66"/>
  <c r="C24" i="66"/>
  <c r="C25" i="66"/>
  <c r="C26" i="66"/>
  <c r="C27" i="66"/>
  <c r="C28" i="66"/>
  <c r="C29" i="66"/>
  <c r="C30" i="66"/>
  <c r="C31" i="66"/>
  <c r="C32" i="66"/>
  <c r="C33" i="66"/>
  <c r="C34" i="66"/>
  <c r="C35" i="66"/>
  <c r="C36" i="66"/>
  <c r="C37" i="66"/>
  <c r="C38" i="66"/>
  <c r="C39" i="66"/>
  <c r="C40" i="66"/>
  <c r="R18" i="65"/>
  <c r="P41" i="66" l="1"/>
  <c r="O41" i="66"/>
  <c r="M41" i="66"/>
  <c r="S40" i="66"/>
  <c r="Q40" i="66"/>
  <c r="K40" i="66"/>
  <c r="L40" i="66" s="1"/>
  <c r="N40" i="66" s="1"/>
  <c r="I40" i="66"/>
  <c r="S39" i="66"/>
  <c r="Q39" i="66"/>
  <c r="K39" i="66"/>
  <c r="L39" i="66" s="1"/>
  <c r="N39" i="66" s="1"/>
  <c r="I39" i="66"/>
  <c r="S38" i="66"/>
  <c r="Q38" i="66"/>
  <c r="K38" i="66"/>
  <c r="L38" i="66" s="1"/>
  <c r="N38" i="66" s="1"/>
  <c r="I38" i="66"/>
  <c r="S37" i="66"/>
  <c r="Q37" i="66"/>
  <c r="K37" i="66"/>
  <c r="L37" i="66" s="1"/>
  <c r="N37" i="66" s="1"/>
  <c r="I37" i="66"/>
  <c r="S36" i="66"/>
  <c r="Q36" i="66"/>
  <c r="K36" i="66"/>
  <c r="L36" i="66" s="1"/>
  <c r="N36" i="66" s="1"/>
  <c r="I36" i="66"/>
  <c r="S35" i="66"/>
  <c r="Q35" i="66"/>
  <c r="K35" i="66"/>
  <c r="L35" i="66" s="1"/>
  <c r="N35" i="66" s="1"/>
  <c r="I35" i="66"/>
  <c r="S34" i="66"/>
  <c r="Q34" i="66"/>
  <c r="K34" i="66"/>
  <c r="L34" i="66" s="1"/>
  <c r="N34" i="66" s="1"/>
  <c r="I34" i="66"/>
  <c r="S33" i="66"/>
  <c r="Q33" i="66"/>
  <c r="K33" i="66"/>
  <c r="L33" i="66" s="1"/>
  <c r="N33" i="66" s="1"/>
  <c r="I33" i="66"/>
  <c r="S32" i="66"/>
  <c r="Q32" i="66"/>
  <c r="K32" i="66"/>
  <c r="L32" i="66" s="1"/>
  <c r="N32" i="66" s="1"/>
  <c r="I32" i="66"/>
  <c r="S31" i="66"/>
  <c r="Q31" i="66"/>
  <c r="K31" i="66"/>
  <c r="L31" i="66" s="1"/>
  <c r="N31" i="66" s="1"/>
  <c r="I31" i="66"/>
  <c r="S30" i="66"/>
  <c r="Q30" i="66"/>
  <c r="K30" i="66"/>
  <c r="L30" i="66" s="1"/>
  <c r="N30" i="66" s="1"/>
  <c r="I30" i="66"/>
  <c r="S29" i="66"/>
  <c r="Q29" i="66"/>
  <c r="K29" i="66"/>
  <c r="L29" i="66" s="1"/>
  <c r="N29" i="66" s="1"/>
  <c r="I29" i="66"/>
  <c r="S28" i="66"/>
  <c r="Q28" i="66"/>
  <c r="K28" i="66"/>
  <c r="L28" i="66" s="1"/>
  <c r="N28" i="66" s="1"/>
  <c r="I28" i="66"/>
  <c r="S27" i="66"/>
  <c r="Q27" i="66"/>
  <c r="K27" i="66"/>
  <c r="L27" i="66" s="1"/>
  <c r="N27" i="66" s="1"/>
  <c r="I27" i="66"/>
  <c r="S26" i="66"/>
  <c r="Q26" i="66"/>
  <c r="K26" i="66"/>
  <c r="L26" i="66" s="1"/>
  <c r="N26" i="66" s="1"/>
  <c r="I26" i="66"/>
  <c r="S25" i="66"/>
  <c r="Q25" i="66"/>
  <c r="K25" i="66"/>
  <c r="L25" i="66" s="1"/>
  <c r="N25" i="66" s="1"/>
  <c r="I25" i="66"/>
  <c r="S24" i="66"/>
  <c r="Q24" i="66"/>
  <c r="K24" i="66"/>
  <c r="L24" i="66" s="1"/>
  <c r="N24" i="66" s="1"/>
  <c r="I24" i="66"/>
  <c r="S23" i="66"/>
  <c r="Q23" i="66"/>
  <c r="K23" i="66"/>
  <c r="L23" i="66" s="1"/>
  <c r="N23" i="66" s="1"/>
  <c r="I23" i="66"/>
  <c r="S22" i="66"/>
  <c r="Q22" i="66"/>
  <c r="K22" i="66"/>
  <c r="L22" i="66" s="1"/>
  <c r="N22" i="66" s="1"/>
  <c r="I22" i="66"/>
  <c r="S21" i="66"/>
  <c r="Q21" i="66"/>
  <c r="K21" i="66"/>
  <c r="L21" i="66" s="1"/>
  <c r="I21" i="66"/>
  <c r="S20" i="66"/>
  <c r="Q20" i="66"/>
  <c r="K20" i="66"/>
  <c r="L20" i="66" s="1"/>
  <c r="N20" i="66" s="1"/>
  <c r="I20" i="66"/>
  <c r="S19" i="66"/>
  <c r="Q19" i="66"/>
  <c r="K19" i="66"/>
  <c r="L19" i="66" s="1"/>
  <c r="N19" i="66" s="1"/>
  <c r="I19" i="66"/>
  <c r="S18" i="66"/>
  <c r="Q18" i="66"/>
  <c r="K18" i="66"/>
  <c r="L18" i="66" s="1"/>
  <c r="N18" i="66" s="1"/>
  <c r="I18" i="66"/>
  <c r="S17" i="66"/>
  <c r="Q17" i="66"/>
  <c r="K17" i="66"/>
  <c r="L17" i="66" s="1"/>
  <c r="N17" i="66" s="1"/>
  <c r="I17" i="66"/>
  <c r="S16" i="66"/>
  <c r="Q16" i="66"/>
  <c r="K16" i="66"/>
  <c r="L16" i="66" s="1"/>
  <c r="N16" i="66" s="1"/>
  <c r="I16" i="66"/>
  <c r="S15" i="66"/>
  <c r="Q15" i="66"/>
  <c r="K15" i="66"/>
  <c r="L15" i="66" s="1"/>
  <c r="I15" i="66"/>
  <c r="S14" i="66"/>
  <c r="Q14" i="66"/>
  <c r="K14" i="66"/>
  <c r="L14" i="66" s="1"/>
  <c r="N14" i="66" s="1"/>
  <c r="I14" i="66"/>
  <c r="S13" i="66"/>
  <c r="Q13" i="66"/>
  <c r="K13" i="66"/>
  <c r="L13" i="66" s="1"/>
  <c r="I13" i="66"/>
  <c r="S12" i="66"/>
  <c r="Q12" i="66"/>
  <c r="K12" i="66"/>
  <c r="L12" i="66" s="1"/>
  <c r="I12" i="66"/>
  <c r="S11" i="66"/>
  <c r="Q11" i="66"/>
  <c r="Q41" i="66" s="1"/>
  <c r="K11" i="66"/>
  <c r="L11" i="66" s="1"/>
  <c r="I11" i="66"/>
  <c r="S5" i="66"/>
  <c r="AA33" i="65"/>
  <c r="V7" i="65"/>
  <c r="AA31" i="65" s="1"/>
  <c r="S5" i="59"/>
  <c r="V7" i="58"/>
  <c r="J16" i="21"/>
  <c r="J18" i="21"/>
  <c r="Q2" i="53"/>
  <c r="N2" i="46"/>
  <c r="P3" i="52"/>
  <c r="J10" i="27"/>
  <c r="Y1" i="51"/>
  <c r="AK6" i="51"/>
  <c r="AK7" i="51"/>
  <c r="AK8" i="51"/>
  <c r="AK9" i="51"/>
  <c r="AK10" i="51"/>
  <c r="AK11" i="51"/>
  <c r="AK12" i="51"/>
  <c r="AK13" i="51"/>
  <c r="AK14" i="51"/>
  <c r="AK15" i="51"/>
  <c r="AK16" i="51"/>
  <c r="AK17" i="51"/>
  <c r="AK18" i="51"/>
  <c r="AK19" i="51"/>
  <c r="AK20" i="51"/>
  <c r="AK21" i="51"/>
  <c r="AK22" i="51"/>
  <c r="AK23" i="51"/>
  <c r="AK24" i="51"/>
  <c r="AK25" i="51"/>
  <c r="AK26" i="51"/>
  <c r="AK27" i="51"/>
  <c r="AK28" i="51"/>
  <c r="AK29" i="51"/>
  <c r="AK30" i="51"/>
  <c r="AK31" i="51"/>
  <c r="AK32" i="51"/>
  <c r="AK33" i="51"/>
  <c r="AK34" i="51"/>
  <c r="AK35" i="51"/>
  <c r="AK36" i="51"/>
  <c r="AK37" i="51"/>
  <c r="AK38" i="51"/>
  <c r="AK39" i="51"/>
  <c r="AK40" i="51"/>
  <c r="AK41" i="51"/>
  <c r="AK42" i="51"/>
  <c r="AK43" i="51"/>
  <c r="AK44" i="51"/>
  <c r="AK45" i="51"/>
  <c r="AK46" i="51"/>
  <c r="AK47" i="51"/>
  <c r="AK48" i="51"/>
  <c r="AK49" i="51"/>
  <c r="AK50" i="51"/>
  <c r="AK51" i="51"/>
  <c r="AK52" i="51"/>
  <c r="AK53" i="51"/>
  <c r="AK54" i="51"/>
  <c r="AK55" i="51"/>
  <c r="AK56" i="51"/>
  <c r="AK57" i="51"/>
  <c r="AK58" i="51"/>
  <c r="AK59" i="51"/>
  <c r="AK60" i="51"/>
  <c r="AK61" i="51"/>
  <c r="AK62" i="51"/>
  <c r="AK63" i="51"/>
  <c r="AK64" i="51"/>
  <c r="AK65" i="51"/>
  <c r="AK66" i="51"/>
  <c r="AK67" i="51"/>
  <c r="AK68" i="51"/>
  <c r="AK69" i="51"/>
  <c r="AK70" i="51"/>
  <c r="AK71" i="51"/>
  <c r="AK72" i="51"/>
  <c r="AK73" i="51"/>
  <c r="AK74" i="51"/>
  <c r="AK75" i="51"/>
  <c r="AK76" i="51"/>
  <c r="AK77" i="51"/>
  <c r="AK78" i="51"/>
  <c r="AK79" i="51"/>
  <c r="AK80" i="51"/>
  <c r="AK81" i="51"/>
  <c r="AK82" i="51"/>
  <c r="AK83" i="51"/>
  <c r="AK84" i="51"/>
  <c r="AK85" i="51"/>
  <c r="AK86" i="51"/>
  <c r="AK87" i="51"/>
  <c r="AK88" i="51"/>
  <c r="AK89" i="51"/>
  <c r="AK90" i="51"/>
  <c r="AK91" i="51"/>
  <c r="AK92" i="51"/>
  <c r="AK93" i="51"/>
  <c r="AK94" i="51"/>
  <c r="AK95" i="51"/>
  <c r="AK96" i="51"/>
  <c r="AK97" i="51"/>
  <c r="AK98" i="51"/>
  <c r="AK99" i="51"/>
  <c r="AK100" i="51"/>
  <c r="AK101" i="51"/>
  <c r="AK102" i="51"/>
  <c r="AK103" i="51"/>
  <c r="AK104" i="51"/>
  <c r="AK105" i="51"/>
  <c r="AK106" i="51"/>
  <c r="AK107" i="51"/>
  <c r="AK108" i="51"/>
  <c r="AK109" i="51"/>
  <c r="AK110" i="51"/>
  <c r="AK111" i="51"/>
  <c r="AK112" i="51"/>
  <c r="AK113" i="51"/>
  <c r="AK114" i="51"/>
  <c r="AK115" i="51"/>
  <c r="AK116" i="51"/>
  <c r="AK117" i="51"/>
  <c r="AK118" i="51"/>
  <c r="AK119" i="51"/>
  <c r="AK120" i="51"/>
  <c r="AK121" i="51"/>
  <c r="AK122" i="51"/>
  <c r="AK123" i="51"/>
  <c r="AK124" i="51"/>
  <c r="AK125" i="51"/>
  <c r="AK126" i="51"/>
  <c r="AK127" i="51"/>
  <c r="AK128" i="51"/>
  <c r="AK129" i="51"/>
  <c r="AK130" i="51"/>
  <c r="AK131" i="51"/>
  <c r="AK132" i="51"/>
  <c r="AK133" i="51"/>
  <c r="AK134" i="51"/>
  <c r="AK135" i="51"/>
  <c r="AK136" i="51"/>
  <c r="AK137" i="51"/>
  <c r="AK138" i="51"/>
  <c r="AK139" i="51"/>
  <c r="AK140" i="51"/>
  <c r="AK141" i="51"/>
  <c r="AK142" i="51"/>
  <c r="AK143" i="51"/>
  <c r="AK144" i="51"/>
  <c r="AK145" i="51"/>
  <c r="AK146" i="51"/>
  <c r="AK147" i="51"/>
  <c r="AK148" i="51"/>
  <c r="AK149" i="51"/>
  <c r="AK150" i="51"/>
  <c r="AK151" i="51"/>
  <c r="AK152" i="51"/>
  <c r="AK153" i="51"/>
  <c r="AK154" i="51"/>
  <c r="AK155" i="51"/>
  <c r="AK156" i="51"/>
  <c r="AK157" i="51"/>
  <c r="AK158" i="51"/>
  <c r="AK159" i="51"/>
  <c r="AK160" i="51"/>
  <c r="AK161" i="51"/>
  <c r="AK162" i="51"/>
  <c r="AK163" i="51"/>
  <c r="AK164" i="51"/>
  <c r="AK165" i="51"/>
  <c r="AK166" i="51"/>
  <c r="AK167" i="51"/>
  <c r="AK168" i="51"/>
  <c r="AK169" i="51"/>
  <c r="AK170" i="51"/>
  <c r="AK171" i="51"/>
  <c r="AK172" i="51"/>
  <c r="AK173" i="51"/>
  <c r="AK174" i="51"/>
  <c r="AK175" i="51"/>
  <c r="AK176" i="51"/>
  <c r="AK177" i="51"/>
  <c r="AK178" i="51"/>
  <c r="AK179" i="51"/>
  <c r="AK180" i="51"/>
  <c r="AK181" i="51"/>
  <c r="AK182" i="51"/>
  <c r="AK183" i="51"/>
  <c r="AK184" i="51"/>
  <c r="AK185" i="51"/>
  <c r="AK186" i="51"/>
  <c r="AK187" i="51"/>
  <c r="AK188" i="51"/>
  <c r="AK189" i="51"/>
  <c r="AK190" i="51"/>
  <c r="AK191" i="51"/>
  <c r="AK192" i="51"/>
  <c r="AK193" i="51"/>
  <c r="AK194" i="51"/>
  <c r="AK195" i="51"/>
  <c r="AK196" i="51"/>
  <c r="AK197" i="51"/>
  <c r="AK198" i="51"/>
  <c r="AK199" i="51"/>
  <c r="AK200" i="51"/>
  <c r="AK201" i="51"/>
  <c r="AK202" i="51"/>
  <c r="AK203" i="51"/>
  <c r="AK204" i="51"/>
  <c r="AK205" i="51"/>
  <c r="AK206" i="51"/>
  <c r="AK207" i="51"/>
  <c r="AK208" i="51"/>
  <c r="AK209" i="51"/>
  <c r="AK210" i="51"/>
  <c r="AK211" i="51"/>
  <c r="AK212" i="51"/>
  <c r="AK213" i="51"/>
  <c r="AK214" i="51"/>
  <c r="AK215" i="51"/>
  <c r="AK216" i="51"/>
  <c r="AK217" i="51"/>
  <c r="AK218" i="51"/>
  <c r="AK219" i="51"/>
  <c r="AK220" i="51"/>
  <c r="AK221" i="51"/>
  <c r="AK222" i="51"/>
  <c r="AK223" i="51"/>
  <c r="AK224" i="51"/>
  <c r="AK225" i="51"/>
  <c r="AK226" i="51"/>
  <c r="AK227" i="51"/>
  <c r="AK228" i="51"/>
  <c r="AK229" i="51"/>
  <c r="AK230" i="51"/>
  <c r="AK231" i="51"/>
  <c r="AK232" i="51"/>
  <c r="AK233" i="51"/>
  <c r="AK234" i="51"/>
  <c r="AK235" i="51"/>
  <c r="AK236" i="51"/>
  <c r="AK237" i="51"/>
  <c r="AK238" i="51"/>
  <c r="AK239" i="51"/>
  <c r="AK240" i="51"/>
  <c r="AK241" i="51"/>
  <c r="AK242" i="51"/>
  <c r="AK243" i="51"/>
  <c r="AK244" i="51"/>
  <c r="AK245" i="51"/>
  <c r="AK246" i="51"/>
  <c r="AK247" i="51"/>
  <c r="AK248" i="51"/>
  <c r="AK249" i="51"/>
  <c r="AK250" i="51"/>
  <c r="AK251" i="51"/>
  <c r="AK252" i="51"/>
  <c r="AK253" i="51"/>
  <c r="AK254" i="51"/>
  <c r="AK255" i="51"/>
  <c r="AK256" i="51"/>
  <c r="AK257" i="51"/>
  <c r="AK258" i="51"/>
  <c r="AK259" i="51"/>
  <c r="AK260" i="51"/>
  <c r="AK261" i="51"/>
  <c r="AK262" i="51"/>
  <c r="AK263" i="51"/>
  <c r="AK264" i="51"/>
  <c r="AK265" i="51"/>
  <c r="AK266" i="51"/>
  <c r="AK267" i="51"/>
  <c r="AK268" i="51"/>
  <c r="AK269" i="51"/>
  <c r="AK270" i="51"/>
  <c r="AK271" i="51"/>
  <c r="AK272" i="51"/>
  <c r="AK273" i="51"/>
  <c r="AK274" i="51"/>
  <c r="AK275" i="51"/>
  <c r="AK276" i="51"/>
  <c r="AK277" i="51"/>
  <c r="AK278" i="51"/>
  <c r="AK279" i="51"/>
  <c r="AK280" i="51"/>
  <c r="AK281" i="51"/>
  <c r="AK282" i="51"/>
  <c r="AK283" i="51"/>
  <c r="AK284" i="51"/>
  <c r="AK285" i="51"/>
  <c r="AK286" i="51"/>
  <c r="AK287" i="51"/>
  <c r="AK288" i="51"/>
  <c r="AK289" i="51"/>
  <c r="AK290" i="51"/>
  <c r="AK291" i="51"/>
  <c r="AK292" i="51"/>
  <c r="AK293" i="51"/>
  <c r="AK294" i="51"/>
  <c r="AK295" i="51"/>
  <c r="AK296" i="51"/>
  <c r="AK297" i="51"/>
  <c r="AK298" i="51"/>
  <c r="AK299" i="51"/>
  <c r="AK300" i="51"/>
  <c r="AK301" i="51"/>
  <c r="AK302" i="51"/>
  <c r="AK303" i="51"/>
  <c r="AK304" i="51"/>
  <c r="AK305" i="51"/>
  <c r="AK306" i="51"/>
  <c r="AK307" i="51"/>
  <c r="AK308" i="51"/>
  <c r="AK309" i="51"/>
  <c r="AK310" i="51"/>
  <c r="AK311" i="51"/>
  <c r="AK312" i="51"/>
  <c r="AK313" i="51"/>
  <c r="AK314" i="51"/>
  <c r="AK315" i="51"/>
  <c r="AK316" i="51"/>
  <c r="AK317" i="51"/>
  <c r="AK318" i="51"/>
  <c r="AK319" i="51"/>
  <c r="AK320" i="51"/>
  <c r="AK321" i="51"/>
  <c r="AK322" i="51"/>
  <c r="AK323" i="51"/>
  <c r="AK324" i="51"/>
  <c r="AK325" i="51"/>
  <c r="AK326" i="51"/>
  <c r="AK327" i="51"/>
  <c r="AK328" i="51"/>
  <c r="AK329" i="51"/>
  <c r="AK330" i="51"/>
  <c r="AK331" i="51"/>
  <c r="AK332" i="51"/>
  <c r="AK333" i="51"/>
  <c r="AK334" i="51"/>
  <c r="AK335" i="51"/>
  <c r="AK336" i="51"/>
  <c r="AK337" i="51"/>
  <c r="AK338" i="51"/>
  <c r="AK339" i="51"/>
  <c r="AK340" i="51"/>
  <c r="AK341" i="51"/>
  <c r="AK342" i="51"/>
  <c r="AK343" i="51"/>
  <c r="AK344" i="51"/>
  <c r="AK345" i="51"/>
  <c r="AK346" i="51"/>
  <c r="AK347" i="51"/>
  <c r="AK348" i="51"/>
  <c r="AK349" i="51"/>
  <c r="AK350" i="51"/>
  <c r="AK351" i="51"/>
  <c r="AK352" i="51"/>
  <c r="AK353" i="51"/>
  <c r="AK354" i="51"/>
  <c r="AK355" i="51"/>
  <c r="AK356" i="51"/>
  <c r="AK357" i="51"/>
  <c r="AK358" i="51"/>
  <c r="AK359" i="51"/>
  <c r="AK360" i="51"/>
  <c r="AK361" i="51"/>
  <c r="AK362" i="51"/>
  <c r="AK363" i="51"/>
  <c r="AK364" i="51"/>
  <c r="AK365" i="51"/>
  <c r="AK366" i="51"/>
  <c r="AK367" i="51"/>
  <c r="AK368" i="51"/>
  <c r="AK369" i="51"/>
  <c r="AK5" i="51"/>
  <c r="I41" i="66" l="1"/>
  <c r="N13" i="66"/>
  <c r="N12" i="66"/>
  <c r="N15" i="66"/>
  <c r="N21" i="66"/>
  <c r="S41" i="66"/>
  <c r="L41" i="66"/>
  <c r="N11" i="66"/>
  <c r="N41" i="66" l="1"/>
  <c r="AH17" i="51"/>
  <c r="AH24" i="51"/>
  <c r="AH31" i="51"/>
  <c r="AH37" i="51"/>
  <c r="AH45" i="51"/>
  <c r="AH52" i="51"/>
  <c r="AH59" i="51"/>
  <c r="AH73" i="51"/>
  <c r="AH80" i="51"/>
  <c r="AH87" i="51"/>
  <c r="AH94" i="51"/>
  <c r="AH108" i="51"/>
  <c r="AH115" i="51"/>
  <c r="AH136" i="51"/>
  <c r="AH142" i="51"/>
  <c r="AH150" i="51"/>
  <c r="AH157" i="51"/>
  <c r="AH171" i="51"/>
  <c r="AH178" i="51"/>
  <c r="AH185" i="51"/>
  <c r="AH199" i="51"/>
  <c r="AH206" i="51"/>
  <c r="AH213" i="51"/>
  <c r="AH227" i="51"/>
  <c r="AH234" i="51"/>
  <c r="AH241" i="51"/>
  <c r="AH248" i="51"/>
  <c r="AH262" i="51"/>
  <c r="AH269" i="51"/>
  <c r="AH276" i="51"/>
  <c r="AH277" i="51"/>
  <c r="AH278" i="51"/>
  <c r="AH279" i="51"/>
  <c r="AH280" i="51"/>
  <c r="AH281" i="51"/>
  <c r="AH282" i="51"/>
  <c r="AH283" i="51"/>
  <c r="AH297" i="51"/>
  <c r="AH304" i="51"/>
  <c r="AH318" i="51"/>
  <c r="AH325" i="51"/>
  <c r="AH332" i="51"/>
  <c r="AH346" i="51"/>
  <c r="AH353" i="51"/>
  <c r="AH360" i="51"/>
  <c r="AH367" i="51"/>
  <c r="L24" i="21" l="1"/>
  <c r="D24" i="21"/>
  <c r="L21" i="21"/>
  <c r="D375" i="51" l="1"/>
  <c r="K7" i="51"/>
  <c r="K8" i="51"/>
  <c r="K9" i="51"/>
  <c r="K10" i="51"/>
  <c r="K11" i="51"/>
  <c r="K12" i="51"/>
  <c r="K13" i="51"/>
  <c r="K14" i="51"/>
  <c r="K15" i="51"/>
  <c r="K16" i="51"/>
  <c r="K17" i="51"/>
  <c r="K18" i="51"/>
  <c r="K19" i="51"/>
  <c r="K20" i="51"/>
  <c r="K21" i="51"/>
  <c r="K22" i="51"/>
  <c r="K23" i="51"/>
  <c r="K24" i="51"/>
  <c r="K25" i="51"/>
  <c r="K26" i="51"/>
  <c r="K27" i="51"/>
  <c r="K28" i="51"/>
  <c r="K29" i="51"/>
  <c r="K30" i="51"/>
  <c r="K31" i="51"/>
  <c r="K32" i="51"/>
  <c r="K33" i="51"/>
  <c r="K34" i="51"/>
  <c r="K35" i="51"/>
  <c r="K36" i="51"/>
  <c r="K37" i="51"/>
  <c r="K38" i="51"/>
  <c r="K39" i="51"/>
  <c r="K40" i="51"/>
  <c r="K41" i="51"/>
  <c r="K42" i="51"/>
  <c r="K43" i="51"/>
  <c r="K44" i="51"/>
  <c r="K45" i="51"/>
  <c r="K46" i="51"/>
  <c r="K47" i="51"/>
  <c r="K48" i="51"/>
  <c r="K49" i="51"/>
  <c r="K50" i="51"/>
  <c r="K51" i="51"/>
  <c r="K52" i="51"/>
  <c r="K53" i="51"/>
  <c r="K54" i="51"/>
  <c r="K55" i="51"/>
  <c r="K56" i="51"/>
  <c r="K57" i="51"/>
  <c r="K58" i="51"/>
  <c r="K59" i="51"/>
  <c r="K60" i="51"/>
  <c r="K61" i="51"/>
  <c r="K62" i="51"/>
  <c r="K63" i="51"/>
  <c r="K64" i="51"/>
  <c r="K65" i="51"/>
  <c r="K66" i="51"/>
  <c r="K67" i="51"/>
  <c r="K68" i="51"/>
  <c r="K69" i="51"/>
  <c r="K70" i="51"/>
  <c r="K71" i="51"/>
  <c r="K72" i="51"/>
  <c r="K73" i="51"/>
  <c r="K74" i="51"/>
  <c r="K75" i="51"/>
  <c r="K76" i="51"/>
  <c r="K77" i="51"/>
  <c r="K78" i="51"/>
  <c r="K79" i="51"/>
  <c r="K80" i="51"/>
  <c r="K81" i="51"/>
  <c r="K82" i="51"/>
  <c r="K83" i="51"/>
  <c r="K84" i="51"/>
  <c r="K85" i="51"/>
  <c r="K86" i="51"/>
  <c r="K87" i="51"/>
  <c r="K88" i="51"/>
  <c r="K89" i="51"/>
  <c r="K90" i="51"/>
  <c r="K91" i="51"/>
  <c r="K92" i="51"/>
  <c r="K93" i="51"/>
  <c r="K94" i="51"/>
  <c r="K95" i="51"/>
  <c r="K96" i="51"/>
  <c r="K97" i="51"/>
  <c r="K98" i="51"/>
  <c r="K99" i="51"/>
  <c r="K100" i="51"/>
  <c r="K101" i="51"/>
  <c r="K102" i="51"/>
  <c r="K103" i="51"/>
  <c r="K104" i="51"/>
  <c r="K105" i="51"/>
  <c r="K106" i="51"/>
  <c r="K107" i="51"/>
  <c r="K108" i="51"/>
  <c r="K109" i="51"/>
  <c r="K110" i="51"/>
  <c r="K111" i="51"/>
  <c r="K112" i="51"/>
  <c r="K113" i="51"/>
  <c r="K114" i="51"/>
  <c r="K115" i="51"/>
  <c r="K116" i="51"/>
  <c r="K117" i="51"/>
  <c r="K118" i="51"/>
  <c r="K119" i="51"/>
  <c r="K120" i="51"/>
  <c r="K121" i="51"/>
  <c r="K122" i="51"/>
  <c r="K123" i="51"/>
  <c r="K124" i="51"/>
  <c r="K125" i="51"/>
  <c r="K126" i="51"/>
  <c r="K127" i="51"/>
  <c r="K128" i="51"/>
  <c r="K129" i="51"/>
  <c r="K130" i="51"/>
  <c r="K131" i="51"/>
  <c r="K132" i="51"/>
  <c r="K133" i="51"/>
  <c r="K134" i="51"/>
  <c r="K135" i="51"/>
  <c r="K136" i="51"/>
  <c r="K137" i="51"/>
  <c r="K138" i="51"/>
  <c r="K139" i="51"/>
  <c r="K140" i="51"/>
  <c r="K141" i="51"/>
  <c r="K142" i="51"/>
  <c r="K143" i="51"/>
  <c r="K144" i="51"/>
  <c r="K145" i="51"/>
  <c r="K146" i="51"/>
  <c r="K147" i="51"/>
  <c r="K148" i="51"/>
  <c r="K149" i="51"/>
  <c r="K150" i="51"/>
  <c r="K151" i="51"/>
  <c r="K152" i="51"/>
  <c r="K153" i="51"/>
  <c r="K154" i="51"/>
  <c r="K155" i="51"/>
  <c r="K156" i="51"/>
  <c r="K157" i="51"/>
  <c r="K158" i="51"/>
  <c r="K159" i="51"/>
  <c r="K160" i="51"/>
  <c r="K161" i="51"/>
  <c r="K162" i="51"/>
  <c r="K163" i="51"/>
  <c r="K164" i="51"/>
  <c r="K165" i="51"/>
  <c r="K166" i="51"/>
  <c r="K167" i="51"/>
  <c r="K168" i="51"/>
  <c r="K169" i="51"/>
  <c r="K170" i="51"/>
  <c r="K171" i="51"/>
  <c r="K172" i="51"/>
  <c r="K173" i="51"/>
  <c r="K174" i="51"/>
  <c r="K175" i="51"/>
  <c r="K176" i="51"/>
  <c r="K177" i="51"/>
  <c r="K178" i="51"/>
  <c r="K179" i="51"/>
  <c r="K180" i="51"/>
  <c r="K181" i="51"/>
  <c r="K182" i="51"/>
  <c r="K183" i="51"/>
  <c r="K184" i="51"/>
  <c r="K185" i="51"/>
  <c r="K186" i="51"/>
  <c r="K187" i="51"/>
  <c r="K188" i="51"/>
  <c r="K189" i="51"/>
  <c r="K190" i="51"/>
  <c r="K191" i="51"/>
  <c r="K192" i="51"/>
  <c r="K193" i="51"/>
  <c r="K194" i="51"/>
  <c r="K195" i="51"/>
  <c r="K196" i="51"/>
  <c r="K197" i="51"/>
  <c r="K198" i="51"/>
  <c r="K199" i="51"/>
  <c r="K200" i="51"/>
  <c r="K201" i="51"/>
  <c r="K202" i="51"/>
  <c r="K203" i="51"/>
  <c r="K204" i="51"/>
  <c r="K205" i="51"/>
  <c r="K206" i="51"/>
  <c r="K207" i="51"/>
  <c r="K208" i="51"/>
  <c r="K209" i="51"/>
  <c r="K210" i="51"/>
  <c r="K211" i="51"/>
  <c r="K212" i="51"/>
  <c r="K213" i="51"/>
  <c r="K214" i="51"/>
  <c r="K215" i="51"/>
  <c r="K216" i="51"/>
  <c r="K217" i="51"/>
  <c r="K218" i="51"/>
  <c r="K219" i="51"/>
  <c r="K220" i="51"/>
  <c r="K221" i="51"/>
  <c r="K222" i="51"/>
  <c r="K223" i="51"/>
  <c r="K224" i="51"/>
  <c r="K225" i="51"/>
  <c r="K226" i="51"/>
  <c r="K227" i="51"/>
  <c r="K228" i="51"/>
  <c r="K229" i="51"/>
  <c r="K230" i="51"/>
  <c r="K231" i="51"/>
  <c r="K232" i="51"/>
  <c r="K233" i="51"/>
  <c r="K234" i="51"/>
  <c r="K235" i="51"/>
  <c r="K236" i="51"/>
  <c r="K237" i="51"/>
  <c r="K238" i="51"/>
  <c r="K239" i="51"/>
  <c r="K240" i="51"/>
  <c r="K241" i="51"/>
  <c r="K242" i="51"/>
  <c r="K243" i="51"/>
  <c r="K244" i="51"/>
  <c r="K245" i="51"/>
  <c r="K246" i="51"/>
  <c r="K247" i="51"/>
  <c r="K248" i="51"/>
  <c r="K249" i="51"/>
  <c r="K250" i="51"/>
  <c r="K251" i="51"/>
  <c r="K252" i="51"/>
  <c r="K253" i="51"/>
  <c r="K254" i="51"/>
  <c r="K255" i="51"/>
  <c r="K256" i="51"/>
  <c r="K257" i="51"/>
  <c r="K258" i="51"/>
  <c r="K259" i="51"/>
  <c r="K260" i="51"/>
  <c r="K261" i="51"/>
  <c r="K262" i="51"/>
  <c r="K263" i="51"/>
  <c r="K264" i="51"/>
  <c r="K265" i="51"/>
  <c r="K266" i="51"/>
  <c r="K267" i="51"/>
  <c r="K268" i="51"/>
  <c r="K269" i="51"/>
  <c r="K270" i="51"/>
  <c r="K271" i="51"/>
  <c r="K272" i="51"/>
  <c r="K273" i="51"/>
  <c r="K274" i="51"/>
  <c r="K275" i="51"/>
  <c r="K276" i="51"/>
  <c r="K277" i="51"/>
  <c r="K278" i="51"/>
  <c r="K279" i="51"/>
  <c r="K280" i="51"/>
  <c r="K281" i="51"/>
  <c r="K282" i="51"/>
  <c r="K283" i="51"/>
  <c r="K284" i="51"/>
  <c r="K285" i="51"/>
  <c r="K286" i="51"/>
  <c r="K287" i="51"/>
  <c r="K288" i="51"/>
  <c r="K289" i="51"/>
  <c r="K290" i="51"/>
  <c r="K291" i="51"/>
  <c r="K292" i="51"/>
  <c r="K293" i="51"/>
  <c r="K294" i="51"/>
  <c r="K295" i="51"/>
  <c r="K296" i="51"/>
  <c r="K297" i="51"/>
  <c r="K298" i="51"/>
  <c r="K299" i="51"/>
  <c r="K300" i="51"/>
  <c r="K301" i="51"/>
  <c r="K302" i="51"/>
  <c r="K303" i="51"/>
  <c r="K304" i="51"/>
  <c r="K305" i="51"/>
  <c r="K306" i="51"/>
  <c r="K307" i="51"/>
  <c r="K308" i="51"/>
  <c r="K309" i="51"/>
  <c r="K310" i="51"/>
  <c r="K311" i="51"/>
  <c r="K312" i="51"/>
  <c r="K313" i="51"/>
  <c r="K314" i="51"/>
  <c r="K315" i="51"/>
  <c r="K316" i="51"/>
  <c r="K317" i="51"/>
  <c r="K318" i="51"/>
  <c r="K319" i="51"/>
  <c r="K320" i="51"/>
  <c r="K321" i="51"/>
  <c r="K322" i="51"/>
  <c r="K323" i="51"/>
  <c r="K324" i="51"/>
  <c r="K325" i="51"/>
  <c r="K326" i="51"/>
  <c r="K327" i="51"/>
  <c r="K328" i="51"/>
  <c r="K329" i="51"/>
  <c r="K330" i="51"/>
  <c r="K331" i="51"/>
  <c r="K332" i="51"/>
  <c r="K333" i="51"/>
  <c r="K334" i="51"/>
  <c r="K335" i="51"/>
  <c r="K336" i="51"/>
  <c r="K337" i="51"/>
  <c r="K338" i="51"/>
  <c r="K339" i="51"/>
  <c r="K340" i="51"/>
  <c r="K341" i="51"/>
  <c r="K342" i="51"/>
  <c r="K343" i="51"/>
  <c r="K344" i="51"/>
  <c r="K345" i="51"/>
  <c r="K346" i="51"/>
  <c r="K347" i="51"/>
  <c r="K348" i="51"/>
  <c r="K349" i="51"/>
  <c r="K350" i="51"/>
  <c r="K351" i="51"/>
  <c r="K352" i="51"/>
  <c r="K353" i="51"/>
  <c r="K354" i="51"/>
  <c r="K355" i="51"/>
  <c r="K356" i="51"/>
  <c r="K357" i="51"/>
  <c r="K358" i="51"/>
  <c r="K359" i="51"/>
  <c r="K360" i="51"/>
  <c r="K361" i="51"/>
  <c r="K362" i="51"/>
  <c r="K363" i="51"/>
  <c r="K364" i="51"/>
  <c r="K365" i="51"/>
  <c r="K366" i="51"/>
  <c r="K367" i="51"/>
  <c r="K368" i="51"/>
  <c r="K369" i="51"/>
  <c r="K6" i="51"/>
  <c r="K5" i="51"/>
  <c r="G5" i="51"/>
  <c r="J5" i="51" s="1"/>
  <c r="G6" i="51"/>
  <c r="AJ6" i="51" s="1"/>
  <c r="G7" i="51"/>
  <c r="AJ7" i="51" s="1"/>
  <c r="G8" i="51"/>
  <c r="AJ8" i="51" s="1"/>
  <c r="G9" i="51"/>
  <c r="AJ9" i="51" s="1"/>
  <c r="G10" i="51"/>
  <c r="AJ10" i="51" s="1"/>
  <c r="G11" i="51"/>
  <c r="AJ11" i="51" s="1"/>
  <c r="G12" i="51"/>
  <c r="AJ12" i="51" s="1"/>
  <c r="G13" i="51"/>
  <c r="AJ13" i="51" s="1"/>
  <c r="G14" i="51"/>
  <c r="AJ14" i="51" s="1"/>
  <c r="G15" i="51"/>
  <c r="AJ15" i="51" s="1"/>
  <c r="G16" i="51"/>
  <c r="AJ16" i="51" s="1"/>
  <c r="G17" i="51"/>
  <c r="AJ17" i="51" s="1"/>
  <c r="G18" i="51"/>
  <c r="AJ18" i="51" s="1"/>
  <c r="G19" i="51"/>
  <c r="AJ19" i="51" s="1"/>
  <c r="G20" i="51"/>
  <c r="AJ20" i="51" s="1"/>
  <c r="G21" i="51"/>
  <c r="AJ21" i="51" s="1"/>
  <c r="G22" i="51"/>
  <c r="AJ22" i="51" s="1"/>
  <c r="G23" i="51"/>
  <c r="AJ23" i="51" s="1"/>
  <c r="G24" i="51"/>
  <c r="AJ24" i="51" s="1"/>
  <c r="G25" i="51"/>
  <c r="AJ25" i="51" s="1"/>
  <c r="G26" i="51"/>
  <c r="AJ26" i="51" s="1"/>
  <c r="G27" i="51"/>
  <c r="AJ27" i="51" s="1"/>
  <c r="G28" i="51"/>
  <c r="AJ28" i="51" s="1"/>
  <c r="G29" i="51"/>
  <c r="AJ29" i="51" s="1"/>
  <c r="G30" i="51"/>
  <c r="AJ30" i="51" s="1"/>
  <c r="G31" i="51"/>
  <c r="AJ31" i="51" s="1"/>
  <c r="G32" i="51"/>
  <c r="AJ32" i="51" s="1"/>
  <c r="G33" i="51"/>
  <c r="AJ33" i="51" s="1"/>
  <c r="G34" i="51"/>
  <c r="AJ34" i="51" s="1"/>
  <c r="G35" i="51"/>
  <c r="AJ35" i="51" s="1"/>
  <c r="G36" i="51"/>
  <c r="AJ36" i="51" s="1"/>
  <c r="G37" i="51"/>
  <c r="AJ37" i="51" s="1"/>
  <c r="G38" i="51"/>
  <c r="AJ38" i="51" s="1"/>
  <c r="G39" i="51"/>
  <c r="AJ39" i="51" s="1"/>
  <c r="G40" i="51"/>
  <c r="AJ40" i="51" s="1"/>
  <c r="G41" i="51"/>
  <c r="AJ41" i="51" s="1"/>
  <c r="G42" i="51"/>
  <c r="AJ42" i="51" s="1"/>
  <c r="G43" i="51"/>
  <c r="AJ43" i="51" s="1"/>
  <c r="G44" i="51"/>
  <c r="AJ44" i="51" s="1"/>
  <c r="G45" i="51"/>
  <c r="AJ45" i="51" s="1"/>
  <c r="G46" i="51"/>
  <c r="AJ46" i="51" s="1"/>
  <c r="G47" i="51"/>
  <c r="AJ47" i="51" s="1"/>
  <c r="G48" i="51"/>
  <c r="AJ48" i="51" s="1"/>
  <c r="G49" i="51"/>
  <c r="AJ49" i="51" s="1"/>
  <c r="G50" i="51"/>
  <c r="AJ50" i="51" s="1"/>
  <c r="G51" i="51"/>
  <c r="AJ51" i="51" s="1"/>
  <c r="G52" i="51"/>
  <c r="AJ52" i="51" s="1"/>
  <c r="G53" i="51"/>
  <c r="AJ53" i="51" s="1"/>
  <c r="G54" i="51"/>
  <c r="AJ54" i="51" s="1"/>
  <c r="G55" i="51"/>
  <c r="AJ55" i="51" s="1"/>
  <c r="G56" i="51"/>
  <c r="AJ56" i="51" s="1"/>
  <c r="G57" i="51"/>
  <c r="AJ57" i="51" s="1"/>
  <c r="G58" i="51"/>
  <c r="AJ58" i="51" s="1"/>
  <c r="G59" i="51"/>
  <c r="AJ59" i="51" s="1"/>
  <c r="G60" i="51"/>
  <c r="AJ60" i="51" s="1"/>
  <c r="G61" i="51"/>
  <c r="AJ61" i="51" s="1"/>
  <c r="G62" i="51"/>
  <c r="AJ62" i="51" s="1"/>
  <c r="G63" i="51"/>
  <c r="AJ63" i="51" s="1"/>
  <c r="G64" i="51"/>
  <c r="AJ64" i="51" s="1"/>
  <c r="G65" i="51"/>
  <c r="AJ65" i="51" s="1"/>
  <c r="G66" i="51"/>
  <c r="AJ66" i="51" s="1"/>
  <c r="G67" i="51"/>
  <c r="AJ67" i="51" s="1"/>
  <c r="G68" i="51"/>
  <c r="AJ68" i="51" s="1"/>
  <c r="G69" i="51"/>
  <c r="AJ69" i="51" s="1"/>
  <c r="G70" i="51"/>
  <c r="AJ70" i="51" s="1"/>
  <c r="G71" i="51"/>
  <c r="AJ71" i="51" s="1"/>
  <c r="G72" i="51"/>
  <c r="AJ72" i="51" s="1"/>
  <c r="G73" i="51"/>
  <c r="AJ73" i="51" s="1"/>
  <c r="G74" i="51"/>
  <c r="AJ74" i="51" s="1"/>
  <c r="G75" i="51"/>
  <c r="AJ75" i="51" s="1"/>
  <c r="G76" i="51"/>
  <c r="AJ76" i="51" s="1"/>
  <c r="G77" i="51"/>
  <c r="AJ77" i="51" s="1"/>
  <c r="G78" i="51"/>
  <c r="AJ78" i="51" s="1"/>
  <c r="G79" i="51"/>
  <c r="AJ79" i="51" s="1"/>
  <c r="G80" i="51"/>
  <c r="AJ80" i="51" s="1"/>
  <c r="G81" i="51"/>
  <c r="AJ81" i="51" s="1"/>
  <c r="G82" i="51"/>
  <c r="AJ82" i="51" s="1"/>
  <c r="G83" i="51"/>
  <c r="AJ83" i="51" s="1"/>
  <c r="G84" i="51"/>
  <c r="AJ84" i="51" s="1"/>
  <c r="G85" i="51"/>
  <c r="AJ85" i="51" s="1"/>
  <c r="G86" i="51"/>
  <c r="AJ86" i="51" s="1"/>
  <c r="G87" i="51"/>
  <c r="AJ87" i="51" s="1"/>
  <c r="G88" i="51"/>
  <c r="AJ88" i="51" s="1"/>
  <c r="G89" i="51"/>
  <c r="AJ89" i="51" s="1"/>
  <c r="G90" i="51"/>
  <c r="AJ90" i="51" s="1"/>
  <c r="G91" i="51"/>
  <c r="AJ91" i="51" s="1"/>
  <c r="G92" i="51"/>
  <c r="AJ92" i="51" s="1"/>
  <c r="G93" i="51"/>
  <c r="AJ93" i="51" s="1"/>
  <c r="G94" i="51"/>
  <c r="AJ94" i="51" s="1"/>
  <c r="G95" i="51"/>
  <c r="AJ95" i="51" s="1"/>
  <c r="G96" i="51"/>
  <c r="AJ96" i="51" s="1"/>
  <c r="G97" i="51"/>
  <c r="AJ97" i="51" s="1"/>
  <c r="G98" i="51"/>
  <c r="AJ98" i="51" s="1"/>
  <c r="G99" i="51"/>
  <c r="AJ99" i="51" s="1"/>
  <c r="G100" i="51"/>
  <c r="AJ100" i="51" s="1"/>
  <c r="G101" i="51"/>
  <c r="AJ101" i="51" s="1"/>
  <c r="G102" i="51"/>
  <c r="AJ102" i="51" s="1"/>
  <c r="G103" i="51"/>
  <c r="AJ103" i="51" s="1"/>
  <c r="G104" i="51"/>
  <c r="AJ104" i="51" s="1"/>
  <c r="G105" i="51"/>
  <c r="AJ105" i="51" s="1"/>
  <c r="G106" i="51"/>
  <c r="AJ106" i="51" s="1"/>
  <c r="G107" i="51"/>
  <c r="AJ107" i="51" s="1"/>
  <c r="G108" i="51"/>
  <c r="AJ108" i="51" s="1"/>
  <c r="G109" i="51"/>
  <c r="AJ109" i="51" s="1"/>
  <c r="G110" i="51"/>
  <c r="AJ110" i="51" s="1"/>
  <c r="G111" i="51"/>
  <c r="AJ111" i="51" s="1"/>
  <c r="G112" i="51"/>
  <c r="AJ112" i="51" s="1"/>
  <c r="G113" i="51"/>
  <c r="AJ113" i="51" s="1"/>
  <c r="G114" i="51"/>
  <c r="AJ114" i="51" s="1"/>
  <c r="G115" i="51"/>
  <c r="AJ115" i="51" s="1"/>
  <c r="G116" i="51"/>
  <c r="AJ116" i="51" s="1"/>
  <c r="G117" i="51"/>
  <c r="AJ117" i="51" s="1"/>
  <c r="G118" i="51"/>
  <c r="AJ118" i="51" s="1"/>
  <c r="G119" i="51"/>
  <c r="AJ119" i="51" s="1"/>
  <c r="G120" i="51"/>
  <c r="AJ120" i="51" s="1"/>
  <c r="G121" i="51"/>
  <c r="AJ121" i="51" s="1"/>
  <c r="G122" i="51"/>
  <c r="AJ122" i="51" s="1"/>
  <c r="G123" i="51"/>
  <c r="AJ123" i="51" s="1"/>
  <c r="G124" i="51"/>
  <c r="AJ124" i="51" s="1"/>
  <c r="G125" i="51"/>
  <c r="AJ125" i="51" s="1"/>
  <c r="G126" i="51"/>
  <c r="AJ126" i="51" s="1"/>
  <c r="G127" i="51"/>
  <c r="AJ127" i="51" s="1"/>
  <c r="G128" i="51"/>
  <c r="AJ128" i="51" s="1"/>
  <c r="G129" i="51"/>
  <c r="AJ129" i="51" s="1"/>
  <c r="G130" i="51"/>
  <c r="AJ130" i="51" s="1"/>
  <c r="G131" i="51"/>
  <c r="AJ131" i="51" s="1"/>
  <c r="G132" i="51"/>
  <c r="AJ132" i="51" s="1"/>
  <c r="G133" i="51"/>
  <c r="AJ133" i="51" s="1"/>
  <c r="G134" i="51"/>
  <c r="AJ134" i="51" s="1"/>
  <c r="G135" i="51"/>
  <c r="AJ135" i="51" s="1"/>
  <c r="G136" i="51"/>
  <c r="AJ136" i="51" s="1"/>
  <c r="G137" i="51"/>
  <c r="AJ137" i="51" s="1"/>
  <c r="G138" i="51"/>
  <c r="AJ138" i="51" s="1"/>
  <c r="G139" i="51"/>
  <c r="AJ139" i="51" s="1"/>
  <c r="G140" i="51"/>
  <c r="AJ140" i="51" s="1"/>
  <c r="G141" i="51"/>
  <c r="AJ141" i="51" s="1"/>
  <c r="G142" i="51"/>
  <c r="AJ142" i="51" s="1"/>
  <c r="G143" i="51"/>
  <c r="AJ143" i="51" s="1"/>
  <c r="G144" i="51"/>
  <c r="AJ144" i="51" s="1"/>
  <c r="G145" i="51"/>
  <c r="AJ145" i="51" s="1"/>
  <c r="G146" i="51"/>
  <c r="AJ146" i="51" s="1"/>
  <c r="G147" i="51"/>
  <c r="AJ147" i="51" s="1"/>
  <c r="G148" i="51"/>
  <c r="AJ148" i="51" s="1"/>
  <c r="G149" i="51"/>
  <c r="AJ149" i="51" s="1"/>
  <c r="G150" i="51"/>
  <c r="AJ150" i="51" s="1"/>
  <c r="G151" i="51"/>
  <c r="AJ151" i="51" s="1"/>
  <c r="G152" i="51"/>
  <c r="AJ152" i="51" s="1"/>
  <c r="G153" i="51"/>
  <c r="AJ153" i="51" s="1"/>
  <c r="G154" i="51"/>
  <c r="AJ154" i="51" s="1"/>
  <c r="G155" i="51"/>
  <c r="AJ155" i="51" s="1"/>
  <c r="G156" i="51"/>
  <c r="AJ156" i="51" s="1"/>
  <c r="G157" i="51"/>
  <c r="AJ157" i="51" s="1"/>
  <c r="G158" i="51"/>
  <c r="AJ158" i="51" s="1"/>
  <c r="G159" i="51"/>
  <c r="AJ159" i="51" s="1"/>
  <c r="G160" i="51"/>
  <c r="AJ160" i="51" s="1"/>
  <c r="G161" i="51"/>
  <c r="AJ161" i="51" s="1"/>
  <c r="G162" i="51"/>
  <c r="AJ162" i="51" s="1"/>
  <c r="G163" i="51"/>
  <c r="AJ163" i="51" s="1"/>
  <c r="G164" i="51"/>
  <c r="AJ164" i="51" s="1"/>
  <c r="G165" i="51"/>
  <c r="AJ165" i="51" s="1"/>
  <c r="G166" i="51"/>
  <c r="AJ166" i="51" s="1"/>
  <c r="G167" i="51"/>
  <c r="AJ167" i="51" s="1"/>
  <c r="G168" i="51"/>
  <c r="AJ168" i="51" s="1"/>
  <c r="G169" i="51"/>
  <c r="AJ169" i="51" s="1"/>
  <c r="G170" i="51"/>
  <c r="AJ170" i="51" s="1"/>
  <c r="G171" i="51"/>
  <c r="AJ171" i="51" s="1"/>
  <c r="G172" i="51"/>
  <c r="AJ172" i="51" s="1"/>
  <c r="G173" i="51"/>
  <c r="AJ173" i="51" s="1"/>
  <c r="G174" i="51"/>
  <c r="AJ174" i="51" s="1"/>
  <c r="G175" i="51"/>
  <c r="AJ175" i="51" s="1"/>
  <c r="G176" i="51"/>
  <c r="AJ176" i="51" s="1"/>
  <c r="G177" i="51"/>
  <c r="AJ177" i="51" s="1"/>
  <c r="G178" i="51"/>
  <c r="AJ178" i="51" s="1"/>
  <c r="G179" i="51"/>
  <c r="AJ179" i="51" s="1"/>
  <c r="G180" i="51"/>
  <c r="AJ180" i="51" s="1"/>
  <c r="G181" i="51"/>
  <c r="AJ181" i="51" s="1"/>
  <c r="G182" i="51"/>
  <c r="AJ182" i="51" s="1"/>
  <c r="G183" i="51"/>
  <c r="AJ183" i="51" s="1"/>
  <c r="G184" i="51"/>
  <c r="AJ184" i="51" s="1"/>
  <c r="G185" i="51"/>
  <c r="AJ185" i="51" s="1"/>
  <c r="G186" i="51"/>
  <c r="AJ186" i="51" s="1"/>
  <c r="G187" i="51"/>
  <c r="AJ187" i="51" s="1"/>
  <c r="G188" i="51"/>
  <c r="AJ188" i="51" s="1"/>
  <c r="G189" i="51"/>
  <c r="AJ189" i="51" s="1"/>
  <c r="G190" i="51"/>
  <c r="AJ190" i="51" s="1"/>
  <c r="G191" i="51"/>
  <c r="AJ191" i="51" s="1"/>
  <c r="G192" i="51"/>
  <c r="AJ192" i="51" s="1"/>
  <c r="G193" i="51"/>
  <c r="AJ193" i="51" s="1"/>
  <c r="G194" i="51"/>
  <c r="AJ194" i="51" s="1"/>
  <c r="G195" i="51"/>
  <c r="AJ195" i="51" s="1"/>
  <c r="G196" i="51"/>
  <c r="AJ196" i="51" s="1"/>
  <c r="G197" i="51"/>
  <c r="AJ197" i="51" s="1"/>
  <c r="G198" i="51"/>
  <c r="AJ198" i="51" s="1"/>
  <c r="G199" i="51"/>
  <c r="AJ199" i="51" s="1"/>
  <c r="G200" i="51"/>
  <c r="AJ200" i="51" s="1"/>
  <c r="G201" i="51"/>
  <c r="AJ201" i="51" s="1"/>
  <c r="G202" i="51"/>
  <c r="AJ202" i="51" s="1"/>
  <c r="G203" i="51"/>
  <c r="AJ203" i="51" s="1"/>
  <c r="G204" i="51"/>
  <c r="AJ204" i="51" s="1"/>
  <c r="G205" i="51"/>
  <c r="AJ205" i="51" s="1"/>
  <c r="G206" i="51"/>
  <c r="AJ206" i="51" s="1"/>
  <c r="G207" i="51"/>
  <c r="AJ207" i="51" s="1"/>
  <c r="G208" i="51"/>
  <c r="AJ208" i="51" s="1"/>
  <c r="G209" i="51"/>
  <c r="AJ209" i="51" s="1"/>
  <c r="G210" i="51"/>
  <c r="AJ210" i="51" s="1"/>
  <c r="G211" i="51"/>
  <c r="AJ211" i="51" s="1"/>
  <c r="G212" i="51"/>
  <c r="AJ212" i="51" s="1"/>
  <c r="G213" i="51"/>
  <c r="AJ213" i="51" s="1"/>
  <c r="G214" i="51"/>
  <c r="AJ214" i="51" s="1"/>
  <c r="G215" i="51"/>
  <c r="AJ215" i="51" s="1"/>
  <c r="G216" i="51"/>
  <c r="AJ216" i="51" s="1"/>
  <c r="G217" i="51"/>
  <c r="AJ217" i="51" s="1"/>
  <c r="G218" i="51"/>
  <c r="AJ218" i="51" s="1"/>
  <c r="G219" i="51"/>
  <c r="AJ219" i="51" s="1"/>
  <c r="G220" i="51"/>
  <c r="AJ220" i="51" s="1"/>
  <c r="G221" i="51"/>
  <c r="AJ221" i="51" s="1"/>
  <c r="G222" i="51"/>
  <c r="AJ222" i="51" s="1"/>
  <c r="G223" i="51"/>
  <c r="AJ223" i="51" s="1"/>
  <c r="G224" i="51"/>
  <c r="AJ224" i="51" s="1"/>
  <c r="G225" i="51"/>
  <c r="AJ225" i="51" s="1"/>
  <c r="G226" i="51"/>
  <c r="AJ226" i="51" s="1"/>
  <c r="G227" i="51"/>
  <c r="AJ227" i="51" s="1"/>
  <c r="G228" i="51"/>
  <c r="AJ228" i="51" s="1"/>
  <c r="G229" i="51"/>
  <c r="AJ229" i="51" s="1"/>
  <c r="G230" i="51"/>
  <c r="AJ230" i="51" s="1"/>
  <c r="G231" i="51"/>
  <c r="AJ231" i="51" s="1"/>
  <c r="G232" i="51"/>
  <c r="AJ232" i="51" s="1"/>
  <c r="G233" i="51"/>
  <c r="AJ233" i="51" s="1"/>
  <c r="G234" i="51"/>
  <c r="AJ234" i="51" s="1"/>
  <c r="G235" i="51"/>
  <c r="AJ235" i="51" s="1"/>
  <c r="G236" i="51"/>
  <c r="AJ236" i="51" s="1"/>
  <c r="G237" i="51"/>
  <c r="AJ237" i="51" s="1"/>
  <c r="G238" i="51"/>
  <c r="AJ238" i="51" s="1"/>
  <c r="G239" i="51"/>
  <c r="AJ239" i="51" s="1"/>
  <c r="G240" i="51"/>
  <c r="AJ240" i="51" s="1"/>
  <c r="G241" i="51"/>
  <c r="AJ241" i="51" s="1"/>
  <c r="G242" i="51"/>
  <c r="AJ242" i="51" s="1"/>
  <c r="G243" i="51"/>
  <c r="AJ243" i="51" s="1"/>
  <c r="G244" i="51"/>
  <c r="AJ244" i="51" s="1"/>
  <c r="G245" i="51"/>
  <c r="AJ245" i="51" s="1"/>
  <c r="G246" i="51"/>
  <c r="AJ246" i="51" s="1"/>
  <c r="G247" i="51"/>
  <c r="AJ247" i="51" s="1"/>
  <c r="G248" i="51"/>
  <c r="AJ248" i="51" s="1"/>
  <c r="G249" i="51"/>
  <c r="AJ249" i="51" s="1"/>
  <c r="G250" i="51"/>
  <c r="AJ250" i="51" s="1"/>
  <c r="G251" i="51"/>
  <c r="AJ251" i="51" s="1"/>
  <c r="G252" i="51"/>
  <c r="AJ252" i="51" s="1"/>
  <c r="G253" i="51"/>
  <c r="AJ253" i="51" s="1"/>
  <c r="G254" i="51"/>
  <c r="AJ254" i="51" s="1"/>
  <c r="G255" i="51"/>
  <c r="AJ255" i="51" s="1"/>
  <c r="G256" i="51"/>
  <c r="AJ256" i="51" s="1"/>
  <c r="G257" i="51"/>
  <c r="AJ257" i="51" s="1"/>
  <c r="G258" i="51"/>
  <c r="AJ258" i="51" s="1"/>
  <c r="G259" i="51"/>
  <c r="AJ259" i="51" s="1"/>
  <c r="G260" i="51"/>
  <c r="AJ260" i="51" s="1"/>
  <c r="G261" i="51"/>
  <c r="AJ261" i="51" s="1"/>
  <c r="G262" i="51"/>
  <c r="AJ262" i="51" s="1"/>
  <c r="G263" i="51"/>
  <c r="AJ263" i="51" s="1"/>
  <c r="G264" i="51"/>
  <c r="AJ264" i="51" s="1"/>
  <c r="G265" i="51"/>
  <c r="AJ265" i="51" s="1"/>
  <c r="G266" i="51"/>
  <c r="AJ266" i="51" s="1"/>
  <c r="G267" i="51"/>
  <c r="AJ267" i="51" s="1"/>
  <c r="G268" i="51"/>
  <c r="AJ268" i="51" s="1"/>
  <c r="G269" i="51"/>
  <c r="AJ269" i="51" s="1"/>
  <c r="G270" i="51"/>
  <c r="AJ270" i="51" s="1"/>
  <c r="G271" i="51"/>
  <c r="AJ271" i="51" s="1"/>
  <c r="G272" i="51"/>
  <c r="AJ272" i="51" s="1"/>
  <c r="G273" i="51"/>
  <c r="AJ273" i="51" s="1"/>
  <c r="G274" i="51"/>
  <c r="AJ274" i="51" s="1"/>
  <c r="G275" i="51"/>
  <c r="AJ275" i="51" s="1"/>
  <c r="G276" i="51"/>
  <c r="AJ276" i="51" s="1"/>
  <c r="G277" i="51"/>
  <c r="AJ277" i="51" s="1"/>
  <c r="G278" i="51"/>
  <c r="AJ278" i="51" s="1"/>
  <c r="G279" i="51"/>
  <c r="AJ279" i="51" s="1"/>
  <c r="G280" i="51"/>
  <c r="AJ280" i="51" s="1"/>
  <c r="G281" i="51"/>
  <c r="AJ281" i="51" s="1"/>
  <c r="G282" i="51"/>
  <c r="AJ282" i="51" s="1"/>
  <c r="G283" i="51"/>
  <c r="AJ283" i="51" s="1"/>
  <c r="G284" i="51"/>
  <c r="AJ284" i="51" s="1"/>
  <c r="G285" i="51"/>
  <c r="AJ285" i="51" s="1"/>
  <c r="G286" i="51"/>
  <c r="AJ286" i="51" s="1"/>
  <c r="G287" i="51"/>
  <c r="AJ287" i="51" s="1"/>
  <c r="G288" i="51"/>
  <c r="AJ288" i="51" s="1"/>
  <c r="G289" i="51"/>
  <c r="AJ289" i="51" s="1"/>
  <c r="G290" i="51"/>
  <c r="AJ290" i="51" s="1"/>
  <c r="G291" i="51"/>
  <c r="AJ291" i="51" s="1"/>
  <c r="G292" i="51"/>
  <c r="AJ292" i="51" s="1"/>
  <c r="G293" i="51"/>
  <c r="AJ293" i="51" s="1"/>
  <c r="G294" i="51"/>
  <c r="AJ294" i="51" s="1"/>
  <c r="G295" i="51"/>
  <c r="AJ295" i="51" s="1"/>
  <c r="G296" i="51"/>
  <c r="AJ296" i="51" s="1"/>
  <c r="G297" i="51"/>
  <c r="AJ297" i="51" s="1"/>
  <c r="G298" i="51"/>
  <c r="AJ298" i="51" s="1"/>
  <c r="G299" i="51"/>
  <c r="AJ299" i="51" s="1"/>
  <c r="G300" i="51"/>
  <c r="AJ300" i="51" s="1"/>
  <c r="G301" i="51"/>
  <c r="AJ301" i="51" s="1"/>
  <c r="G302" i="51"/>
  <c r="AJ302" i="51" s="1"/>
  <c r="G303" i="51"/>
  <c r="AJ303" i="51" s="1"/>
  <c r="G304" i="51"/>
  <c r="AJ304" i="51" s="1"/>
  <c r="G305" i="51"/>
  <c r="AJ305" i="51" s="1"/>
  <c r="G306" i="51"/>
  <c r="AJ306" i="51" s="1"/>
  <c r="G307" i="51"/>
  <c r="AJ307" i="51" s="1"/>
  <c r="G308" i="51"/>
  <c r="AJ308" i="51" s="1"/>
  <c r="G309" i="51"/>
  <c r="AJ309" i="51" s="1"/>
  <c r="G310" i="51"/>
  <c r="AJ310" i="51" s="1"/>
  <c r="G311" i="51"/>
  <c r="AJ311" i="51" s="1"/>
  <c r="G312" i="51"/>
  <c r="AJ312" i="51" s="1"/>
  <c r="G313" i="51"/>
  <c r="AJ313" i="51" s="1"/>
  <c r="G314" i="51"/>
  <c r="AJ314" i="51" s="1"/>
  <c r="G315" i="51"/>
  <c r="AJ315" i="51" s="1"/>
  <c r="G316" i="51"/>
  <c r="AJ316" i="51" s="1"/>
  <c r="G317" i="51"/>
  <c r="AJ317" i="51" s="1"/>
  <c r="G318" i="51"/>
  <c r="AJ318" i="51" s="1"/>
  <c r="G319" i="51"/>
  <c r="AJ319" i="51" s="1"/>
  <c r="G320" i="51"/>
  <c r="AJ320" i="51" s="1"/>
  <c r="G321" i="51"/>
  <c r="AJ321" i="51" s="1"/>
  <c r="G322" i="51"/>
  <c r="AJ322" i="51" s="1"/>
  <c r="G323" i="51"/>
  <c r="AJ323" i="51" s="1"/>
  <c r="G324" i="51"/>
  <c r="AJ324" i="51" s="1"/>
  <c r="G325" i="51"/>
  <c r="AJ325" i="51" s="1"/>
  <c r="G326" i="51"/>
  <c r="AJ326" i="51" s="1"/>
  <c r="G327" i="51"/>
  <c r="AJ327" i="51" s="1"/>
  <c r="G328" i="51"/>
  <c r="AJ328" i="51" s="1"/>
  <c r="G329" i="51"/>
  <c r="AJ329" i="51" s="1"/>
  <c r="G330" i="51"/>
  <c r="AJ330" i="51" s="1"/>
  <c r="G331" i="51"/>
  <c r="AJ331" i="51" s="1"/>
  <c r="G332" i="51"/>
  <c r="AJ332" i="51" s="1"/>
  <c r="G333" i="51"/>
  <c r="AJ333" i="51" s="1"/>
  <c r="G334" i="51"/>
  <c r="AJ334" i="51" s="1"/>
  <c r="G335" i="51"/>
  <c r="AJ335" i="51" s="1"/>
  <c r="G336" i="51"/>
  <c r="AJ336" i="51" s="1"/>
  <c r="G337" i="51"/>
  <c r="AJ337" i="51" s="1"/>
  <c r="G338" i="51"/>
  <c r="AJ338" i="51" s="1"/>
  <c r="G339" i="51"/>
  <c r="AJ339" i="51" s="1"/>
  <c r="G340" i="51"/>
  <c r="AJ340" i="51" s="1"/>
  <c r="G341" i="51"/>
  <c r="AJ341" i="51" s="1"/>
  <c r="G342" i="51"/>
  <c r="AJ342" i="51" s="1"/>
  <c r="G343" i="51"/>
  <c r="AJ343" i="51" s="1"/>
  <c r="G344" i="51"/>
  <c r="AJ344" i="51" s="1"/>
  <c r="G345" i="51"/>
  <c r="AJ345" i="51" s="1"/>
  <c r="G346" i="51"/>
  <c r="AJ346" i="51" s="1"/>
  <c r="G347" i="51"/>
  <c r="AJ347" i="51" s="1"/>
  <c r="G348" i="51"/>
  <c r="AJ348" i="51" s="1"/>
  <c r="G349" i="51"/>
  <c r="AJ349" i="51" s="1"/>
  <c r="G350" i="51"/>
  <c r="AJ350" i="51" s="1"/>
  <c r="G351" i="51"/>
  <c r="AJ351" i="51" s="1"/>
  <c r="G352" i="51"/>
  <c r="AJ352" i="51" s="1"/>
  <c r="G353" i="51"/>
  <c r="AJ353" i="51" s="1"/>
  <c r="G354" i="51"/>
  <c r="AJ354" i="51" s="1"/>
  <c r="G355" i="51"/>
  <c r="AJ355" i="51" s="1"/>
  <c r="G356" i="51"/>
  <c r="AJ356" i="51" s="1"/>
  <c r="G357" i="51"/>
  <c r="AJ357" i="51" s="1"/>
  <c r="G358" i="51"/>
  <c r="AJ358" i="51" s="1"/>
  <c r="G359" i="51"/>
  <c r="AJ359" i="51" s="1"/>
  <c r="G360" i="51"/>
  <c r="AJ360" i="51" s="1"/>
  <c r="G361" i="51"/>
  <c r="AJ361" i="51" s="1"/>
  <c r="G362" i="51"/>
  <c r="AJ362" i="51" s="1"/>
  <c r="G363" i="51"/>
  <c r="AJ363" i="51" s="1"/>
  <c r="G364" i="51"/>
  <c r="AJ364" i="51" s="1"/>
  <c r="G365" i="51"/>
  <c r="G366" i="51"/>
  <c r="AJ366" i="51" s="1"/>
  <c r="G367" i="51"/>
  <c r="AJ367" i="51" s="1"/>
  <c r="G368" i="51"/>
  <c r="AJ368" i="51" s="1"/>
  <c r="G369" i="51"/>
  <c r="AJ369" i="51" s="1"/>
  <c r="V9" i="52"/>
  <c r="V10" i="52"/>
  <c r="V11" i="52"/>
  <c r="V12" i="52"/>
  <c r="V13" i="52"/>
  <c r="V14" i="52"/>
  <c r="V15" i="52"/>
  <c r="V16" i="52"/>
  <c r="V17" i="52"/>
  <c r="V18" i="52"/>
  <c r="V19" i="52"/>
  <c r="V20" i="52"/>
  <c r="V21" i="52"/>
  <c r="V22" i="52"/>
  <c r="V23" i="52"/>
  <c r="V24" i="52"/>
  <c r="V25" i="52"/>
  <c r="V26" i="52"/>
  <c r="V27" i="52"/>
  <c r="V28" i="52"/>
  <c r="V29" i="52"/>
  <c r="V31" i="52"/>
  <c r="V32" i="52"/>
  <c r="V33" i="52"/>
  <c r="V34" i="52"/>
  <c r="V35" i="52"/>
  <c r="V36" i="52"/>
  <c r="V37" i="52"/>
  <c r="V38" i="52"/>
  <c r="V39" i="52"/>
  <c r="V40" i="52"/>
  <c r="V41" i="52"/>
  <c r="V42" i="52"/>
  <c r="V43" i="52"/>
  <c r="V44" i="52"/>
  <c r="V45" i="52"/>
  <c r="V46" i="52"/>
  <c r="V47" i="52"/>
  <c r="V48" i="52"/>
  <c r="V49" i="52"/>
  <c r="V50" i="52"/>
  <c r="V51" i="52"/>
  <c r="V52" i="52"/>
  <c r="V53" i="52"/>
  <c r="V54" i="52"/>
  <c r="V55" i="52"/>
  <c r="V56" i="52"/>
  <c r="V57" i="52"/>
  <c r="V58" i="52"/>
  <c r="V59" i="52"/>
  <c r="V60" i="52"/>
  <c r="V61" i="52"/>
  <c r="V62" i="52"/>
  <c r="V63" i="52"/>
  <c r="V64" i="52"/>
  <c r="V65" i="52"/>
  <c r="V66" i="52"/>
  <c r="V67" i="52"/>
  <c r="V68" i="52"/>
  <c r="V69" i="52"/>
  <c r="V70" i="52"/>
  <c r="V71" i="52"/>
  <c r="V72" i="52"/>
  <c r="U10" i="52"/>
  <c r="U11" i="52"/>
  <c r="U12" i="52"/>
  <c r="U13" i="52"/>
  <c r="U14" i="52"/>
  <c r="U15" i="52"/>
  <c r="U16" i="52"/>
  <c r="U17" i="52"/>
  <c r="U18" i="52"/>
  <c r="U19" i="52"/>
  <c r="U20" i="52"/>
  <c r="U21" i="52"/>
  <c r="U22" i="52"/>
  <c r="U23" i="52"/>
  <c r="U24" i="52"/>
  <c r="U25" i="52"/>
  <c r="U26" i="52"/>
  <c r="U27" i="52"/>
  <c r="U28" i="52"/>
  <c r="U29" i="52"/>
  <c r="U30" i="52"/>
  <c r="U31" i="52"/>
  <c r="U32" i="52"/>
  <c r="U33" i="52"/>
  <c r="U34" i="52"/>
  <c r="U35" i="52"/>
  <c r="U36" i="52"/>
  <c r="U37" i="52"/>
  <c r="U38" i="52"/>
  <c r="U39" i="52"/>
  <c r="U40" i="52"/>
  <c r="U41" i="52"/>
  <c r="U42" i="52"/>
  <c r="U43" i="52"/>
  <c r="U44" i="52"/>
  <c r="U45" i="52"/>
  <c r="U46" i="52"/>
  <c r="U47" i="52"/>
  <c r="U48" i="52"/>
  <c r="U49" i="52"/>
  <c r="U50" i="52"/>
  <c r="U51" i="52"/>
  <c r="U52" i="52"/>
  <c r="U53" i="52"/>
  <c r="U54" i="52"/>
  <c r="U55" i="52"/>
  <c r="U56" i="52"/>
  <c r="U57" i="52"/>
  <c r="U58" i="52"/>
  <c r="U59" i="52"/>
  <c r="U60" i="52"/>
  <c r="U61" i="52"/>
  <c r="U62" i="52"/>
  <c r="U63" i="52"/>
  <c r="U64" i="52"/>
  <c r="U65" i="52"/>
  <c r="U66" i="52"/>
  <c r="U67" i="52"/>
  <c r="U68" i="52"/>
  <c r="U69" i="52"/>
  <c r="U70" i="52"/>
  <c r="U71" i="52"/>
  <c r="U72" i="52"/>
  <c r="AJ365" i="51" l="1"/>
  <c r="M365" i="51"/>
  <c r="M5" i="51"/>
  <c r="N5" i="51" s="1"/>
  <c r="AJ5" i="51"/>
  <c r="K372" i="51"/>
  <c r="T73" i="52" l="1"/>
  <c r="P6" i="46" l="1"/>
  <c r="R28" i="53" l="1"/>
  <c r="H26" i="46" l="1"/>
  <c r="H25" i="46"/>
  <c r="AA33" i="58" l="1"/>
  <c r="P36" i="27" l="1"/>
  <c r="D12" i="46" l="1"/>
  <c r="D13" i="46" s="1"/>
  <c r="L337" i="51" l="1"/>
  <c r="J337" i="51"/>
  <c r="M337" i="51"/>
  <c r="N337" i="51" s="1"/>
  <c r="AA30" i="53" l="1"/>
  <c r="Q12" i="59" l="1"/>
  <c r="Q13" i="59"/>
  <c r="Q14" i="59"/>
  <c r="Q15" i="59"/>
  <c r="Q16" i="59"/>
  <c r="Q17" i="59"/>
  <c r="Q18" i="59"/>
  <c r="Q19" i="59"/>
  <c r="Q20" i="59"/>
  <c r="Q21" i="59"/>
  <c r="Q22" i="59"/>
  <c r="Q23" i="59"/>
  <c r="Q24" i="59"/>
  <c r="Q25" i="59"/>
  <c r="Q26" i="59"/>
  <c r="Q27" i="59"/>
  <c r="Q28" i="59"/>
  <c r="Q29" i="59"/>
  <c r="Q30" i="59"/>
  <c r="Q31" i="59"/>
  <c r="Q32" i="59"/>
  <c r="Q33" i="59"/>
  <c r="Q34" i="59"/>
  <c r="Q35" i="59"/>
  <c r="Q36" i="59"/>
  <c r="Q37" i="59"/>
  <c r="Q38" i="59"/>
  <c r="Q39" i="59"/>
  <c r="Q40" i="59"/>
  <c r="Q11" i="59"/>
  <c r="AO31" i="51" l="1"/>
  <c r="AO30" i="51"/>
  <c r="AO29" i="51"/>
  <c r="AO28" i="51"/>
  <c r="AO27" i="51"/>
  <c r="AO26" i="51"/>
  <c r="AO25" i="51"/>
  <c r="AO24" i="51"/>
  <c r="AO23" i="51"/>
  <c r="AO22" i="51"/>
  <c r="AO21" i="51"/>
  <c r="AO20" i="51"/>
  <c r="AO19" i="51"/>
  <c r="AO18" i="51"/>
  <c r="AO17" i="51"/>
  <c r="AO16" i="51"/>
  <c r="AO15" i="51"/>
  <c r="AO14" i="51"/>
  <c r="AO13" i="51"/>
  <c r="AO12" i="51" l="1"/>
  <c r="AN31" i="51"/>
  <c r="AN30" i="51"/>
  <c r="AN29" i="51"/>
  <c r="AN28" i="51"/>
  <c r="AN27" i="51"/>
  <c r="AN26" i="51"/>
  <c r="AN25" i="51"/>
  <c r="AN24" i="51"/>
  <c r="AN23" i="51"/>
  <c r="AN22" i="51"/>
  <c r="AN21" i="51"/>
  <c r="AN20" i="51"/>
  <c r="AN19" i="51"/>
  <c r="AN18" i="51"/>
  <c r="AN17" i="51"/>
  <c r="AN16" i="51"/>
  <c r="AN15" i="51"/>
  <c r="AN14" i="51"/>
  <c r="AM14" i="51"/>
  <c r="AN13" i="51"/>
  <c r="AN12" i="51"/>
  <c r="AM31" i="51"/>
  <c r="AM30" i="51"/>
  <c r="AM29" i="51"/>
  <c r="AM28" i="51"/>
  <c r="AM27" i="51"/>
  <c r="AM26" i="51"/>
  <c r="AM25" i="51"/>
  <c r="AM24" i="51"/>
  <c r="AM23" i="51"/>
  <c r="AM22" i="51"/>
  <c r="AM21" i="51"/>
  <c r="AM20" i="51"/>
  <c r="AM19" i="51"/>
  <c r="AM18" i="51"/>
  <c r="AM17" i="51"/>
  <c r="AM16" i="51"/>
  <c r="AM15" i="51"/>
  <c r="AM13" i="51"/>
  <c r="AM12" i="51"/>
  <c r="Z33" i="51" l="1"/>
  <c r="T33" i="51"/>
  <c r="W32" i="51"/>
  <c r="Z40" i="51"/>
  <c r="T40" i="51"/>
  <c r="W39" i="51"/>
  <c r="Z37" i="51"/>
  <c r="T37" i="51"/>
  <c r="Y33" i="51"/>
  <c r="S33" i="51"/>
  <c r="V32" i="51"/>
  <c r="Y40" i="51"/>
  <c r="S40" i="51"/>
  <c r="V39" i="51"/>
  <c r="Y37" i="51"/>
  <c r="S37" i="51"/>
  <c r="W33" i="51"/>
  <c r="Z32" i="51"/>
  <c r="T32" i="51"/>
  <c r="W40" i="51"/>
  <c r="Z39" i="51"/>
  <c r="T39" i="51"/>
  <c r="W37" i="51"/>
  <c r="V33" i="51"/>
  <c r="Y32" i="51"/>
  <c r="S32" i="51"/>
  <c r="V40" i="51"/>
  <c r="Y39" i="51"/>
  <c r="S39" i="51"/>
  <c r="V37" i="51"/>
  <c r="AB364" i="51"/>
  <c r="AF369" i="51"/>
  <c r="AF368" i="51"/>
  <c r="AF367" i="51"/>
  <c r="AF366" i="51"/>
  <c r="AF365" i="51"/>
  <c r="AF364" i="51"/>
  <c r="AF363" i="51"/>
  <c r="AF362" i="51"/>
  <c r="AF361" i="51"/>
  <c r="AF360" i="51"/>
  <c r="AF359" i="51"/>
  <c r="AF358" i="51"/>
  <c r="AF357" i="51"/>
  <c r="AF356" i="51"/>
  <c r="AF355" i="51"/>
  <c r="AF354" i="51"/>
  <c r="AF353" i="51"/>
  <c r="AF352" i="51"/>
  <c r="AF351" i="51"/>
  <c r="AF350" i="51"/>
  <c r="AF349" i="51"/>
  <c r="AF348" i="51"/>
  <c r="AF347" i="51"/>
  <c r="AF346" i="51"/>
  <c r="AF345" i="51"/>
  <c r="AF344" i="51"/>
  <c r="AF343" i="51"/>
  <c r="AF342" i="51"/>
  <c r="AF341" i="51"/>
  <c r="AF340" i="51"/>
  <c r="AF339" i="51"/>
  <c r="AF338" i="51"/>
  <c r="AF337" i="51"/>
  <c r="AF336" i="51"/>
  <c r="AE368" i="51"/>
  <c r="AE366" i="51"/>
  <c r="AE364" i="51"/>
  <c r="AE362" i="51"/>
  <c r="AE360" i="51"/>
  <c r="AE358" i="51"/>
  <c r="AE356" i="51"/>
  <c r="AE354" i="51"/>
  <c r="AE352" i="51"/>
  <c r="AE350" i="51"/>
  <c r="AE348" i="51"/>
  <c r="AE346" i="51"/>
  <c r="AE344" i="51"/>
  <c r="AE342" i="51"/>
  <c r="AE340" i="51"/>
  <c r="AE337" i="51"/>
  <c r="AF335" i="51"/>
  <c r="AF334" i="51"/>
  <c r="AF333" i="51"/>
  <c r="AF332" i="51"/>
  <c r="AF331" i="51"/>
  <c r="AF330" i="51"/>
  <c r="AF329" i="51"/>
  <c r="AF328" i="51"/>
  <c r="AF327" i="51"/>
  <c r="AF326" i="51"/>
  <c r="AF325" i="51"/>
  <c r="AF324" i="51"/>
  <c r="AF323" i="51"/>
  <c r="AF322" i="51"/>
  <c r="AF321" i="51"/>
  <c r="AF320" i="51"/>
  <c r="AF319" i="51"/>
  <c r="AF318" i="51"/>
  <c r="AF317" i="51"/>
  <c r="AF316" i="51"/>
  <c r="AF315" i="51"/>
  <c r="AF314" i="51"/>
  <c r="AF313" i="51"/>
  <c r="AF312" i="51"/>
  <c r="AF311" i="51"/>
  <c r="AF310" i="51"/>
  <c r="AF309" i="51"/>
  <c r="AF308" i="51"/>
  <c r="AF307" i="51"/>
  <c r="AF306" i="51"/>
  <c r="AF305" i="51"/>
  <c r="AF304" i="51"/>
  <c r="AF303" i="51"/>
  <c r="AF302" i="51"/>
  <c r="AF301" i="51"/>
  <c r="AF300" i="51"/>
  <c r="AF299" i="51"/>
  <c r="AF298" i="51"/>
  <c r="AF297" i="51"/>
  <c r="AF296" i="51"/>
  <c r="AF295" i="51"/>
  <c r="AF294" i="51"/>
  <c r="AF293" i="51"/>
  <c r="AF292" i="51"/>
  <c r="AF291" i="51"/>
  <c r="AF290" i="51"/>
  <c r="AF289" i="51"/>
  <c r="AF288" i="51"/>
  <c r="AF287" i="51"/>
  <c r="AF286" i="51"/>
  <c r="AF285" i="51"/>
  <c r="AF284" i="51"/>
  <c r="AF283" i="51"/>
  <c r="AF282" i="51"/>
  <c r="AF281" i="51"/>
  <c r="AF280" i="51"/>
  <c r="AF279" i="51"/>
  <c r="AF278" i="51"/>
  <c r="AF277" i="51"/>
  <c r="AF276" i="51"/>
  <c r="AF275" i="51"/>
  <c r="AF274" i="51"/>
  <c r="AF273" i="51"/>
  <c r="AF272" i="51"/>
  <c r="AF271" i="51"/>
  <c r="AF270" i="51"/>
  <c r="AF269" i="51"/>
  <c r="AF268" i="51"/>
  <c r="AF267" i="51"/>
  <c r="AF266" i="51"/>
  <c r="AF265" i="51"/>
  <c r="AF264" i="51"/>
  <c r="AF263" i="51"/>
  <c r="AF262" i="51"/>
  <c r="AF261" i="51"/>
  <c r="AF260" i="51"/>
  <c r="AF259" i="51"/>
  <c r="AF258" i="51"/>
  <c r="AF257" i="51"/>
  <c r="AF256" i="51"/>
  <c r="AF255" i="51"/>
  <c r="AF254" i="51"/>
  <c r="AF253" i="51"/>
  <c r="AF252" i="51"/>
  <c r="AF251" i="51"/>
  <c r="AF250" i="51"/>
  <c r="AF249" i="51"/>
  <c r="AF248" i="51"/>
  <c r="AF247" i="51"/>
  <c r="AF246" i="51"/>
  <c r="AF245" i="51"/>
  <c r="AF244" i="51"/>
  <c r="AF243" i="51"/>
  <c r="AF242" i="51"/>
  <c r="AF241" i="51"/>
  <c r="AF240" i="51"/>
  <c r="AF239" i="51"/>
  <c r="AF238" i="51"/>
  <c r="AF237" i="51"/>
  <c r="AF236" i="51"/>
  <c r="AF235" i="51"/>
  <c r="AF234" i="51"/>
  <c r="AF233" i="51"/>
  <c r="AF232" i="51"/>
  <c r="AF231" i="51"/>
  <c r="AF230" i="51"/>
  <c r="AF229" i="51"/>
  <c r="AF228" i="51"/>
  <c r="AF227" i="51"/>
  <c r="AF226" i="51"/>
  <c r="AF225" i="51"/>
  <c r="AF224" i="51"/>
  <c r="AF223" i="51"/>
  <c r="AF222" i="51"/>
  <c r="AF221" i="51"/>
  <c r="AF220" i="51"/>
  <c r="AF219" i="51"/>
  <c r="AF218" i="51"/>
  <c r="AF217" i="51"/>
  <c r="AF216" i="51"/>
  <c r="AF215" i="51"/>
  <c r="AF214" i="51"/>
  <c r="AF213" i="51"/>
  <c r="AF212" i="51"/>
  <c r="AF211" i="51"/>
  <c r="AF210" i="51"/>
  <c r="AF209" i="51"/>
  <c r="AF208" i="51"/>
  <c r="AF207" i="51"/>
  <c r="AF206" i="51"/>
  <c r="AF205" i="51"/>
  <c r="AF204" i="51"/>
  <c r="AF203" i="51"/>
  <c r="AF202" i="51"/>
  <c r="AF201" i="51"/>
  <c r="AF200" i="51"/>
  <c r="AF199" i="51"/>
  <c r="AF198" i="51"/>
  <c r="AF197" i="51"/>
  <c r="AF196" i="51"/>
  <c r="AF195" i="51"/>
  <c r="AF194" i="51"/>
  <c r="AF193" i="51"/>
  <c r="AF192" i="51"/>
  <c r="AF191" i="51"/>
  <c r="AF190" i="51"/>
  <c r="AF189" i="51"/>
  <c r="AF188" i="51"/>
  <c r="AF187" i="51"/>
  <c r="AF186" i="51"/>
  <c r="AF185" i="51"/>
  <c r="AF184" i="51"/>
  <c r="AF183" i="51"/>
  <c r="AF182" i="51"/>
  <c r="AF181" i="51"/>
  <c r="AF180" i="51"/>
  <c r="AF179" i="51"/>
  <c r="AF178" i="51"/>
  <c r="AF177" i="51"/>
  <c r="AF176" i="51"/>
  <c r="AF175" i="51"/>
  <c r="AF174" i="51"/>
  <c r="AF173" i="51"/>
  <c r="AF172" i="51"/>
  <c r="AF171" i="51"/>
  <c r="AF170" i="51"/>
  <c r="AF169" i="51"/>
  <c r="AF168" i="51"/>
  <c r="AF167" i="51"/>
  <c r="AF166" i="51"/>
  <c r="AF165" i="51"/>
  <c r="AF164" i="51"/>
  <c r="AF163" i="51"/>
  <c r="AF162" i="51"/>
  <c r="AF161" i="51"/>
  <c r="AF160" i="51"/>
  <c r="AF159" i="51"/>
  <c r="AF158" i="51"/>
  <c r="AF157" i="51"/>
  <c r="AF156" i="51"/>
  <c r="AF155" i="51"/>
  <c r="AF154" i="51"/>
  <c r="AF153" i="51"/>
  <c r="AF152" i="51"/>
  <c r="AF151" i="51"/>
  <c r="AF150" i="51"/>
  <c r="AF149" i="51"/>
  <c r="AF148" i="51"/>
  <c r="AF147" i="51"/>
  <c r="AF146" i="51"/>
  <c r="AF145" i="51"/>
  <c r="AF144" i="51"/>
  <c r="AF143" i="51"/>
  <c r="AF142" i="51"/>
  <c r="AF141" i="51"/>
  <c r="AF140" i="51"/>
  <c r="AF139" i="51"/>
  <c r="AF138" i="51"/>
  <c r="AF137" i="51"/>
  <c r="AF136" i="51"/>
  <c r="AF135" i="51"/>
  <c r="AF134" i="51"/>
  <c r="AF133" i="51"/>
  <c r="AF132" i="51"/>
  <c r="AF131" i="51"/>
  <c r="AF130" i="51"/>
  <c r="AF129" i="51"/>
  <c r="AF128" i="51"/>
  <c r="AF127" i="51"/>
  <c r="AF126" i="51"/>
  <c r="AF125" i="51"/>
  <c r="AF124" i="51"/>
  <c r="AF123" i="51"/>
  <c r="AF122" i="51"/>
  <c r="AF121" i="51"/>
  <c r="AF120" i="51"/>
  <c r="AF119" i="51"/>
  <c r="AF118" i="51"/>
  <c r="AF117" i="51"/>
  <c r="AF116" i="51"/>
  <c r="AF115" i="51"/>
  <c r="AF114" i="51"/>
  <c r="AF113" i="51"/>
  <c r="AF112" i="51"/>
  <c r="AF111" i="51"/>
  <c r="AF110" i="51"/>
  <c r="AF109" i="51"/>
  <c r="AF108" i="51"/>
  <c r="AF107" i="51"/>
  <c r="AF106" i="51"/>
  <c r="AF105" i="51"/>
  <c r="AF104" i="51"/>
  <c r="AF103" i="51"/>
  <c r="AF102" i="51"/>
  <c r="AF101" i="51"/>
  <c r="AF100" i="51"/>
  <c r="AF99" i="51"/>
  <c r="AF98" i="51"/>
  <c r="AF97" i="51"/>
  <c r="AF96" i="51"/>
  <c r="AF95" i="51"/>
  <c r="AF94" i="51"/>
  <c r="AF93" i="51"/>
  <c r="AF92" i="51"/>
  <c r="AF91" i="51"/>
  <c r="AF90" i="51"/>
  <c r="AF89" i="51"/>
  <c r="AF88" i="51"/>
  <c r="AF87" i="51"/>
  <c r="AF86" i="51"/>
  <c r="AF85" i="51"/>
  <c r="AF84" i="51"/>
  <c r="AF83" i="51"/>
  <c r="AF82" i="51"/>
  <c r="AF81" i="51"/>
  <c r="AF80" i="51"/>
  <c r="AF79" i="51"/>
  <c r="AF78" i="51"/>
  <c r="AF77" i="51"/>
  <c r="AF76" i="51"/>
  <c r="AF75" i="51"/>
  <c r="AF74" i="51"/>
  <c r="AF73" i="51"/>
  <c r="AF72" i="51"/>
  <c r="AF71" i="51"/>
  <c r="AF70" i="51"/>
  <c r="AF69" i="51"/>
  <c r="AF68" i="51"/>
  <c r="AF67" i="51"/>
  <c r="AF66" i="51"/>
  <c r="AF65" i="51"/>
  <c r="AF64" i="51"/>
  <c r="AF63" i="51"/>
  <c r="AF62" i="51"/>
  <c r="AF61" i="51"/>
  <c r="AF60" i="51"/>
  <c r="AF59" i="51"/>
  <c r="AF58" i="51"/>
  <c r="AF57" i="51"/>
  <c r="AF56" i="51"/>
  <c r="AF55" i="51"/>
  <c r="AF54" i="51"/>
  <c r="AF53" i="51"/>
  <c r="AF52" i="51"/>
  <c r="AF51" i="51"/>
  <c r="AF50" i="51"/>
  <c r="AF49" i="51"/>
  <c r="AF48" i="51"/>
  <c r="AF47" i="51"/>
  <c r="AF46" i="51"/>
  <c r="AF45" i="51"/>
  <c r="AF44" i="51"/>
  <c r="AF43" i="51"/>
  <c r="AF42" i="51"/>
  <c r="AF41" i="51"/>
  <c r="AF40" i="51"/>
  <c r="AF39" i="51"/>
  <c r="AF38" i="51"/>
  <c r="AF37" i="51"/>
  <c r="AF36" i="51"/>
  <c r="AF35" i="51"/>
  <c r="AF34" i="51"/>
  <c r="AF33" i="51"/>
  <c r="AF32" i="51"/>
  <c r="AF31" i="51"/>
  <c r="AF30" i="51"/>
  <c r="AF29" i="51"/>
  <c r="AF28" i="51"/>
  <c r="AF27" i="51"/>
  <c r="AF26" i="51"/>
  <c r="AF25" i="51"/>
  <c r="AF24" i="51"/>
  <c r="AF23" i="51"/>
  <c r="AF22" i="51"/>
  <c r="AF21" i="51"/>
  <c r="AF20" i="51"/>
  <c r="AF19" i="51"/>
  <c r="AF18" i="51"/>
  <c r="AF17" i="51"/>
  <c r="AF16" i="51"/>
  <c r="AF15" i="51"/>
  <c r="AF14" i="51"/>
  <c r="AF13" i="51"/>
  <c r="AF12" i="51"/>
  <c r="AF11" i="51"/>
  <c r="AF10" i="51"/>
  <c r="AF9" i="51"/>
  <c r="AF8" i="51"/>
  <c r="AF7" i="51"/>
  <c r="AF6" i="51"/>
  <c r="AF5" i="51"/>
  <c r="AC369" i="51"/>
  <c r="AC368" i="51"/>
  <c r="AC367" i="51"/>
  <c r="AC366" i="51"/>
  <c r="AC365" i="51"/>
  <c r="AC364" i="51"/>
  <c r="AC363" i="51"/>
  <c r="AC362" i="51"/>
  <c r="AC361" i="51"/>
  <c r="AC360" i="51"/>
  <c r="AC359" i="51"/>
  <c r="AC358" i="51"/>
  <c r="AC357" i="51"/>
  <c r="AC356" i="51"/>
  <c r="AC355" i="51"/>
  <c r="AC354" i="51"/>
  <c r="AC353" i="51"/>
  <c r="AC352" i="51"/>
  <c r="AC351" i="51"/>
  <c r="AC350" i="51"/>
  <c r="AC349" i="51"/>
  <c r="AC348" i="51"/>
  <c r="AC347" i="51"/>
  <c r="AC346" i="51"/>
  <c r="AC345" i="51"/>
  <c r="AC344" i="51"/>
  <c r="AC343" i="51"/>
  <c r="AC342" i="51"/>
  <c r="AC341" i="51"/>
  <c r="AC340" i="51"/>
  <c r="AC339" i="51"/>
  <c r="AC338" i="51"/>
  <c r="AC337" i="51"/>
  <c r="AC336" i="51"/>
  <c r="AC335" i="51"/>
  <c r="AC334" i="51"/>
  <c r="AC333" i="51"/>
  <c r="AC332" i="51"/>
  <c r="AC331" i="51"/>
  <c r="AC330" i="51"/>
  <c r="AC329" i="51"/>
  <c r="AC328" i="51"/>
  <c r="AC327" i="51"/>
  <c r="AC326" i="51"/>
  <c r="AC325" i="51"/>
  <c r="AC324" i="51"/>
  <c r="AC323" i="51"/>
  <c r="AC322" i="51"/>
  <c r="AC321" i="51"/>
  <c r="AC320" i="51"/>
  <c r="AC319" i="51"/>
  <c r="AC318" i="51"/>
  <c r="AC317" i="51"/>
  <c r="AC316" i="51"/>
  <c r="AC315" i="51"/>
  <c r="AC314" i="51"/>
  <c r="AC313" i="51"/>
  <c r="AC312" i="51"/>
  <c r="AC311" i="51"/>
  <c r="AC310" i="51"/>
  <c r="AC309" i="51"/>
  <c r="AC308" i="51"/>
  <c r="AC307" i="51"/>
  <c r="AC306" i="51"/>
  <c r="AC305" i="51"/>
  <c r="AC304" i="51"/>
  <c r="AC303" i="51"/>
  <c r="AC302" i="51"/>
  <c r="AC301" i="51"/>
  <c r="AC300" i="51"/>
  <c r="AC299" i="51"/>
  <c r="AC298" i="51"/>
  <c r="AC297" i="51"/>
  <c r="AC296" i="51"/>
  <c r="AC295" i="51"/>
  <c r="AC294" i="51"/>
  <c r="AC293" i="51"/>
  <c r="AC292" i="51"/>
  <c r="AC291" i="51"/>
  <c r="AC290" i="51"/>
  <c r="AC289" i="51"/>
  <c r="AC288" i="51"/>
  <c r="AC287" i="51"/>
  <c r="AC286" i="51"/>
  <c r="AC285" i="51"/>
  <c r="AC284" i="51"/>
  <c r="AC283" i="51"/>
  <c r="AC282" i="51"/>
  <c r="AC281" i="51"/>
  <c r="AC280" i="51"/>
  <c r="AC279" i="51"/>
  <c r="AC278" i="51"/>
  <c r="AC277" i="51"/>
  <c r="AC276" i="51"/>
  <c r="AC275" i="51"/>
  <c r="AC274" i="51"/>
  <c r="AC273" i="51"/>
  <c r="AC272" i="51"/>
  <c r="AC271" i="51"/>
  <c r="AC270" i="51"/>
  <c r="AC269" i="51"/>
  <c r="AC268" i="51"/>
  <c r="AC267" i="51"/>
  <c r="AC266" i="51"/>
  <c r="AC265" i="51"/>
  <c r="AC264" i="51"/>
  <c r="AC263" i="51"/>
  <c r="AC262" i="51"/>
  <c r="AC261" i="51"/>
  <c r="AC260" i="51"/>
  <c r="AC259" i="51"/>
  <c r="AC258" i="51"/>
  <c r="AC257" i="51"/>
  <c r="AC256" i="51"/>
  <c r="AC255" i="51"/>
  <c r="AC254" i="51"/>
  <c r="AC253" i="51"/>
  <c r="AC252" i="51"/>
  <c r="AC251" i="51"/>
  <c r="AC250" i="51"/>
  <c r="AC249" i="51"/>
  <c r="AC248" i="51"/>
  <c r="AC247" i="51"/>
  <c r="AC246" i="51"/>
  <c r="AC245" i="51"/>
  <c r="AC244" i="51"/>
  <c r="AC243" i="51"/>
  <c r="AC242" i="51"/>
  <c r="AC241" i="51"/>
  <c r="AC240" i="51"/>
  <c r="AC239" i="51"/>
  <c r="AC238" i="51"/>
  <c r="AC237" i="51"/>
  <c r="AC236" i="51"/>
  <c r="AC235" i="51"/>
  <c r="AC234" i="51"/>
  <c r="AC233" i="51"/>
  <c r="AC232" i="51"/>
  <c r="AC231" i="51"/>
  <c r="AC230" i="51"/>
  <c r="AC229" i="51"/>
  <c r="AC228" i="51"/>
  <c r="AC227" i="51"/>
  <c r="AC226" i="51"/>
  <c r="AC225" i="51"/>
  <c r="AC224" i="51"/>
  <c r="AC223" i="51"/>
  <c r="AC222" i="51"/>
  <c r="AC221" i="51"/>
  <c r="AC220" i="51"/>
  <c r="AC219" i="51"/>
  <c r="AC218" i="51"/>
  <c r="AC217" i="51"/>
  <c r="AC216" i="51"/>
  <c r="AC215" i="51"/>
  <c r="AC214" i="51"/>
  <c r="AC213" i="51"/>
  <c r="AC212" i="51"/>
  <c r="AC211" i="51"/>
  <c r="AC210" i="51"/>
  <c r="AC209" i="51"/>
  <c r="AC208" i="51"/>
  <c r="AC207" i="51"/>
  <c r="AC206" i="51"/>
  <c r="AC205" i="51"/>
  <c r="AC204" i="51"/>
  <c r="AC203" i="51"/>
  <c r="AC202" i="51"/>
  <c r="AC201" i="51"/>
  <c r="AC200" i="51"/>
  <c r="AC199" i="51"/>
  <c r="AC198" i="51"/>
  <c r="AC197" i="51"/>
  <c r="AC196" i="51"/>
  <c r="AC195" i="51"/>
  <c r="AC194" i="51"/>
  <c r="AC193" i="51"/>
  <c r="AC192" i="51"/>
  <c r="AC191" i="51"/>
  <c r="AE369" i="51"/>
  <c r="AE365" i="51"/>
  <c r="AE361" i="51"/>
  <c r="AE357" i="51"/>
  <c r="AE353" i="51"/>
  <c r="AE349" i="51"/>
  <c r="AE345" i="51"/>
  <c r="AE341" i="51"/>
  <c r="AE338" i="51"/>
  <c r="AE335" i="51"/>
  <c r="AE333" i="51"/>
  <c r="AE331" i="51"/>
  <c r="AE329" i="51"/>
  <c r="AE327" i="51"/>
  <c r="AE325" i="51"/>
  <c r="AE323" i="51"/>
  <c r="AE321" i="51"/>
  <c r="AE319" i="51"/>
  <c r="AE317" i="51"/>
  <c r="AE315" i="51"/>
  <c r="AE313" i="51"/>
  <c r="AE311" i="51"/>
  <c r="AE309" i="51"/>
  <c r="AE307" i="51"/>
  <c r="AE305" i="51"/>
  <c r="AE303" i="51"/>
  <c r="AE301" i="51"/>
  <c r="AE299" i="51"/>
  <c r="AE297" i="51"/>
  <c r="AE295" i="51"/>
  <c r="AE293" i="51"/>
  <c r="AE291" i="51"/>
  <c r="AE289" i="51"/>
  <c r="AE287" i="51"/>
  <c r="AE285" i="51"/>
  <c r="AE283" i="51"/>
  <c r="AE281" i="51"/>
  <c r="AE279" i="51"/>
  <c r="AE277" i="51"/>
  <c r="AE275" i="51"/>
  <c r="AE273" i="51"/>
  <c r="AE271" i="51"/>
  <c r="AE269" i="51"/>
  <c r="AE267" i="51"/>
  <c r="AE265" i="51"/>
  <c r="AE263" i="51"/>
  <c r="AE261" i="51"/>
  <c r="AE259" i="51"/>
  <c r="AE257" i="51"/>
  <c r="AE255" i="51"/>
  <c r="AE253" i="51"/>
  <c r="AE251" i="51"/>
  <c r="AE249" i="51"/>
  <c r="AE247" i="51"/>
  <c r="AE245" i="51"/>
  <c r="AE243" i="51"/>
  <c r="AE241" i="51"/>
  <c r="AE239" i="51"/>
  <c r="AE237" i="51"/>
  <c r="AE235" i="51"/>
  <c r="AE233" i="51"/>
  <c r="AE231" i="51"/>
  <c r="AE229" i="51"/>
  <c r="AE227" i="51"/>
  <c r="AE225" i="51"/>
  <c r="AE223" i="51"/>
  <c r="AE221" i="51"/>
  <c r="AE219" i="51"/>
  <c r="AE217" i="51"/>
  <c r="AE215" i="51"/>
  <c r="AE213" i="51"/>
  <c r="AE211" i="51"/>
  <c r="AE209" i="51"/>
  <c r="AE207" i="51"/>
  <c r="AE205" i="51"/>
  <c r="AE203" i="51"/>
  <c r="AE201" i="51"/>
  <c r="AE199" i="51"/>
  <c r="AE197" i="51"/>
  <c r="AE195" i="51"/>
  <c r="AE193" i="51"/>
  <c r="AE191" i="51"/>
  <c r="AE189" i="51"/>
  <c r="AE187" i="51"/>
  <c r="AE185" i="51"/>
  <c r="AE183" i="51"/>
  <c r="AE181" i="51"/>
  <c r="AE179" i="51"/>
  <c r="AE177" i="51"/>
  <c r="AE175" i="51"/>
  <c r="AE173" i="51"/>
  <c r="AE171" i="51"/>
  <c r="AE169" i="51"/>
  <c r="AE167" i="51"/>
  <c r="AE165" i="51"/>
  <c r="AE163" i="51"/>
  <c r="AE161" i="51"/>
  <c r="AE159" i="51"/>
  <c r="AE157" i="51"/>
  <c r="AE155" i="51"/>
  <c r="AE153" i="51"/>
  <c r="AE151" i="51"/>
  <c r="AE149" i="51"/>
  <c r="AE147" i="51"/>
  <c r="AE145" i="51"/>
  <c r="AE143" i="51"/>
  <c r="AE141" i="51"/>
  <c r="AE139" i="51"/>
  <c r="AE137" i="51"/>
  <c r="AE135" i="51"/>
  <c r="AE133" i="51"/>
  <c r="AE131" i="51"/>
  <c r="AE129" i="51"/>
  <c r="AE127" i="51"/>
  <c r="AE125" i="51"/>
  <c r="AE123" i="51"/>
  <c r="AE121" i="51"/>
  <c r="AE119" i="51"/>
  <c r="AE117" i="51"/>
  <c r="AE115" i="51"/>
  <c r="AE113" i="51"/>
  <c r="AE111" i="51"/>
  <c r="AE109" i="51"/>
  <c r="AE107" i="51"/>
  <c r="AE105" i="51"/>
  <c r="AE103" i="51"/>
  <c r="AE101" i="51"/>
  <c r="AE99" i="51"/>
  <c r="AE97" i="51"/>
  <c r="AE95" i="51"/>
  <c r="AE93" i="51"/>
  <c r="AE91" i="51"/>
  <c r="AE89" i="51"/>
  <c r="AE87" i="51"/>
  <c r="AE85" i="51"/>
  <c r="AE83" i="51"/>
  <c r="AE81" i="51"/>
  <c r="AE79" i="51"/>
  <c r="AE77" i="51"/>
  <c r="AE75" i="51"/>
  <c r="AE73" i="51"/>
  <c r="AE71" i="51"/>
  <c r="AE69" i="51"/>
  <c r="AE67" i="51"/>
  <c r="AE65" i="51"/>
  <c r="AE63" i="51"/>
  <c r="AE61" i="51"/>
  <c r="AE59" i="51"/>
  <c r="AE57" i="51"/>
  <c r="AE55" i="51"/>
  <c r="AE53" i="51"/>
  <c r="AE51" i="51"/>
  <c r="AE49" i="51"/>
  <c r="AE47" i="51"/>
  <c r="AE45" i="51"/>
  <c r="AE43" i="51"/>
  <c r="AE41" i="51"/>
  <c r="AE39" i="51"/>
  <c r="AE37" i="51"/>
  <c r="AE35" i="51"/>
  <c r="AE33" i="51"/>
  <c r="AE29" i="51"/>
  <c r="AE27" i="51"/>
  <c r="AE25" i="51"/>
  <c r="AE23" i="51"/>
  <c r="AE21" i="51"/>
  <c r="AE19" i="51"/>
  <c r="AE17" i="51"/>
  <c r="AE15" i="51"/>
  <c r="AE13" i="51"/>
  <c r="AE11" i="51"/>
  <c r="AE9" i="51"/>
  <c r="AE7" i="51"/>
  <c r="AE5" i="51"/>
  <c r="AB368" i="51"/>
  <c r="AB366" i="51"/>
  <c r="AB362" i="51"/>
  <c r="AB360" i="51"/>
  <c r="AB358" i="51"/>
  <c r="AB356" i="51"/>
  <c r="AB354" i="51"/>
  <c r="AB352" i="51"/>
  <c r="AB350" i="51"/>
  <c r="AB348" i="51"/>
  <c r="AB346" i="51"/>
  <c r="AB344" i="51"/>
  <c r="AB342" i="51"/>
  <c r="AB340" i="51"/>
  <c r="AB337" i="51"/>
  <c r="AB335" i="51"/>
  <c r="AB333" i="51"/>
  <c r="AB331" i="51"/>
  <c r="AB329" i="51"/>
  <c r="AB327" i="51"/>
  <c r="AB325" i="51"/>
  <c r="AB323" i="51"/>
  <c r="AB321" i="51"/>
  <c r="AB319" i="51"/>
  <c r="AB317" i="51"/>
  <c r="AB315" i="51"/>
  <c r="AB313" i="51"/>
  <c r="AB311" i="51"/>
  <c r="AB309" i="51"/>
  <c r="AB307" i="51"/>
  <c r="AB305" i="51"/>
  <c r="AB303" i="51"/>
  <c r="AB301" i="51"/>
  <c r="AE367" i="51"/>
  <c r="AE363" i="51"/>
  <c r="AE359" i="51"/>
  <c r="AE355" i="51"/>
  <c r="AE351" i="51"/>
  <c r="AE347" i="51"/>
  <c r="AE343" i="51"/>
  <c r="AE339" i="51"/>
  <c r="AE336" i="51"/>
  <c r="AE334" i="51"/>
  <c r="AE332" i="51"/>
  <c r="AE330" i="51"/>
  <c r="AE328" i="51"/>
  <c r="AE326" i="51"/>
  <c r="AE324" i="51"/>
  <c r="AE322" i="51"/>
  <c r="AE320" i="51"/>
  <c r="AE318" i="51"/>
  <c r="AE316" i="51"/>
  <c r="AE314" i="51"/>
  <c r="AE312" i="51"/>
  <c r="AE310" i="51"/>
  <c r="AE308" i="51"/>
  <c r="AE306" i="51"/>
  <c r="AE304" i="51"/>
  <c r="AE302" i="51"/>
  <c r="AE300" i="51"/>
  <c r="AE298" i="51"/>
  <c r="AE296" i="51"/>
  <c r="AE294" i="51"/>
  <c r="AE292" i="51"/>
  <c r="AE290" i="51"/>
  <c r="AE288" i="51"/>
  <c r="AE286" i="51"/>
  <c r="AE284" i="51"/>
  <c r="AE282" i="51"/>
  <c r="AE280" i="51"/>
  <c r="AE278" i="51"/>
  <c r="AE276" i="51"/>
  <c r="AE274" i="51"/>
  <c r="AE272" i="51"/>
  <c r="AE270" i="51"/>
  <c r="AE268" i="51"/>
  <c r="AE266" i="51"/>
  <c r="AE264" i="51"/>
  <c r="AE262" i="51"/>
  <c r="AE260" i="51"/>
  <c r="AE258" i="51"/>
  <c r="AE256" i="51"/>
  <c r="AE254" i="51"/>
  <c r="AE252" i="51"/>
  <c r="AE250" i="51"/>
  <c r="AE248" i="51"/>
  <c r="AE246" i="51"/>
  <c r="AE244" i="51"/>
  <c r="AE242" i="51"/>
  <c r="AE240" i="51"/>
  <c r="AE238" i="51"/>
  <c r="AE236" i="51"/>
  <c r="AE234" i="51"/>
  <c r="AE232" i="51"/>
  <c r="AE230" i="51"/>
  <c r="AE228" i="51"/>
  <c r="AE226" i="51"/>
  <c r="AE224" i="51"/>
  <c r="AE222" i="51"/>
  <c r="AE220" i="51"/>
  <c r="AE218" i="51"/>
  <c r="AE216" i="51"/>
  <c r="AE214" i="51"/>
  <c r="AE212" i="51"/>
  <c r="AE210" i="51"/>
  <c r="AE208" i="51"/>
  <c r="AE206" i="51"/>
  <c r="AE204" i="51"/>
  <c r="AE202" i="51"/>
  <c r="AE200" i="51"/>
  <c r="AE198" i="51"/>
  <c r="AE196" i="51"/>
  <c r="AE194" i="51"/>
  <c r="AE192" i="51"/>
  <c r="AE190" i="51"/>
  <c r="AE188" i="51"/>
  <c r="AE186" i="51"/>
  <c r="AE184" i="51"/>
  <c r="AE182" i="51"/>
  <c r="AE180" i="51"/>
  <c r="AE178" i="51"/>
  <c r="AE176" i="51"/>
  <c r="AE174" i="51"/>
  <c r="AE172" i="51"/>
  <c r="AE170" i="51"/>
  <c r="AE168" i="51"/>
  <c r="AE166" i="51"/>
  <c r="AE164" i="51"/>
  <c r="AE162" i="51"/>
  <c r="AE160" i="51"/>
  <c r="AE158" i="51"/>
  <c r="AE156" i="51"/>
  <c r="AE154" i="51"/>
  <c r="AE152" i="51"/>
  <c r="AE150" i="51"/>
  <c r="AE148" i="51"/>
  <c r="AE146" i="51"/>
  <c r="AE144" i="51"/>
  <c r="AE142" i="51"/>
  <c r="AE140" i="51"/>
  <c r="AE138" i="51"/>
  <c r="AE136" i="51"/>
  <c r="AE134" i="51"/>
  <c r="AE132" i="51"/>
  <c r="AE130" i="51"/>
  <c r="AE128" i="51"/>
  <c r="AE126" i="51"/>
  <c r="AE124" i="51"/>
  <c r="AE122" i="51"/>
  <c r="AE120" i="51"/>
  <c r="AE118" i="51"/>
  <c r="AE116" i="51"/>
  <c r="AE114" i="51"/>
  <c r="AE112" i="51"/>
  <c r="AE110" i="51"/>
  <c r="AE108" i="51"/>
  <c r="AE106" i="51"/>
  <c r="AE104" i="51"/>
  <c r="AE102" i="51"/>
  <c r="AE100" i="51"/>
  <c r="AE98" i="51"/>
  <c r="AE96" i="51"/>
  <c r="AE94" i="51"/>
  <c r="AE92" i="51"/>
  <c r="AE90" i="51"/>
  <c r="AE88" i="51"/>
  <c r="AE86" i="51"/>
  <c r="AE84" i="51"/>
  <c r="AE82" i="51"/>
  <c r="AE80" i="51"/>
  <c r="AE78" i="51"/>
  <c r="AE76" i="51"/>
  <c r="AE74" i="51"/>
  <c r="AE72" i="51"/>
  <c r="AE70" i="51"/>
  <c r="AE68" i="51"/>
  <c r="AE66" i="51"/>
  <c r="AE64" i="51"/>
  <c r="AE62" i="51"/>
  <c r="AE60" i="51"/>
  <c r="AE58" i="51"/>
  <c r="AE56" i="51"/>
  <c r="AE54" i="51"/>
  <c r="AE52" i="51"/>
  <c r="AE50" i="51"/>
  <c r="AE48" i="51"/>
  <c r="AE46" i="51"/>
  <c r="AE44" i="51"/>
  <c r="AE42" i="51"/>
  <c r="AE40" i="51"/>
  <c r="AE38" i="51"/>
  <c r="AE36" i="51"/>
  <c r="AE34" i="51"/>
  <c r="AE32" i="51"/>
  <c r="AE28" i="51"/>
  <c r="AE26" i="51"/>
  <c r="AE24" i="51"/>
  <c r="AE22" i="51"/>
  <c r="AE20" i="51"/>
  <c r="AE18" i="51"/>
  <c r="AE16" i="51"/>
  <c r="AE14" i="51"/>
  <c r="AE12" i="51"/>
  <c r="AE10" i="51"/>
  <c r="AE8" i="51"/>
  <c r="AE6" i="51"/>
  <c r="AB369" i="51"/>
  <c r="AB367" i="51"/>
  <c r="AB365" i="51"/>
  <c r="AB363" i="51"/>
  <c r="AB361" i="51"/>
  <c r="AB359" i="51"/>
  <c r="AB357" i="51"/>
  <c r="AB355" i="51"/>
  <c r="AB353" i="51"/>
  <c r="AB351" i="51"/>
  <c r="AB349" i="51"/>
  <c r="AB347" i="51"/>
  <c r="AB345" i="51"/>
  <c r="AB343" i="51"/>
  <c r="AB341" i="51"/>
  <c r="AB339" i="51"/>
  <c r="AB338" i="51"/>
  <c r="AB336" i="51"/>
  <c r="AB334" i="51"/>
  <c r="AB332" i="51"/>
  <c r="AB330" i="51"/>
  <c r="AB328" i="51"/>
  <c r="AB326" i="51"/>
  <c r="AB324" i="51"/>
  <c r="AB322" i="51"/>
  <c r="AB320" i="51"/>
  <c r="AB318" i="51"/>
  <c r="AB316" i="51"/>
  <c r="AB314" i="51"/>
  <c r="AB312" i="51"/>
  <c r="AB310" i="51"/>
  <c r="AB308" i="51"/>
  <c r="AB306" i="51"/>
  <c r="AB304" i="51"/>
  <c r="AB302" i="51"/>
  <c r="AB300" i="51"/>
  <c r="AB298" i="51"/>
  <c r="AB296" i="51"/>
  <c r="AB294" i="51"/>
  <c r="AB292" i="51"/>
  <c r="AB290" i="51"/>
  <c r="AB288" i="51"/>
  <c r="AB286" i="51"/>
  <c r="AB284" i="51"/>
  <c r="AB282" i="51"/>
  <c r="AB280" i="51"/>
  <c r="AB278" i="51"/>
  <c r="AB276" i="51"/>
  <c r="AB274" i="51"/>
  <c r="AB272" i="51"/>
  <c r="AB270" i="51"/>
  <c r="AB268" i="51"/>
  <c r="AB266" i="51"/>
  <c r="AB264" i="51"/>
  <c r="AB262" i="51"/>
  <c r="AB260" i="51"/>
  <c r="AB258" i="51"/>
  <c r="AB256" i="51"/>
  <c r="AB254" i="51"/>
  <c r="AB252" i="51"/>
  <c r="AB250" i="51"/>
  <c r="AB248" i="51"/>
  <c r="AB246" i="51"/>
  <c r="AB244" i="51"/>
  <c r="AB242" i="51"/>
  <c r="AB240" i="51"/>
  <c r="AB238" i="51"/>
  <c r="AB236" i="51"/>
  <c r="AB234" i="51"/>
  <c r="AB232" i="51"/>
  <c r="AB230" i="51"/>
  <c r="AB228" i="51"/>
  <c r="AB226" i="51"/>
  <c r="AB224" i="51"/>
  <c r="AB222" i="51"/>
  <c r="AB220" i="51"/>
  <c r="AB218" i="51"/>
  <c r="AB216" i="51"/>
  <c r="AB214" i="51"/>
  <c r="AB212" i="51"/>
  <c r="AB210" i="51"/>
  <c r="AB208" i="51"/>
  <c r="AB206" i="51"/>
  <c r="AB204" i="51"/>
  <c r="AB202" i="51"/>
  <c r="AB200" i="51"/>
  <c r="AB198" i="51"/>
  <c r="AB196" i="51"/>
  <c r="AB194" i="51"/>
  <c r="AB192" i="51"/>
  <c r="AC190" i="51"/>
  <c r="AC189" i="51"/>
  <c r="AC188" i="51"/>
  <c r="AC187" i="51"/>
  <c r="AC186" i="51"/>
  <c r="AC185" i="51"/>
  <c r="AC184" i="51"/>
  <c r="AC183" i="51"/>
  <c r="AC182" i="51"/>
  <c r="AC181" i="51"/>
  <c r="AC180" i="51"/>
  <c r="AC179" i="51"/>
  <c r="AC178" i="51"/>
  <c r="AC177" i="51"/>
  <c r="AC176" i="51"/>
  <c r="AC175" i="51"/>
  <c r="AC174" i="51"/>
  <c r="AC173" i="51"/>
  <c r="AC172" i="51"/>
  <c r="AC171" i="51"/>
  <c r="AC170" i="51"/>
  <c r="AC169" i="51"/>
  <c r="AC168" i="51"/>
  <c r="AC167" i="51"/>
  <c r="AC166" i="51"/>
  <c r="AC165" i="51"/>
  <c r="AC164" i="51"/>
  <c r="AC163" i="51"/>
  <c r="AC162" i="51"/>
  <c r="AC161" i="51"/>
  <c r="AC160" i="51"/>
  <c r="AC159" i="51"/>
  <c r="AC158" i="51"/>
  <c r="AC157" i="51"/>
  <c r="AC156" i="51"/>
  <c r="AC155" i="51"/>
  <c r="AC154" i="51"/>
  <c r="AC153" i="51"/>
  <c r="AC152" i="51"/>
  <c r="AC151" i="51"/>
  <c r="AC150" i="51"/>
  <c r="AC149" i="51"/>
  <c r="AC148" i="51"/>
  <c r="AC147" i="51"/>
  <c r="AC146" i="51"/>
  <c r="AC145" i="51"/>
  <c r="AC144" i="51"/>
  <c r="AC143" i="51"/>
  <c r="AC142" i="51"/>
  <c r="AC141" i="51"/>
  <c r="AC140" i="51"/>
  <c r="AC139" i="51"/>
  <c r="AC138" i="51"/>
  <c r="AC137" i="51"/>
  <c r="AC136" i="51"/>
  <c r="AC135" i="51"/>
  <c r="AC134" i="51"/>
  <c r="AC133" i="51"/>
  <c r="AC132" i="51"/>
  <c r="AC131" i="51"/>
  <c r="AC130" i="51"/>
  <c r="AC129" i="51"/>
  <c r="AC128" i="51"/>
  <c r="AC127" i="51"/>
  <c r="AC126" i="51"/>
  <c r="AC125" i="51"/>
  <c r="AC124" i="51"/>
  <c r="AC123" i="51"/>
  <c r="AC122" i="51"/>
  <c r="AC121" i="51"/>
  <c r="AC120" i="51"/>
  <c r="AC119" i="51"/>
  <c r="AC118" i="51"/>
  <c r="AC117" i="51"/>
  <c r="AC116" i="51"/>
  <c r="AC115" i="51"/>
  <c r="AC114" i="51"/>
  <c r="AC113" i="51"/>
  <c r="AC112" i="51"/>
  <c r="AC111" i="51"/>
  <c r="AC110" i="51"/>
  <c r="AC109" i="51"/>
  <c r="AC108" i="51"/>
  <c r="AC107" i="51"/>
  <c r="AC106" i="51"/>
  <c r="AC105" i="51"/>
  <c r="AC104" i="51"/>
  <c r="AC103" i="51"/>
  <c r="AC102" i="51"/>
  <c r="AC101" i="51"/>
  <c r="AC100" i="51"/>
  <c r="AC99" i="51"/>
  <c r="AC98" i="51"/>
  <c r="AC97" i="51"/>
  <c r="AC96" i="51"/>
  <c r="AC95" i="51"/>
  <c r="AC94" i="51"/>
  <c r="AC93" i="51"/>
  <c r="AC92" i="51"/>
  <c r="AC91" i="51"/>
  <c r="AC90" i="51"/>
  <c r="AC89" i="51"/>
  <c r="AC88" i="51"/>
  <c r="AC87" i="51"/>
  <c r="AC86" i="51"/>
  <c r="AC85" i="51"/>
  <c r="AC84" i="51"/>
  <c r="AC83" i="51"/>
  <c r="AC82" i="51"/>
  <c r="AC81" i="51"/>
  <c r="AC80" i="51"/>
  <c r="AC79" i="51"/>
  <c r="AC78" i="51"/>
  <c r="AC77" i="51"/>
  <c r="AC76" i="51"/>
  <c r="AC75" i="51"/>
  <c r="AC74" i="51"/>
  <c r="AC73" i="51"/>
  <c r="AC72" i="51"/>
  <c r="AC71" i="51"/>
  <c r="AC70" i="51"/>
  <c r="AC69" i="51"/>
  <c r="AC68" i="51"/>
  <c r="AC67" i="51"/>
  <c r="AC66" i="51"/>
  <c r="AC65" i="51"/>
  <c r="AC64" i="51"/>
  <c r="AC63" i="51"/>
  <c r="AC62" i="51"/>
  <c r="AC61" i="51"/>
  <c r="AC60" i="51"/>
  <c r="AC59" i="51"/>
  <c r="AC58" i="51"/>
  <c r="AC57" i="51"/>
  <c r="AC56" i="51"/>
  <c r="AC55" i="51"/>
  <c r="AC54" i="51"/>
  <c r="AC53" i="51"/>
  <c r="AC52" i="51"/>
  <c r="AC51" i="51"/>
  <c r="AC50" i="51"/>
  <c r="AC49" i="51"/>
  <c r="AC48" i="51"/>
  <c r="AC47" i="51"/>
  <c r="AC46" i="51"/>
  <c r="AC45" i="51"/>
  <c r="AC43" i="51"/>
  <c r="AC42" i="51"/>
  <c r="AC41" i="51"/>
  <c r="AC40" i="51"/>
  <c r="AC39" i="51"/>
  <c r="AC38" i="51"/>
  <c r="AC37" i="51"/>
  <c r="AC36" i="51"/>
  <c r="AC35" i="51"/>
  <c r="AC34" i="51"/>
  <c r="AC33" i="51"/>
  <c r="AC32" i="51"/>
  <c r="AC29" i="51"/>
  <c r="AC28" i="51"/>
  <c r="AC27" i="51"/>
  <c r="AC26" i="51"/>
  <c r="AC25" i="51"/>
  <c r="AC24" i="51"/>
  <c r="AC22" i="51"/>
  <c r="AC21" i="51"/>
  <c r="AC20" i="51"/>
  <c r="AC19" i="51"/>
  <c r="AC18" i="51"/>
  <c r="AC17" i="51"/>
  <c r="AC16" i="51"/>
  <c r="AC15" i="51"/>
  <c r="AC14" i="51"/>
  <c r="AC13" i="51"/>
  <c r="AC12" i="51"/>
  <c r="AC11" i="51"/>
  <c r="AC10" i="51"/>
  <c r="AC9" i="51"/>
  <c r="AC8" i="51"/>
  <c r="AC7" i="51"/>
  <c r="AC6" i="51"/>
  <c r="AC5" i="51"/>
  <c r="Z369" i="51"/>
  <c r="Z368" i="51"/>
  <c r="Z367" i="51"/>
  <c r="Z366" i="51"/>
  <c r="Z365" i="51"/>
  <c r="Z364" i="51"/>
  <c r="Z363" i="51"/>
  <c r="Z362" i="51"/>
  <c r="Z361" i="51"/>
  <c r="Z360" i="51"/>
  <c r="Z359" i="51"/>
  <c r="Z358" i="51"/>
  <c r="Z357" i="51"/>
  <c r="Z356" i="51"/>
  <c r="Z355" i="51"/>
  <c r="Z354" i="51"/>
  <c r="Z353" i="51"/>
  <c r="Z352" i="51"/>
  <c r="Z351" i="51"/>
  <c r="Z350" i="51"/>
  <c r="Z349" i="51"/>
  <c r="Z348" i="51"/>
  <c r="Z347" i="51"/>
  <c r="Z346" i="51"/>
  <c r="Z345" i="51"/>
  <c r="Z344" i="51"/>
  <c r="Z343" i="51"/>
  <c r="Z342" i="51"/>
  <c r="Z341" i="51"/>
  <c r="Z340" i="51"/>
  <c r="Z339" i="51"/>
  <c r="Z338" i="51"/>
  <c r="Z337" i="51"/>
  <c r="Z336" i="51"/>
  <c r="Z335" i="51"/>
  <c r="Z334" i="51"/>
  <c r="Z333" i="51"/>
  <c r="Z332" i="51"/>
  <c r="Z331" i="51"/>
  <c r="Z330" i="51"/>
  <c r="Z329" i="51"/>
  <c r="Z328" i="51"/>
  <c r="Z327" i="51"/>
  <c r="Z326" i="51"/>
  <c r="Z325" i="51"/>
  <c r="Z324" i="51"/>
  <c r="Z323" i="51"/>
  <c r="Z322" i="51"/>
  <c r="Z321" i="51"/>
  <c r="Z320" i="51"/>
  <c r="Z319" i="51"/>
  <c r="Z318" i="51"/>
  <c r="Z317" i="51"/>
  <c r="Z316" i="51"/>
  <c r="Z315" i="51"/>
  <c r="Z314" i="51"/>
  <c r="Z313" i="51"/>
  <c r="Z312" i="51"/>
  <c r="Z311" i="51"/>
  <c r="Z310" i="51"/>
  <c r="Z309" i="51"/>
  <c r="Z308" i="51"/>
  <c r="Z307" i="51"/>
  <c r="Z306" i="51"/>
  <c r="Z305" i="51"/>
  <c r="Z304" i="51"/>
  <c r="Z303" i="51"/>
  <c r="Z302" i="51"/>
  <c r="Z301" i="51"/>
  <c r="Z300" i="51"/>
  <c r="Z299" i="51"/>
  <c r="Z298" i="51"/>
  <c r="Z297" i="51"/>
  <c r="Z296" i="51"/>
  <c r="Z295" i="51"/>
  <c r="Z294" i="51"/>
  <c r="Z293" i="51"/>
  <c r="Z292" i="51"/>
  <c r="Z291" i="51"/>
  <c r="Z290" i="51"/>
  <c r="Z289" i="51"/>
  <c r="Z288" i="51"/>
  <c r="Z287" i="51"/>
  <c r="Z286" i="51"/>
  <c r="Z285" i="51"/>
  <c r="Z284" i="51"/>
  <c r="Z283" i="51"/>
  <c r="Z282" i="51"/>
  <c r="Z281" i="51"/>
  <c r="Z280" i="51"/>
  <c r="Z279" i="51"/>
  <c r="Z278" i="51"/>
  <c r="Z277" i="51"/>
  <c r="Z276" i="51"/>
  <c r="Z275" i="51"/>
  <c r="Z274" i="51"/>
  <c r="Z273" i="51"/>
  <c r="Z272" i="51"/>
  <c r="Z271" i="51"/>
  <c r="Z270" i="51"/>
  <c r="Z269" i="51"/>
  <c r="Z268" i="51"/>
  <c r="Z267" i="51"/>
  <c r="Z266" i="51"/>
  <c r="Z265" i="51"/>
  <c r="Z264" i="51"/>
  <c r="Z263" i="51"/>
  <c r="Z262" i="51"/>
  <c r="Z261" i="51"/>
  <c r="Z260" i="51"/>
  <c r="Z259" i="51"/>
  <c r="Z258" i="51"/>
  <c r="Z257" i="51"/>
  <c r="Z256" i="51"/>
  <c r="Z255" i="51"/>
  <c r="Z254" i="51"/>
  <c r="Z253" i="51"/>
  <c r="Z252" i="51"/>
  <c r="Z251" i="51"/>
  <c r="Z250" i="51"/>
  <c r="Z249" i="51"/>
  <c r="Z248" i="51"/>
  <c r="Z247" i="51"/>
  <c r="Z246" i="51"/>
  <c r="Z245" i="51"/>
  <c r="Z244" i="51"/>
  <c r="Z243" i="51"/>
  <c r="Z242" i="51"/>
  <c r="Z241" i="51"/>
  <c r="Z240" i="51"/>
  <c r="Z239" i="51"/>
  <c r="Z238" i="51"/>
  <c r="Z237" i="51"/>
  <c r="Z236" i="51"/>
  <c r="Z235" i="51"/>
  <c r="Z234" i="51"/>
  <c r="Z233" i="51"/>
  <c r="Z232" i="51"/>
  <c r="Z231" i="51"/>
  <c r="Z230" i="51"/>
  <c r="Z229" i="51"/>
  <c r="Z228" i="51"/>
  <c r="Z227" i="51"/>
  <c r="Z226" i="51"/>
  <c r="Z225" i="51"/>
  <c r="Z224" i="51"/>
  <c r="Z223" i="51"/>
  <c r="Z222" i="51"/>
  <c r="Z221" i="51"/>
  <c r="Z220" i="51"/>
  <c r="Z219" i="51"/>
  <c r="Z218" i="51"/>
  <c r="Z217" i="51"/>
  <c r="Z216" i="51"/>
  <c r="Z215" i="51"/>
  <c r="Z214" i="51"/>
  <c r="Z213" i="51"/>
  <c r="Z212" i="51"/>
  <c r="Z211" i="51"/>
  <c r="Z210" i="51"/>
  <c r="Z209" i="51"/>
  <c r="Z208" i="51"/>
  <c r="Z207" i="51"/>
  <c r="Z206" i="51"/>
  <c r="Z205" i="51"/>
  <c r="Z204" i="51"/>
  <c r="Z203" i="51"/>
  <c r="Z202" i="51"/>
  <c r="AB299" i="51"/>
  <c r="AB295" i="51"/>
  <c r="AB291" i="51"/>
  <c r="AB287" i="51"/>
  <c r="AB283" i="51"/>
  <c r="AB279" i="51"/>
  <c r="AB275" i="51"/>
  <c r="AB271" i="51"/>
  <c r="AB267" i="51"/>
  <c r="AB263" i="51"/>
  <c r="AB259" i="51"/>
  <c r="AB255" i="51"/>
  <c r="AB251" i="51"/>
  <c r="AB247" i="51"/>
  <c r="AB243" i="51"/>
  <c r="AB239" i="51"/>
  <c r="AB235" i="51"/>
  <c r="AB231" i="51"/>
  <c r="AB227" i="51"/>
  <c r="AB223" i="51"/>
  <c r="AB219" i="51"/>
  <c r="AB215" i="51"/>
  <c r="AB211" i="51"/>
  <c r="AB207" i="51"/>
  <c r="AB203" i="51"/>
  <c r="AB199" i="51"/>
  <c r="AB195" i="51"/>
  <c r="AB191" i="51"/>
  <c r="AB189" i="51"/>
  <c r="AB187" i="51"/>
  <c r="AB185" i="51"/>
  <c r="AB183" i="51"/>
  <c r="AB181" i="51"/>
  <c r="AB179" i="51"/>
  <c r="AB177" i="51"/>
  <c r="AB175" i="51"/>
  <c r="AB173" i="51"/>
  <c r="AB171" i="51"/>
  <c r="AB169" i="51"/>
  <c r="AB167" i="51"/>
  <c r="AB165" i="51"/>
  <c r="AB163" i="51"/>
  <c r="AB161" i="51"/>
  <c r="AB159" i="51"/>
  <c r="AB157" i="51"/>
  <c r="AB155" i="51"/>
  <c r="AB153" i="51"/>
  <c r="AB151" i="51"/>
  <c r="AB149" i="51"/>
  <c r="AB147" i="51"/>
  <c r="AB145" i="51"/>
  <c r="AB143" i="51"/>
  <c r="AB141" i="51"/>
  <c r="AB139" i="51"/>
  <c r="AB137" i="51"/>
  <c r="AB135" i="51"/>
  <c r="AB133" i="51"/>
  <c r="AB131" i="51"/>
  <c r="AB129" i="51"/>
  <c r="AB127" i="51"/>
  <c r="AB125" i="51"/>
  <c r="AB123" i="51"/>
  <c r="AB121" i="51"/>
  <c r="AB119" i="51"/>
  <c r="AB117" i="51"/>
  <c r="AB115" i="51"/>
  <c r="AB113" i="51"/>
  <c r="AB111" i="51"/>
  <c r="AB109" i="51"/>
  <c r="AB107" i="51"/>
  <c r="AB105" i="51"/>
  <c r="AB103" i="51"/>
  <c r="AB101" i="51"/>
  <c r="AB99" i="51"/>
  <c r="AB97" i="51"/>
  <c r="AB95" i="51"/>
  <c r="AB93" i="51"/>
  <c r="AB91" i="51"/>
  <c r="AB89" i="51"/>
  <c r="AB87" i="51"/>
  <c r="AB85" i="51"/>
  <c r="AB83" i="51"/>
  <c r="AB81" i="51"/>
  <c r="AB79" i="51"/>
  <c r="AB77" i="51"/>
  <c r="AB75" i="51"/>
  <c r="AB73" i="51"/>
  <c r="AB71" i="51"/>
  <c r="AB69" i="51"/>
  <c r="AB67" i="51"/>
  <c r="AB65" i="51"/>
  <c r="AB63" i="51"/>
  <c r="AB61" i="51"/>
  <c r="AB59" i="51"/>
  <c r="AB57" i="51"/>
  <c r="AB55" i="51"/>
  <c r="AB53" i="51"/>
  <c r="AB51" i="51"/>
  <c r="AB49" i="51"/>
  <c r="AB47" i="51"/>
  <c r="AB45" i="51"/>
  <c r="AB43" i="51"/>
  <c r="AB41" i="51"/>
  <c r="AB39" i="51"/>
  <c r="AB37" i="51"/>
  <c r="AB35" i="51"/>
  <c r="AB33" i="51"/>
  <c r="AB29" i="51"/>
  <c r="AB27" i="51"/>
  <c r="AB25" i="51"/>
  <c r="AB21" i="51"/>
  <c r="AB19" i="51"/>
  <c r="AB17" i="51"/>
  <c r="AB15" i="51"/>
  <c r="AB13" i="51"/>
  <c r="AB11" i="51"/>
  <c r="AH11" i="51" s="1"/>
  <c r="AB9" i="51"/>
  <c r="AB7" i="51"/>
  <c r="AB5" i="51"/>
  <c r="Y368" i="51"/>
  <c r="Y366" i="51"/>
  <c r="Y364" i="51"/>
  <c r="Y362" i="51"/>
  <c r="Y360" i="51"/>
  <c r="Y358" i="51"/>
  <c r="Y356" i="51"/>
  <c r="Y354" i="51"/>
  <c r="Y352" i="51"/>
  <c r="Y350" i="51"/>
  <c r="Y348" i="51"/>
  <c r="Y346" i="51"/>
  <c r="Y344" i="51"/>
  <c r="Y342" i="51"/>
  <c r="Y340" i="51"/>
  <c r="Y337" i="51"/>
  <c r="Y335" i="51"/>
  <c r="Y333" i="51"/>
  <c r="Y331" i="51"/>
  <c r="Y329" i="51"/>
  <c r="Y327" i="51"/>
  <c r="Y325" i="51"/>
  <c r="Y323" i="51"/>
  <c r="Y321" i="51"/>
  <c r="Y319" i="51"/>
  <c r="Y317" i="51"/>
  <c r="Y315" i="51"/>
  <c r="Y313" i="51"/>
  <c r="Y311" i="51"/>
  <c r="Y309" i="51"/>
  <c r="Y307" i="51"/>
  <c r="Y305" i="51"/>
  <c r="Y303" i="51"/>
  <c r="Y301" i="51"/>
  <c r="Y299" i="51"/>
  <c r="Y297" i="51"/>
  <c r="Y295" i="51"/>
  <c r="Y293" i="51"/>
  <c r="Y291" i="51"/>
  <c r="Y289" i="51"/>
  <c r="Y287" i="51"/>
  <c r="Y285" i="51"/>
  <c r="Y283" i="51"/>
  <c r="Y281" i="51"/>
  <c r="Y279" i="51"/>
  <c r="Y277" i="51"/>
  <c r="Y275" i="51"/>
  <c r="Y273" i="51"/>
  <c r="Y271" i="51"/>
  <c r="Y269" i="51"/>
  <c r="Y267" i="51"/>
  <c r="Y265" i="51"/>
  <c r="Y263" i="51"/>
  <c r="Y261" i="51"/>
  <c r="Y259" i="51"/>
  <c r="Y257" i="51"/>
  <c r="Y255" i="51"/>
  <c r="Y253" i="51"/>
  <c r="Y251" i="51"/>
  <c r="Y249" i="51"/>
  <c r="Y247" i="51"/>
  <c r="Y245" i="51"/>
  <c r="Y243" i="51"/>
  <c r="Y241" i="51"/>
  <c r="Y239" i="51"/>
  <c r="Y237" i="51"/>
  <c r="Y235" i="51"/>
  <c r="Y233" i="51"/>
  <c r="Y231" i="51"/>
  <c r="Y229" i="51"/>
  <c r="Y227" i="51"/>
  <c r="Y225" i="51"/>
  <c r="Y223" i="51"/>
  <c r="Y221" i="51"/>
  <c r="Y219" i="51"/>
  <c r="Y217" i="51"/>
  <c r="Y215" i="51"/>
  <c r="Y213" i="51"/>
  <c r="Y211" i="51"/>
  <c r="Y209" i="51"/>
  <c r="Y207" i="51"/>
  <c r="Y205" i="51"/>
  <c r="Y203" i="51"/>
  <c r="Z201" i="51"/>
  <c r="Z200" i="51"/>
  <c r="Z199" i="51"/>
  <c r="Z198" i="51"/>
  <c r="Z197" i="51"/>
  <c r="Z196" i="51"/>
  <c r="Z195" i="51"/>
  <c r="Z194" i="51"/>
  <c r="Z193" i="51"/>
  <c r="Z192" i="51"/>
  <c r="Z191" i="51"/>
  <c r="Z190" i="51"/>
  <c r="Z189" i="51"/>
  <c r="Z188" i="51"/>
  <c r="Z187" i="51"/>
  <c r="Z186" i="51"/>
  <c r="Z185" i="51"/>
  <c r="Z184" i="51"/>
  <c r="Z183" i="51"/>
  <c r="Z182" i="51"/>
  <c r="Z181" i="51"/>
  <c r="Z180" i="51"/>
  <c r="Z179" i="51"/>
  <c r="Z178" i="51"/>
  <c r="Z177" i="51"/>
  <c r="Z176" i="51"/>
  <c r="Z175" i="51"/>
  <c r="Z174" i="51"/>
  <c r="Z173" i="51"/>
  <c r="Z172" i="51"/>
  <c r="Z171" i="51"/>
  <c r="Z170" i="51"/>
  <c r="Z169" i="51"/>
  <c r="Z168" i="51"/>
  <c r="Z167" i="51"/>
  <c r="Z166" i="51"/>
  <c r="Z165" i="51"/>
  <c r="Z164" i="51"/>
  <c r="Z163" i="51"/>
  <c r="Z162" i="51"/>
  <c r="Z161" i="51"/>
  <c r="Z160" i="51"/>
  <c r="Z159" i="51"/>
  <c r="Z158" i="51"/>
  <c r="Z157" i="51"/>
  <c r="Z156" i="51"/>
  <c r="Z155" i="51"/>
  <c r="Z154" i="51"/>
  <c r="Z153" i="51"/>
  <c r="Z152" i="51"/>
  <c r="Z151" i="51"/>
  <c r="Z150" i="51"/>
  <c r="Z149" i="51"/>
  <c r="Z148" i="51"/>
  <c r="Z147" i="51"/>
  <c r="Z146" i="51"/>
  <c r="Z145" i="51"/>
  <c r="Z144" i="51"/>
  <c r="Z143" i="51"/>
  <c r="Z142" i="51"/>
  <c r="Z141" i="51"/>
  <c r="Z140" i="51"/>
  <c r="Z139" i="51"/>
  <c r="Z138" i="51"/>
  <c r="Z137" i="51"/>
  <c r="Z136" i="51"/>
  <c r="Z135" i="51"/>
  <c r="Z134" i="51"/>
  <c r="Z133" i="51"/>
  <c r="Z132" i="51"/>
  <c r="Z131" i="51"/>
  <c r="Z130" i="51"/>
  <c r="Z129" i="51"/>
  <c r="Z128" i="51"/>
  <c r="Z127" i="51"/>
  <c r="Z126" i="51"/>
  <c r="Z125" i="51"/>
  <c r="Z124" i="51"/>
  <c r="Z123" i="51"/>
  <c r="Z122" i="51"/>
  <c r="Z121" i="51"/>
  <c r="Z120" i="51"/>
  <c r="Z119" i="51"/>
  <c r="Z118" i="51"/>
  <c r="Z117" i="51"/>
  <c r="Z116" i="51"/>
  <c r="Z115" i="51"/>
  <c r="Z114" i="51"/>
  <c r="Z113" i="51"/>
  <c r="Z112" i="51"/>
  <c r="Z111" i="51"/>
  <c r="Z110" i="51"/>
  <c r="Z109" i="51"/>
  <c r="Z108" i="51"/>
  <c r="Z107" i="51"/>
  <c r="Z106" i="51"/>
  <c r="Z105" i="51"/>
  <c r="Z104" i="51"/>
  <c r="Z103" i="51"/>
  <c r="Z102" i="51"/>
  <c r="Z101" i="51"/>
  <c r="Z100" i="51"/>
  <c r="Z99" i="51"/>
  <c r="Z98" i="51"/>
  <c r="Z97" i="51"/>
  <c r="Z96" i="51"/>
  <c r="Z95" i="51"/>
  <c r="Z94" i="51"/>
  <c r="Z93" i="51"/>
  <c r="Z92" i="51"/>
  <c r="Z91" i="51"/>
  <c r="Z90" i="51"/>
  <c r="Z89" i="51"/>
  <c r="Z88" i="51"/>
  <c r="Z87" i="51"/>
  <c r="Z86" i="51"/>
  <c r="Z85" i="51"/>
  <c r="Z84" i="51"/>
  <c r="Z83" i="51"/>
  <c r="Z82" i="51"/>
  <c r="Z81" i="51"/>
  <c r="Z80" i="51"/>
  <c r="Z79" i="51"/>
  <c r="Z78" i="51"/>
  <c r="Z77" i="51"/>
  <c r="Z76" i="51"/>
  <c r="Z75" i="51"/>
  <c r="Z74" i="51"/>
  <c r="Z73" i="51"/>
  <c r="Z72" i="51"/>
  <c r="Z71" i="51"/>
  <c r="Z70" i="51"/>
  <c r="Z69" i="51"/>
  <c r="Z68" i="51"/>
  <c r="Z67" i="51"/>
  <c r="Z66" i="51"/>
  <c r="Z65" i="51"/>
  <c r="Z64" i="51"/>
  <c r="Z63" i="51"/>
  <c r="Z62" i="51"/>
  <c r="Z61" i="51"/>
  <c r="Z60" i="51"/>
  <c r="Z59" i="51"/>
  <c r="Z58" i="51"/>
  <c r="Z57" i="51"/>
  <c r="Z56" i="51"/>
  <c r="Z55" i="51"/>
  <c r="Z54" i="51"/>
  <c r="Z53" i="51"/>
  <c r="Z52" i="51"/>
  <c r="Z51" i="51"/>
  <c r="Z50" i="51"/>
  <c r="Z49" i="51"/>
  <c r="Z48" i="51"/>
  <c r="Z47" i="51"/>
  <c r="Z46" i="51"/>
  <c r="Z45" i="51"/>
  <c r="Z43" i="51"/>
  <c r="Z42" i="51"/>
  <c r="Z41" i="51"/>
  <c r="Z36" i="51"/>
  <c r="Z35" i="51"/>
  <c r="Z34" i="51"/>
  <c r="Z29" i="51"/>
  <c r="Z28" i="51"/>
  <c r="Z27" i="51"/>
  <c r="Z26" i="51"/>
  <c r="Z25" i="51"/>
  <c r="Z24" i="51"/>
  <c r="Z22" i="51"/>
  <c r="Z21" i="51"/>
  <c r="Z20" i="51"/>
  <c r="Z19" i="51"/>
  <c r="Z17" i="51"/>
  <c r="Z16" i="51"/>
  <c r="Z15" i="51"/>
  <c r="Z14" i="51"/>
  <c r="Z13" i="51"/>
  <c r="Z12" i="51"/>
  <c r="Z10" i="51"/>
  <c r="Z9" i="51"/>
  <c r="Z5" i="51"/>
  <c r="W365" i="51"/>
  <c r="W361" i="51"/>
  <c r="W357" i="51"/>
  <c r="W354" i="51"/>
  <c r="W350" i="51"/>
  <c r="W346" i="51"/>
  <c r="W342" i="51"/>
  <c r="W337" i="51"/>
  <c r="W336" i="51"/>
  <c r="W335" i="51"/>
  <c r="W334" i="51"/>
  <c r="W332" i="51"/>
  <c r="W329" i="51"/>
  <c r="W326" i="51"/>
  <c r="W323" i="51"/>
  <c r="W321" i="51"/>
  <c r="W318" i="51"/>
  <c r="W315" i="51"/>
  <c r="W312" i="51"/>
  <c r="W310" i="51"/>
  <c r="W307" i="51"/>
  <c r="W304" i="51"/>
  <c r="W301" i="51"/>
  <c r="W298" i="51"/>
  <c r="W295" i="51"/>
  <c r="W293" i="51"/>
  <c r="W290" i="51"/>
  <c r="W287" i="51"/>
  <c r="W285" i="51"/>
  <c r="W284" i="51"/>
  <c r="W283" i="51"/>
  <c r="W282" i="51"/>
  <c r="W281" i="51"/>
  <c r="W280" i="51"/>
  <c r="W279" i="51"/>
  <c r="W278" i="51"/>
  <c r="W277" i="51"/>
  <c r="W276" i="51"/>
  <c r="W275" i="51"/>
  <c r="W274" i="51"/>
  <c r="W273" i="51"/>
  <c r="W272" i="51"/>
  <c r="W271" i="51"/>
  <c r="W270" i="51"/>
  <c r="W269" i="51"/>
  <c r="W268" i="51"/>
  <c r="W267" i="51"/>
  <c r="W266" i="51"/>
  <c r="W265" i="51"/>
  <c r="W264" i="51"/>
  <c r="W263" i="51"/>
  <c r="W262" i="51"/>
  <c r="W261" i="51"/>
  <c r="W260" i="51"/>
  <c r="W259" i="51"/>
  <c r="W258" i="51"/>
  <c r="W257" i="51"/>
  <c r="W256" i="51"/>
  <c r="W255" i="51"/>
  <c r="W254" i="51"/>
  <c r="W253" i="51"/>
  <c r="W252" i="51"/>
  <c r="W251" i="51"/>
  <c r="W250" i="51"/>
  <c r="W249" i="51"/>
  <c r="W248" i="51"/>
  <c r="W247" i="51"/>
  <c r="W246" i="51"/>
  <c r="W245" i="51"/>
  <c r="W244" i="51"/>
  <c r="W243" i="51"/>
  <c r="W242" i="51"/>
  <c r="W241" i="51"/>
  <c r="W240" i="51"/>
  <c r="W239" i="51"/>
  <c r="W238" i="51"/>
  <c r="W237" i="51"/>
  <c r="W236" i="51"/>
  <c r="W235" i="51"/>
  <c r="W234" i="51"/>
  <c r="W233" i="51"/>
  <c r="W232" i="51"/>
  <c r="W231" i="51"/>
  <c r="W230" i="51"/>
  <c r="W229" i="51"/>
  <c r="W228" i="51"/>
  <c r="W227" i="51"/>
  <c r="W226" i="51"/>
  <c r="W225" i="51"/>
  <c r="W224" i="51"/>
  <c r="W223" i="51"/>
  <c r="W222" i="51"/>
  <c r="W221" i="51"/>
  <c r="W220" i="51"/>
  <c r="W219" i="51"/>
  <c r="W218" i="51"/>
  <c r="W217" i="51"/>
  <c r="W216" i="51"/>
  <c r="W215" i="51"/>
  <c r="W214" i="51"/>
  <c r="W213" i="51"/>
  <c r="W212" i="51"/>
  <c r="W211" i="51"/>
  <c r="W210" i="51"/>
  <c r="W209" i="51"/>
  <c r="W208" i="51"/>
  <c r="W207" i="51"/>
  <c r="W206" i="51"/>
  <c r="W205" i="51"/>
  <c r="W203" i="51"/>
  <c r="W202" i="51"/>
  <c r="W201" i="51"/>
  <c r="W200" i="51"/>
  <c r="W199" i="51"/>
  <c r="W198" i="51"/>
  <c r="W197" i="51"/>
  <c r="W194" i="51"/>
  <c r="W190" i="51"/>
  <c r="W186" i="51"/>
  <c r="W182" i="51"/>
  <c r="W178" i="51"/>
  <c r="W174" i="51"/>
  <c r="W171" i="51"/>
  <c r="W168" i="51"/>
  <c r="W164" i="51"/>
  <c r="W160" i="51"/>
  <c r="W157" i="51"/>
  <c r="W154" i="51"/>
  <c r="W150" i="51"/>
  <c r="W146" i="51"/>
  <c r="W143" i="51"/>
  <c r="W139" i="51"/>
  <c r="W135" i="51"/>
  <c r="W132" i="51"/>
  <c r="W128" i="51"/>
  <c r="W124" i="51"/>
  <c r="W121" i="51"/>
  <c r="W118" i="51"/>
  <c r="W114" i="51"/>
  <c r="W111" i="51"/>
  <c r="W108" i="51"/>
  <c r="W104" i="51"/>
  <c r="W100" i="51"/>
  <c r="W96" i="51"/>
  <c r="W92" i="51"/>
  <c r="W89" i="51"/>
  <c r="W85" i="51"/>
  <c r="W82" i="51"/>
  <c r="W79" i="51"/>
  <c r="W75" i="51"/>
  <c r="W72" i="51"/>
  <c r="W68" i="51"/>
  <c r="W64" i="51"/>
  <c r="W61" i="51"/>
  <c r="W57" i="51"/>
  <c r="W53" i="51"/>
  <c r="W49" i="51"/>
  <c r="W46" i="51"/>
  <c r="W42" i="51"/>
  <c r="W35" i="51"/>
  <c r="W28" i="51"/>
  <c r="W24" i="51"/>
  <c r="W20" i="51"/>
  <c r="W17" i="51"/>
  <c r="W13" i="51"/>
  <c r="W10" i="51"/>
  <c r="W7" i="51"/>
  <c r="S15" i="51"/>
  <c r="S25" i="51"/>
  <c r="S35" i="51"/>
  <c r="S43" i="51"/>
  <c r="S53" i="51"/>
  <c r="S59" i="51"/>
  <c r="S69" i="51"/>
  <c r="S77" i="51"/>
  <c r="S87" i="51"/>
  <c r="S97" i="51"/>
  <c r="S107" i="51"/>
  <c r="S117" i="51"/>
  <c r="S125" i="51"/>
  <c r="S135" i="51"/>
  <c r="S145" i="51"/>
  <c r="S153" i="51"/>
  <c r="S161" i="51"/>
  <c r="S169" i="51"/>
  <c r="S177" i="51"/>
  <c r="S187" i="51"/>
  <c r="S195" i="51"/>
  <c r="S201" i="51"/>
  <c r="S209" i="51"/>
  <c r="S215" i="51"/>
  <c r="S223" i="51"/>
  <c r="S231" i="51"/>
  <c r="S241" i="51"/>
  <c r="S249" i="51"/>
  <c r="S255" i="51"/>
  <c r="S261" i="51"/>
  <c r="S267" i="51"/>
  <c r="S273" i="51"/>
  <c r="S281" i="51"/>
  <c r="S287" i="51"/>
  <c r="S295" i="51"/>
  <c r="S303" i="51"/>
  <c r="S309" i="51"/>
  <c r="S317" i="51"/>
  <c r="S323" i="51"/>
  <c r="S329" i="51"/>
  <c r="S337" i="51"/>
  <c r="S346" i="51"/>
  <c r="S354" i="51"/>
  <c r="S360" i="51"/>
  <c r="S368" i="51"/>
  <c r="AB297" i="51"/>
  <c r="AB293" i="51"/>
  <c r="AB289" i="51"/>
  <c r="AB285" i="51"/>
  <c r="AB281" i="51"/>
  <c r="AB277" i="51"/>
  <c r="AB273" i="51"/>
  <c r="AB269" i="51"/>
  <c r="AB265" i="51"/>
  <c r="AB261" i="51"/>
  <c r="AB257" i="51"/>
  <c r="AB253" i="51"/>
  <c r="AB249" i="51"/>
  <c r="AB245" i="51"/>
  <c r="AB241" i="51"/>
  <c r="AB237" i="51"/>
  <c r="AB233" i="51"/>
  <c r="AB229" i="51"/>
  <c r="AB225" i="51"/>
  <c r="AB221" i="51"/>
  <c r="AB217" i="51"/>
  <c r="AB213" i="51"/>
  <c r="AB209" i="51"/>
  <c r="AB205" i="51"/>
  <c r="AB201" i="51"/>
  <c r="AB197" i="51"/>
  <c r="AB193" i="51"/>
  <c r="AB190" i="51"/>
  <c r="AB188" i="51"/>
  <c r="AB186" i="51"/>
  <c r="AB184" i="51"/>
  <c r="AB182" i="51"/>
  <c r="AB180" i="51"/>
  <c r="AB178" i="51"/>
  <c r="AB176" i="51"/>
  <c r="AB174" i="51"/>
  <c r="AB172" i="51"/>
  <c r="AB170" i="51"/>
  <c r="AB168" i="51"/>
  <c r="AB166" i="51"/>
  <c r="AB164" i="51"/>
  <c r="AB162" i="51"/>
  <c r="AB160" i="51"/>
  <c r="AB158" i="51"/>
  <c r="AB156" i="51"/>
  <c r="AB154" i="51"/>
  <c r="AB152" i="51"/>
  <c r="AB150" i="51"/>
  <c r="AB148" i="51"/>
  <c r="AB146" i="51"/>
  <c r="AB144" i="51"/>
  <c r="AB142" i="51"/>
  <c r="AB140" i="51"/>
  <c r="AB138" i="51"/>
  <c r="AB136" i="51"/>
  <c r="AB134" i="51"/>
  <c r="AB132" i="51"/>
  <c r="AB130" i="51"/>
  <c r="AB128" i="51"/>
  <c r="AB126" i="51"/>
  <c r="AB124" i="51"/>
  <c r="AB122" i="51"/>
  <c r="AB120" i="51"/>
  <c r="AB118" i="51"/>
  <c r="AB116" i="51"/>
  <c r="AB114" i="51"/>
  <c r="AB112" i="51"/>
  <c r="AB110" i="51"/>
  <c r="AB108" i="51"/>
  <c r="AB106" i="51"/>
  <c r="AB104" i="51"/>
  <c r="AB102" i="51"/>
  <c r="AB100" i="51"/>
  <c r="AB98" i="51"/>
  <c r="AB96" i="51"/>
  <c r="AB94" i="51"/>
  <c r="AB92" i="51"/>
  <c r="AB90" i="51"/>
  <c r="AB88" i="51"/>
  <c r="AB86" i="51"/>
  <c r="AB84" i="51"/>
  <c r="AB82" i="51"/>
  <c r="AB80" i="51"/>
  <c r="AB78" i="51"/>
  <c r="AB76" i="51"/>
  <c r="AB74" i="51"/>
  <c r="AB72" i="51"/>
  <c r="AB70" i="51"/>
  <c r="AB68" i="51"/>
  <c r="AB66" i="51"/>
  <c r="AB64" i="51"/>
  <c r="AB62" i="51"/>
  <c r="AB60" i="51"/>
  <c r="AB58" i="51"/>
  <c r="AB56" i="51"/>
  <c r="AB54" i="51"/>
  <c r="AB52" i="51"/>
  <c r="AB50" i="51"/>
  <c r="AB48" i="51"/>
  <c r="AB46" i="51"/>
  <c r="AB42" i="51"/>
  <c r="AB40" i="51"/>
  <c r="AB38" i="51"/>
  <c r="AB36" i="51"/>
  <c r="AB34" i="51"/>
  <c r="AB32" i="51"/>
  <c r="AB28" i="51"/>
  <c r="AB26" i="51"/>
  <c r="AB24" i="51"/>
  <c r="AB22" i="51"/>
  <c r="AB20" i="51"/>
  <c r="AB18" i="51"/>
  <c r="AB16" i="51"/>
  <c r="AB14" i="51"/>
  <c r="AB12" i="51"/>
  <c r="AB10" i="51"/>
  <c r="AB8" i="51"/>
  <c r="AB6" i="51"/>
  <c r="Y369" i="51"/>
  <c r="Y367" i="51"/>
  <c r="Y365" i="51"/>
  <c r="Y363" i="51"/>
  <c r="Y361" i="51"/>
  <c r="Y359" i="51"/>
  <c r="Y357" i="51"/>
  <c r="Y355" i="51"/>
  <c r="Y353" i="51"/>
  <c r="Y351" i="51"/>
  <c r="Y349" i="51"/>
  <c r="Y347" i="51"/>
  <c r="Y345" i="51"/>
  <c r="Y343" i="51"/>
  <c r="Y341" i="51"/>
  <c r="Y339" i="51"/>
  <c r="Y338" i="51"/>
  <c r="Y336" i="51"/>
  <c r="Y334" i="51"/>
  <c r="Y332" i="51"/>
  <c r="Y330" i="51"/>
  <c r="Y328" i="51"/>
  <c r="Y326" i="51"/>
  <c r="Y324" i="51"/>
  <c r="Y322" i="51"/>
  <c r="Y320" i="51"/>
  <c r="Y318" i="51"/>
  <c r="Y316" i="51"/>
  <c r="Y314" i="51"/>
  <c r="Y312" i="51"/>
  <c r="Y310" i="51"/>
  <c r="Y308" i="51"/>
  <c r="Y306" i="51"/>
  <c r="Y304" i="51"/>
  <c r="Y302" i="51"/>
  <c r="Y300" i="51"/>
  <c r="Y298" i="51"/>
  <c r="Y296" i="51"/>
  <c r="Y294" i="51"/>
  <c r="Y292" i="51"/>
  <c r="Y290" i="51"/>
  <c r="Y288" i="51"/>
  <c r="Y286" i="51"/>
  <c r="Y284" i="51"/>
  <c r="Y282" i="51"/>
  <c r="Y280" i="51"/>
  <c r="Y278" i="51"/>
  <c r="Y276" i="51"/>
  <c r="Y274" i="51"/>
  <c r="Y272" i="51"/>
  <c r="Y270" i="51"/>
  <c r="Y268" i="51"/>
  <c r="Y266" i="51"/>
  <c r="Y264" i="51"/>
  <c r="Y262" i="51"/>
  <c r="Y260" i="51"/>
  <c r="Y258" i="51"/>
  <c r="Y256" i="51"/>
  <c r="Y254" i="51"/>
  <c r="Y252" i="51"/>
  <c r="Y250" i="51"/>
  <c r="Y248" i="51"/>
  <c r="Y246" i="51"/>
  <c r="Y244" i="51"/>
  <c r="Y242" i="51"/>
  <c r="Y240" i="51"/>
  <c r="Y238" i="51"/>
  <c r="Y236" i="51"/>
  <c r="Y234" i="51"/>
  <c r="Y232" i="51"/>
  <c r="Y230" i="51"/>
  <c r="Y228" i="51"/>
  <c r="Y226" i="51"/>
  <c r="Y224" i="51"/>
  <c r="Y222" i="51"/>
  <c r="Y220" i="51"/>
  <c r="Y218" i="51"/>
  <c r="Y216" i="51"/>
  <c r="Y214" i="51"/>
  <c r="Y212" i="51"/>
  <c r="Y210" i="51"/>
  <c r="Y208" i="51"/>
  <c r="Y206" i="51"/>
  <c r="Y204" i="51"/>
  <c r="Y202" i="51"/>
  <c r="Y201" i="51"/>
  <c r="Y200" i="51"/>
  <c r="Y199" i="51"/>
  <c r="Y198" i="51"/>
  <c r="Y197" i="51"/>
  <c r="Y196" i="51"/>
  <c r="Y195" i="51"/>
  <c r="Y194" i="51"/>
  <c r="Y193" i="51"/>
  <c r="Y192" i="51"/>
  <c r="Y191" i="51"/>
  <c r="Y190" i="51"/>
  <c r="Y189" i="51"/>
  <c r="Y188" i="51"/>
  <c r="Y187" i="51"/>
  <c r="Y186" i="51"/>
  <c r="Y185" i="51"/>
  <c r="Y184" i="51"/>
  <c r="Y183" i="51"/>
  <c r="Y182" i="51"/>
  <c r="Y181" i="51"/>
  <c r="Y180" i="51"/>
  <c r="Y179" i="51"/>
  <c r="Y178" i="51"/>
  <c r="Y177" i="51"/>
  <c r="Y176" i="51"/>
  <c r="Y175" i="51"/>
  <c r="Y174" i="51"/>
  <c r="Y173" i="51"/>
  <c r="Y172" i="51"/>
  <c r="Y171" i="51"/>
  <c r="Y170" i="51"/>
  <c r="Y169" i="51"/>
  <c r="Y168" i="51"/>
  <c r="Y167" i="51"/>
  <c r="Y166" i="51"/>
  <c r="Y165" i="51"/>
  <c r="Y164" i="51"/>
  <c r="Y163" i="51"/>
  <c r="Y162" i="51"/>
  <c r="Y161" i="51"/>
  <c r="Y160" i="51"/>
  <c r="Y159" i="51"/>
  <c r="Y158" i="51"/>
  <c r="Y157" i="51"/>
  <c r="Y156" i="51"/>
  <c r="Y155" i="51"/>
  <c r="Y154" i="51"/>
  <c r="Y153" i="51"/>
  <c r="Y152" i="51"/>
  <c r="Y151" i="51"/>
  <c r="Y150" i="51"/>
  <c r="Y149" i="51"/>
  <c r="Y148" i="51"/>
  <c r="Y147" i="51"/>
  <c r="Y146" i="51"/>
  <c r="Y145" i="51"/>
  <c r="Y144" i="51"/>
  <c r="Y143" i="51"/>
  <c r="Y142" i="51"/>
  <c r="Y141" i="51"/>
  <c r="Y140" i="51"/>
  <c r="Y139" i="51"/>
  <c r="Y138" i="51"/>
  <c r="Y137" i="51"/>
  <c r="Y136" i="51"/>
  <c r="Y135" i="51"/>
  <c r="Y134" i="51"/>
  <c r="Y133" i="51"/>
  <c r="Y132" i="51"/>
  <c r="Y131" i="51"/>
  <c r="Y130" i="51"/>
  <c r="Y129" i="51"/>
  <c r="Y128" i="51"/>
  <c r="Y127" i="51"/>
  <c r="Y126" i="51"/>
  <c r="Y125" i="51"/>
  <c r="Y124" i="51"/>
  <c r="Y123" i="51"/>
  <c r="Y122" i="51"/>
  <c r="Y121" i="51"/>
  <c r="Y120" i="51"/>
  <c r="Y119" i="51"/>
  <c r="Y118" i="51"/>
  <c r="Y117" i="51"/>
  <c r="Y116" i="51"/>
  <c r="Y115" i="51"/>
  <c r="Y114" i="51"/>
  <c r="Y113" i="51"/>
  <c r="Y112" i="51"/>
  <c r="Y111" i="51"/>
  <c r="Y110" i="51"/>
  <c r="Y109" i="51"/>
  <c r="Y108" i="51"/>
  <c r="Y107" i="51"/>
  <c r="Y106" i="51"/>
  <c r="Y105" i="51"/>
  <c r="Y104" i="51"/>
  <c r="Y103" i="51"/>
  <c r="Y102" i="51"/>
  <c r="Y101" i="51"/>
  <c r="Y100" i="51"/>
  <c r="Y99" i="51"/>
  <c r="Y98" i="51"/>
  <c r="Y97" i="51"/>
  <c r="Y96" i="51"/>
  <c r="Y95" i="51"/>
  <c r="Y94" i="51"/>
  <c r="Y93" i="51"/>
  <c r="Y92" i="51"/>
  <c r="Y91" i="51"/>
  <c r="Y90" i="51"/>
  <c r="Y89" i="51"/>
  <c r="Y88" i="51"/>
  <c r="Y87" i="51"/>
  <c r="Y86" i="51"/>
  <c r="Y85" i="51"/>
  <c r="Y84" i="51"/>
  <c r="Y83" i="51"/>
  <c r="Y82" i="51"/>
  <c r="Y81" i="51"/>
  <c r="Y80" i="51"/>
  <c r="Y79" i="51"/>
  <c r="Y78" i="51"/>
  <c r="Y77" i="51"/>
  <c r="Y76" i="51"/>
  <c r="Y75" i="51"/>
  <c r="Y74" i="51"/>
  <c r="Y73" i="51"/>
  <c r="Y72" i="51"/>
  <c r="Y71" i="51"/>
  <c r="Y70" i="51"/>
  <c r="Y69" i="51"/>
  <c r="Y68" i="51"/>
  <c r="Y67" i="51"/>
  <c r="Y66" i="51"/>
  <c r="Y65" i="51"/>
  <c r="Y64" i="51"/>
  <c r="Y63" i="51"/>
  <c r="Y62" i="51"/>
  <c r="Y61" i="51"/>
  <c r="Y60" i="51"/>
  <c r="Y59" i="51"/>
  <c r="Y58" i="51"/>
  <c r="Y57" i="51"/>
  <c r="Y56" i="51"/>
  <c r="Y55" i="51"/>
  <c r="Y54" i="51"/>
  <c r="Y53" i="51"/>
  <c r="Y52" i="51"/>
  <c r="Y51" i="51"/>
  <c r="Y50" i="51"/>
  <c r="Y49" i="51"/>
  <c r="Y48" i="51"/>
  <c r="Y47" i="51"/>
  <c r="Y46" i="51"/>
  <c r="Y45" i="51"/>
  <c r="Y43" i="51"/>
  <c r="Y42" i="51"/>
  <c r="Y41" i="51"/>
  <c r="Y36" i="51"/>
  <c r="Y35" i="51"/>
  <c r="Y34" i="51"/>
  <c r="Y29" i="51"/>
  <c r="Y28" i="51"/>
  <c r="Y27" i="51"/>
  <c r="Y26" i="51"/>
  <c r="Y25" i="51"/>
  <c r="Y24" i="51"/>
  <c r="Y22" i="51"/>
  <c r="Y21" i="51"/>
  <c r="Y20" i="51"/>
  <c r="Y19" i="51"/>
  <c r="Y18" i="51"/>
  <c r="Y17" i="51"/>
  <c r="Y16" i="51"/>
  <c r="Y15" i="51"/>
  <c r="Y14" i="51"/>
  <c r="Y13" i="51"/>
  <c r="Y12" i="51"/>
  <c r="Y10" i="51"/>
  <c r="Y9" i="51"/>
  <c r="Y8" i="51"/>
  <c r="Y7" i="51"/>
  <c r="Y6" i="51"/>
  <c r="Y5" i="51"/>
  <c r="V369" i="51"/>
  <c r="V368" i="51"/>
  <c r="V367" i="51"/>
  <c r="V366" i="51"/>
  <c r="V365" i="51"/>
  <c r="V364" i="51"/>
  <c r="V363" i="51"/>
  <c r="V362" i="51"/>
  <c r="V361" i="51"/>
  <c r="V360" i="51"/>
  <c r="V359" i="51"/>
  <c r="V358" i="51"/>
  <c r="V357" i="51"/>
  <c r="V356" i="51"/>
  <c r="V355" i="51"/>
  <c r="V354" i="51"/>
  <c r="V353" i="51"/>
  <c r="V352" i="51"/>
  <c r="V351" i="51"/>
  <c r="V350" i="51"/>
  <c r="V349" i="51"/>
  <c r="V348" i="51"/>
  <c r="V347" i="51"/>
  <c r="V346" i="51"/>
  <c r="V345" i="51"/>
  <c r="V344" i="51"/>
  <c r="V343" i="51"/>
  <c r="V342" i="51"/>
  <c r="V341" i="51"/>
  <c r="V340" i="51"/>
  <c r="V339" i="51"/>
  <c r="V338" i="51"/>
  <c r="V337" i="51"/>
  <c r="V336" i="51"/>
  <c r="V335" i="51"/>
  <c r="V334" i="51"/>
  <c r="V333" i="51"/>
  <c r="V332" i="51"/>
  <c r="V331" i="51"/>
  <c r="V330" i="51"/>
  <c r="V329" i="51"/>
  <c r="V328" i="51"/>
  <c r="V327" i="51"/>
  <c r="V326" i="51"/>
  <c r="V325" i="51"/>
  <c r="V324" i="51"/>
  <c r="V323" i="51"/>
  <c r="V322" i="51"/>
  <c r="V321" i="51"/>
  <c r="V320" i="51"/>
  <c r="V319" i="51"/>
  <c r="V318" i="51"/>
  <c r="V317" i="51"/>
  <c r="V316" i="51"/>
  <c r="V315" i="51"/>
  <c r="V314" i="51"/>
  <c r="V313" i="51"/>
  <c r="V312" i="51"/>
  <c r="V311" i="51"/>
  <c r="V310" i="51"/>
  <c r="V309" i="51"/>
  <c r="V308" i="51"/>
  <c r="V307" i="51"/>
  <c r="V306" i="51"/>
  <c r="V305" i="51"/>
  <c r="V304" i="51"/>
  <c r="V303" i="51"/>
  <c r="V302" i="51"/>
  <c r="V301" i="51"/>
  <c r="V300" i="51"/>
  <c r="V299" i="51"/>
  <c r="V298" i="51"/>
  <c r="V297" i="51"/>
  <c r="V296" i="51"/>
  <c r="V295" i="51"/>
  <c r="V294" i="51"/>
  <c r="V293" i="51"/>
  <c r="V292" i="51"/>
  <c r="V291" i="51"/>
  <c r="V290" i="51"/>
  <c r="V289" i="51"/>
  <c r="V288" i="51"/>
  <c r="V287" i="51"/>
  <c r="V286" i="51"/>
  <c r="V285" i="51"/>
  <c r="V284" i="51"/>
  <c r="V283" i="51"/>
  <c r="V282" i="51"/>
  <c r="V281" i="51"/>
  <c r="V280" i="51"/>
  <c r="V279" i="51"/>
  <c r="V278" i="51"/>
  <c r="V277" i="51"/>
  <c r="V276" i="51"/>
  <c r="V275" i="51"/>
  <c r="V274" i="51"/>
  <c r="V273" i="51"/>
  <c r="V272" i="51"/>
  <c r="V271" i="51"/>
  <c r="V270" i="51"/>
  <c r="V269" i="51"/>
  <c r="V268" i="51"/>
  <c r="V267" i="51"/>
  <c r="V266" i="51"/>
  <c r="V265" i="51"/>
  <c r="V264" i="51"/>
  <c r="V263" i="51"/>
  <c r="V262" i="51"/>
  <c r="V261" i="51"/>
  <c r="V260" i="51"/>
  <c r="V259" i="51"/>
  <c r="V258" i="51"/>
  <c r="V257" i="51"/>
  <c r="V256" i="51"/>
  <c r="V255" i="51"/>
  <c r="V254" i="51"/>
  <c r="V253" i="51"/>
  <c r="V252" i="51"/>
  <c r="V251" i="51"/>
  <c r="V250" i="51"/>
  <c r="V249" i="51"/>
  <c r="V248" i="51"/>
  <c r="V247" i="51"/>
  <c r="V246" i="51"/>
  <c r="V245" i="51"/>
  <c r="V244" i="51"/>
  <c r="V243" i="51"/>
  <c r="V242" i="51"/>
  <c r="V241" i="51"/>
  <c r="V240" i="51"/>
  <c r="V239" i="51"/>
  <c r="V238" i="51"/>
  <c r="V237" i="51"/>
  <c r="V236" i="51"/>
  <c r="V235" i="51"/>
  <c r="V234" i="51"/>
  <c r="V233" i="51"/>
  <c r="V232" i="51"/>
  <c r="V231" i="51"/>
  <c r="V230" i="51"/>
  <c r="V229" i="51"/>
  <c r="V228" i="51"/>
  <c r="V227" i="51"/>
  <c r="V226" i="51"/>
  <c r="V225" i="51"/>
  <c r="V224" i="51"/>
  <c r="V223" i="51"/>
  <c r="V222" i="51"/>
  <c r="V221" i="51"/>
  <c r="V220" i="51"/>
  <c r="V219" i="51"/>
  <c r="V218" i="51"/>
  <c r="V217" i="51"/>
  <c r="V216" i="51"/>
  <c r="V215" i="51"/>
  <c r="V214" i="51"/>
  <c r="V213" i="51"/>
  <c r="V212" i="51"/>
  <c r="V211" i="51"/>
  <c r="V210" i="51"/>
  <c r="V209" i="51"/>
  <c r="V208" i="51"/>
  <c r="V207" i="51"/>
  <c r="V206" i="51"/>
  <c r="V205" i="51"/>
  <c r="V204" i="51"/>
  <c r="V203" i="51"/>
  <c r="V202" i="51"/>
  <c r="V201" i="51"/>
  <c r="V200" i="51"/>
  <c r="V199" i="51"/>
  <c r="V198" i="51"/>
  <c r="V197" i="51"/>
  <c r="V196" i="51"/>
  <c r="V195" i="51"/>
  <c r="V194" i="51"/>
  <c r="V193" i="51"/>
  <c r="V192" i="51"/>
  <c r="V191" i="51"/>
  <c r="V190" i="51"/>
  <c r="V189" i="51"/>
  <c r="V188" i="51"/>
  <c r="V187" i="51"/>
  <c r="V186" i="51"/>
  <c r="V185" i="51"/>
  <c r="V184" i="51"/>
  <c r="V183" i="51"/>
  <c r="V182" i="51"/>
  <c r="V181" i="51"/>
  <c r="V180" i="51"/>
  <c r="V179" i="51"/>
  <c r="V178" i="51"/>
  <c r="V177" i="51"/>
  <c r="V176" i="51"/>
  <c r="V175" i="51"/>
  <c r="V174" i="51"/>
  <c r="V173" i="51"/>
  <c r="V172" i="51"/>
  <c r="V171" i="51"/>
  <c r="V170" i="51"/>
  <c r="V169" i="51"/>
  <c r="V168" i="51"/>
  <c r="V167" i="51"/>
  <c r="V166" i="51"/>
  <c r="V165" i="51"/>
  <c r="V164" i="51"/>
  <c r="V163" i="51"/>
  <c r="V162" i="51"/>
  <c r="V161" i="51"/>
  <c r="V160" i="51"/>
  <c r="V159" i="51"/>
  <c r="V158" i="51"/>
  <c r="V157" i="51"/>
  <c r="V156" i="51"/>
  <c r="V155" i="51"/>
  <c r="V154" i="51"/>
  <c r="V153" i="51"/>
  <c r="V152" i="51"/>
  <c r="V151" i="51"/>
  <c r="V150" i="51"/>
  <c r="V149" i="51"/>
  <c r="V148" i="51"/>
  <c r="V147" i="51"/>
  <c r="V146" i="51"/>
  <c r="V145" i="51"/>
  <c r="V144" i="51"/>
  <c r="V143" i="51"/>
  <c r="V142" i="51"/>
  <c r="V141" i="51"/>
  <c r="V140" i="51"/>
  <c r="V139" i="51"/>
  <c r="V138" i="51"/>
  <c r="V137" i="51"/>
  <c r="V136" i="51"/>
  <c r="V135" i="51"/>
  <c r="V134" i="51"/>
  <c r="V133" i="51"/>
  <c r="V132" i="51"/>
  <c r="V131" i="51"/>
  <c r="V130" i="51"/>
  <c r="V129" i="51"/>
  <c r="V128" i="51"/>
  <c r="V127" i="51"/>
  <c r="V126" i="51"/>
  <c r="V125" i="51"/>
  <c r="V124" i="51"/>
  <c r="V123" i="51"/>
  <c r="V122" i="51"/>
  <c r="V121" i="51"/>
  <c r="V120" i="51"/>
  <c r="V119" i="51"/>
  <c r="V118" i="51"/>
  <c r="V117" i="51"/>
  <c r="V116" i="51"/>
  <c r="V115" i="51"/>
  <c r="V114" i="51"/>
  <c r="V113" i="51"/>
  <c r="V112" i="51"/>
  <c r="V111" i="51"/>
  <c r="V110" i="51"/>
  <c r="V109" i="51"/>
  <c r="V108" i="51"/>
  <c r="V107" i="51"/>
  <c r="V106" i="51"/>
  <c r="V105" i="51"/>
  <c r="V104" i="51"/>
  <c r="V103" i="51"/>
  <c r="V102" i="51"/>
  <c r="V101" i="51"/>
  <c r="V100" i="51"/>
  <c r="V99" i="51"/>
  <c r="V98" i="51"/>
  <c r="V97" i="51"/>
  <c r="V96" i="51"/>
  <c r="V95" i="51"/>
  <c r="V94" i="51"/>
  <c r="V93" i="51"/>
  <c r="V92" i="51"/>
  <c r="V91" i="51"/>
  <c r="V90" i="51"/>
  <c r="V89" i="51"/>
  <c r="V88" i="51"/>
  <c r="V87" i="51"/>
  <c r="V86" i="51"/>
  <c r="V85" i="51"/>
  <c r="V84" i="51"/>
  <c r="V83" i="51"/>
  <c r="V82" i="51"/>
  <c r="V81" i="51"/>
  <c r="V80" i="51"/>
  <c r="V79" i="51"/>
  <c r="V78" i="51"/>
  <c r="V77" i="51"/>
  <c r="V76" i="51"/>
  <c r="V75" i="51"/>
  <c r="V74" i="51"/>
  <c r="V73" i="51"/>
  <c r="V72" i="51"/>
  <c r="V71" i="51"/>
  <c r="V70" i="51"/>
  <c r="V69" i="51"/>
  <c r="V68" i="51"/>
  <c r="V67" i="51"/>
  <c r="V66" i="51"/>
  <c r="V65" i="51"/>
  <c r="V64" i="51"/>
  <c r="V63" i="51"/>
  <c r="V62" i="51"/>
  <c r="V61" i="51"/>
  <c r="V60" i="51"/>
  <c r="V59" i="51"/>
  <c r="V58" i="51"/>
  <c r="V57" i="51"/>
  <c r="V56" i="51"/>
  <c r="V55" i="51"/>
  <c r="V54" i="51"/>
  <c r="V53" i="51"/>
  <c r="V52" i="51"/>
  <c r="V51" i="51"/>
  <c r="V50" i="51"/>
  <c r="V49" i="51"/>
  <c r="V48" i="51"/>
  <c r="V47" i="51"/>
  <c r="V46" i="51"/>
  <c r="V45" i="51"/>
  <c r="V43" i="51"/>
  <c r="V42" i="51"/>
  <c r="V41" i="51"/>
  <c r="V36" i="51"/>
  <c r="V35" i="51"/>
  <c r="V34" i="51"/>
  <c r="V29" i="51"/>
  <c r="V28" i="51"/>
  <c r="V27" i="51"/>
  <c r="V26" i="51"/>
  <c r="V25" i="51"/>
  <c r="V24" i="51"/>
  <c r="V22" i="51"/>
  <c r="V21" i="51"/>
  <c r="V20" i="51"/>
  <c r="V19" i="51"/>
  <c r="V18" i="51"/>
  <c r="V17" i="51"/>
  <c r="V16" i="51"/>
  <c r="V15" i="51"/>
  <c r="V14" i="51"/>
  <c r="V13" i="51"/>
  <c r="V12" i="51"/>
  <c r="V10" i="51"/>
  <c r="V9" i="51"/>
  <c r="V8" i="51"/>
  <c r="V7" i="51"/>
  <c r="V6" i="51"/>
  <c r="V5" i="51"/>
  <c r="S5" i="51"/>
  <c r="S12" i="51"/>
  <c r="S14" i="51"/>
  <c r="S16" i="51"/>
  <c r="S18" i="51"/>
  <c r="S20" i="51"/>
  <c r="S22" i="51"/>
  <c r="S24" i="51"/>
  <c r="S26" i="51"/>
  <c r="S28" i="51"/>
  <c r="S34" i="51"/>
  <c r="S36" i="51"/>
  <c r="S42" i="51"/>
  <c r="S46" i="51"/>
  <c r="S48" i="51"/>
  <c r="S50" i="51"/>
  <c r="S52" i="51"/>
  <c r="S54" i="51"/>
  <c r="S56" i="51"/>
  <c r="S58" i="51"/>
  <c r="S60" i="51"/>
  <c r="S62" i="51"/>
  <c r="S64" i="51"/>
  <c r="S66" i="51"/>
  <c r="S68" i="51"/>
  <c r="S70" i="51"/>
  <c r="S72" i="51"/>
  <c r="S74" i="51"/>
  <c r="S76" i="51"/>
  <c r="S78" i="51"/>
  <c r="S80" i="51"/>
  <c r="S82" i="51"/>
  <c r="S84" i="51"/>
  <c r="S86" i="51"/>
  <c r="S88" i="51"/>
  <c r="S90" i="51"/>
  <c r="S92" i="51"/>
  <c r="S94" i="51"/>
  <c r="S96" i="51"/>
  <c r="S98" i="51"/>
  <c r="S100" i="51"/>
  <c r="S102" i="51"/>
  <c r="S104" i="51"/>
  <c r="S106" i="51"/>
  <c r="S108" i="51"/>
  <c r="S110" i="51"/>
  <c r="S112" i="51"/>
  <c r="S114" i="51"/>
  <c r="S116" i="51"/>
  <c r="S118" i="51"/>
  <c r="S120" i="51"/>
  <c r="S122" i="51"/>
  <c r="S124" i="51"/>
  <c r="S126" i="51"/>
  <c r="S128" i="51"/>
  <c r="S130" i="51"/>
  <c r="S132" i="51"/>
  <c r="S134" i="51"/>
  <c r="S136" i="51"/>
  <c r="S138" i="51"/>
  <c r="S140" i="51"/>
  <c r="S142" i="51"/>
  <c r="S144" i="51"/>
  <c r="S146" i="51"/>
  <c r="S148" i="51"/>
  <c r="S150" i="51"/>
  <c r="S152" i="51"/>
  <c r="S154" i="51"/>
  <c r="S156" i="51"/>
  <c r="S158" i="51"/>
  <c r="S160" i="51"/>
  <c r="S162" i="51"/>
  <c r="S164" i="51"/>
  <c r="S166" i="51"/>
  <c r="S168" i="51"/>
  <c r="S170" i="51"/>
  <c r="S172" i="51"/>
  <c r="S174" i="51"/>
  <c r="S176" i="51"/>
  <c r="S178" i="51"/>
  <c r="S180" i="51"/>
  <c r="S182" i="51"/>
  <c r="S184" i="51"/>
  <c r="S186" i="51"/>
  <c r="S188" i="51"/>
  <c r="S190" i="51"/>
  <c r="S192" i="51"/>
  <c r="S194" i="51"/>
  <c r="S196" i="51"/>
  <c r="S198" i="51"/>
  <c r="S200" i="51"/>
  <c r="S202" i="51"/>
  <c r="S204" i="51"/>
  <c r="S206" i="51"/>
  <c r="S208" i="51"/>
  <c r="S210" i="51"/>
  <c r="S212" i="51"/>
  <c r="S214" i="51"/>
  <c r="S216" i="51"/>
  <c r="S218" i="51"/>
  <c r="S220" i="51"/>
  <c r="S222" i="51"/>
  <c r="S224" i="51"/>
  <c r="S226" i="51"/>
  <c r="S228" i="51"/>
  <c r="S230" i="51"/>
  <c r="S232" i="51"/>
  <c r="S234" i="51"/>
  <c r="S236" i="51"/>
  <c r="S238" i="51"/>
  <c r="S240" i="51"/>
  <c r="S242" i="51"/>
  <c r="S244" i="51"/>
  <c r="S246" i="51"/>
  <c r="S248" i="51"/>
  <c r="S250" i="51"/>
  <c r="S252" i="51"/>
  <c r="S254" i="51"/>
  <c r="S256" i="51"/>
  <c r="S258" i="51"/>
  <c r="S260" i="51"/>
  <c r="S262" i="51"/>
  <c r="S264" i="51"/>
  <c r="S266" i="51"/>
  <c r="S268" i="51"/>
  <c r="S270" i="51"/>
  <c r="S272" i="51"/>
  <c r="S274" i="51"/>
  <c r="S276" i="51"/>
  <c r="S278" i="51"/>
  <c r="S280" i="51"/>
  <c r="S282" i="51"/>
  <c r="S284" i="51"/>
  <c r="S286" i="51"/>
  <c r="S288" i="51"/>
  <c r="S290" i="51"/>
  <c r="S292" i="51"/>
  <c r="S294" i="51"/>
  <c r="S296" i="51"/>
  <c r="S298" i="51"/>
  <c r="S300" i="51"/>
  <c r="S302" i="51"/>
  <c r="S304" i="51"/>
  <c r="S306" i="51"/>
  <c r="S308" i="51"/>
  <c r="S310" i="51"/>
  <c r="S312" i="51"/>
  <c r="S314" i="51"/>
  <c r="S316" i="51"/>
  <c r="S318" i="51"/>
  <c r="S320" i="51"/>
  <c r="S322" i="51"/>
  <c r="S324" i="51"/>
  <c r="S326" i="51"/>
  <c r="S328" i="51"/>
  <c r="S330" i="51"/>
  <c r="S332" i="51"/>
  <c r="S334" i="51"/>
  <c r="S336" i="51"/>
  <c r="S338" i="51"/>
  <c r="S339" i="51"/>
  <c r="S341" i="51"/>
  <c r="S343" i="51"/>
  <c r="S345" i="51"/>
  <c r="S347" i="51"/>
  <c r="S349" i="51"/>
  <c r="S351" i="51"/>
  <c r="S353" i="51"/>
  <c r="S355" i="51"/>
  <c r="S357" i="51"/>
  <c r="S359" i="51"/>
  <c r="S361" i="51"/>
  <c r="S363" i="51"/>
  <c r="S365" i="51"/>
  <c r="S367" i="51"/>
  <c r="S8" i="51"/>
  <c r="S10" i="51"/>
  <c r="S7" i="51"/>
  <c r="T6" i="51"/>
  <c r="Z18" i="51"/>
  <c r="Z8" i="51"/>
  <c r="Z7" i="51"/>
  <c r="Z6" i="51"/>
  <c r="W369" i="51"/>
  <c r="W368" i="51"/>
  <c r="W367" i="51"/>
  <c r="W366" i="51"/>
  <c r="W364" i="51"/>
  <c r="W363" i="51"/>
  <c r="W362" i="51"/>
  <c r="W360" i="51"/>
  <c r="W359" i="51"/>
  <c r="W358" i="51"/>
  <c r="W356" i="51"/>
  <c r="W355" i="51"/>
  <c r="W353" i="51"/>
  <c r="W352" i="51"/>
  <c r="W351" i="51"/>
  <c r="W349" i="51"/>
  <c r="W348" i="51"/>
  <c r="W347" i="51"/>
  <c r="W345" i="51"/>
  <c r="W344" i="51"/>
  <c r="W343" i="51"/>
  <c r="W341" i="51"/>
  <c r="W340" i="51"/>
  <c r="W339" i="51"/>
  <c r="W338" i="51"/>
  <c r="W333" i="51"/>
  <c r="W331" i="51"/>
  <c r="W330" i="51"/>
  <c r="W328" i="51"/>
  <c r="W327" i="51"/>
  <c r="W325" i="51"/>
  <c r="W324" i="51"/>
  <c r="W322" i="51"/>
  <c r="W320" i="51"/>
  <c r="W319" i="51"/>
  <c r="W317" i="51"/>
  <c r="W316" i="51"/>
  <c r="W314" i="51"/>
  <c r="W313" i="51"/>
  <c r="W311" i="51"/>
  <c r="W309" i="51"/>
  <c r="W308" i="51"/>
  <c r="W306" i="51"/>
  <c r="W305" i="51"/>
  <c r="W303" i="51"/>
  <c r="W302" i="51"/>
  <c r="W300" i="51"/>
  <c r="W299" i="51"/>
  <c r="W297" i="51"/>
  <c r="W296" i="51"/>
  <c r="W294" i="51"/>
  <c r="W292" i="51"/>
  <c r="W291" i="51"/>
  <c r="W289" i="51"/>
  <c r="W288" i="51"/>
  <c r="W286" i="51"/>
  <c r="W204" i="51"/>
  <c r="W196" i="51"/>
  <c r="W195" i="51"/>
  <c r="W193" i="51"/>
  <c r="W192" i="51"/>
  <c r="W191" i="51"/>
  <c r="W189" i="51"/>
  <c r="W188" i="51"/>
  <c r="W187" i="51"/>
  <c r="W185" i="51"/>
  <c r="W184" i="51"/>
  <c r="W183" i="51"/>
  <c r="W181" i="51"/>
  <c r="W180" i="51"/>
  <c r="W179" i="51"/>
  <c r="W177" i="51"/>
  <c r="W176" i="51"/>
  <c r="W175" i="51"/>
  <c r="W173" i="51"/>
  <c r="W172" i="51"/>
  <c r="W170" i="51"/>
  <c r="W169" i="51"/>
  <c r="W167" i="51"/>
  <c r="W166" i="51"/>
  <c r="W165" i="51"/>
  <c r="W163" i="51"/>
  <c r="W162" i="51"/>
  <c r="W161" i="51"/>
  <c r="W159" i="51"/>
  <c r="W158" i="51"/>
  <c r="W156" i="51"/>
  <c r="W155" i="51"/>
  <c r="W153" i="51"/>
  <c r="W152" i="51"/>
  <c r="W151" i="51"/>
  <c r="W149" i="51"/>
  <c r="W148" i="51"/>
  <c r="W147" i="51"/>
  <c r="W145" i="51"/>
  <c r="W144" i="51"/>
  <c r="W142" i="51"/>
  <c r="W141" i="51"/>
  <c r="W140" i="51"/>
  <c r="W138" i="51"/>
  <c r="W137" i="51"/>
  <c r="W136" i="51"/>
  <c r="W134" i="51"/>
  <c r="W133" i="51"/>
  <c r="W131" i="51"/>
  <c r="W130" i="51"/>
  <c r="W129" i="51"/>
  <c r="W127" i="51"/>
  <c r="W126" i="51"/>
  <c r="W125" i="51"/>
  <c r="W123" i="51"/>
  <c r="W122" i="51"/>
  <c r="W120" i="51"/>
  <c r="W119" i="51"/>
  <c r="W117" i="51"/>
  <c r="W116" i="51"/>
  <c r="W115" i="51"/>
  <c r="W113" i="51"/>
  <c r="W112" i="51"/>
  <c r="W110" i="51"/>
  <c r="W109" i="51"/>
  <c r="W107" i="51"/>
  <c r="W106" i="51"/>
  <c r="W105" i="51"/>
  <c r="W103" i="51"/>
  <c r="W102" i="51"/>
  <c r="W101" i="51"/>
  <c r="W99" i="51"/>
  <c r="W98" i="51"/>
  <c r="W97" i="51"/>
  <c r="W95" i="51"/>
  <c r="W94" i="51"/>
  <c r="W93" i="51"/>
  <c r="W91" i="51"/>
  <c r="W90" i="51"/>
  <c r="W88" i="51"/>
  <c r="W87" i="51"/>
  <c r="W86" i="51"/>
  <c r="W84" i="51"/>
  <c r="W83" i="51"/>
  <c r="W81" i="51"/>
  <c r="W80" i="51"/>
  <c r="W78" i="51"/>
  <c r="W77" i="51"/>
  <c r="W76" i="51"/>
  <c r="W74" i="51"/>
  <c r="W73" i="51"/>
  <c r="W71" i="51"/>
  <c r="W70" i="51"/>
  <c r="W69" i="51"/>
  <c r="W67" i="51"/>
  <c r="W66" i="51"/>
  <c r="W65" i="51"/>
  <c r="W63" i="51"/>
  <c r="W62" i="51"/>
  <c r="W60" i="51"/>
  <c r="W59" i="51"/>
  <c r="W58" i="51"/>
  <c r="W56" i="51"/>
  <c r="W55" i="51"/>
  <c r="W54" i="51"/>
  <c r="W52" i="51"/>
  <c r="W51" i="51"/>
  <c r="W50" i="51"/>
  <c r="W48" i="51"/>
  <c r="W47" i="51"/>
  <c r="W45" i="51"/>
  <c r="W43" i="51"/>
  <c r="W41" i="51"/>
  <c r="W36" i="51"/>
  <c r="W34" i="51"/>
  <c r="W29" i="51"/>
  <c r="W27" i="51"/>
  <c r="W26" i="51"/>
  <c r="W25" i="51"/>
  <c r="W22" i="51"/>
  <c r="W21" i="51"/>
  <c r="W19" i="51"/>
  <c r="W18" i="51"/>
  <c r="W16" i="51"/>
  <c r="W15" i="51"/>
  <c r="W14" i="51"/>
  <c r="W12" i="51"/>
  <c r="W9" i="51"/>
  <c r="W8" i="51"/>
  <c r="W6" i="51"/>
  <c r="W5" i="51"/>
  <c r="T5" i="51"/>
  <c r="S369" i="51"/>
  <c r="S13" i="51"/>
  <c r="S17" i="51"/>
  <c r="S19" i="51"/>
  <c r="S21" i="51"/>
  <c r="S27" i="51"/>
  <c r="S29" i="51"/>
  <c r="S41" i="51"/>
  <c r="S45" i="51"/>
  <c r="S47" i="51"/>
  <c r="S49" i="51"/>
  <c r="S51" i="51"/>
  <c r="S55" i="51"/>
  <c r="S57" i="51"/>
  <c r="S61" i="51"/>
  <c r="S63" i="51"/>
  <c r="S65" i="51"/>
  <c r="S67" i="51"/>
  <c r="S71" i="51"/>
  <c r="S73" i="51"/>
  <c r="S75" i="51"/>
  <c r="S79" i="51"/>
  <c r="S81" i="51"/>
  <c r="S83" i="51"/>
  <c r="S85" i="51"/>
  <c r="S89" i="51"/>
  <c r="S91" i="51"/>
  <c r="S93" i="51"/>
  <c r="S95" i="51"/>
  <c r="S99" i="51"/>
  <c r="S101" i="51"/>
  <c r="S103" i="51"/>
  <c r="S105" i="51"/>
  <c r="S109" i="51"/>
  <c r="S111" i="51"/>
  <c r="S113" i="51"/>
  <c r="S115" i="51"/>
  <c r="S119" i="51"/>
  <c r="S121" i="51"/>
  <c r="S123" i="51"/>
  <c r="S127" i="51"/>
  <c r="S129" i="51"/>
  <c r="S131" i="51"/>
  <c r="S133" i="51"/>
  <c r="S137" i="51"/>
  <c r="S139" i="51"/>
  <c r="S141" i="51"/>
  <c r="S143" i="51"/>
  <c r="S147" i="51"/>
  <c r="S149" i="51"/>
  <c r="S151" i="51"/>
  <c r="S155" i="51"/>
  <c r="S157" i="51"/>
  <c r="S159" i="51"/>
  <c r="S163" i="51"/>
  <c r="S165" i="51"/>
  <c r="S167" i="51"/>
  <c r="S171" i="51"/>
  <c r="S173" i="51"/>
  <c r="S175" i="51"/>
  <c r="S179" i="51"/>
  <c r="S181" i="51"/>
  <c r="S183" i="51"/>
  <c r="S185" i="51"/>
  <c r="S189" i="51"/>
  <c r="S191" i="51"/>
  <c r="S193" i="51"/>
  <c r="S197" i="51"/>
  <c r="S199" i="51"/>
  <c r="S203" i="51"/>
  <c r="S205" i="51"/>
  <c r="S207" i="51"/>
  <c r="S211" i="51"/>
  <c r="S213" i="51"/>
  <c r="S217" i="51"/>
  <c r="S219" i="51"/>
  <c r="S221" i="51"/>
  <c r="S225" i="51"/>
  <c r="S227" i="51"/>
  <c r="S229" i="51"/>
  <c r="S233" i="51"/>
  <c r="S235" i="51"/>
  <c r="S237" i="51"/>
  <c r="S239" i="51"/>
  <c r="S243" i="51"/>
  <c r="S245" i="51"/>
  <c r="S247" i="51"/>
  <c r="S251" i="51"/>
  <c r="S253" i="51"/>
  <c r="S257" i="51"/>
  <c r="S259" i="51"/>
  <c r="S263" i="51"/>
  <c r="S265" i="51"/>
  <c r="S269" i="51"/>
  <c r="S271" i="51"/>
  <c r="S275" i="51"/>
  <c r="S277" i="51"/>
  <c r="S279" i="51"/>
  <c r="S283" i="51"/>
  <c r="S285" i="51"/>
  <c r="S289" i="51"/>
  <c r="S291" i="51"/>
  <c r="S293" i="51"/>
  <c r="S297" i="51"/>
  <c r="S299" i="51"/>
  <c r="S301" i="51"/>
  <c r="S305" i="51"/>
  <c r="S307" i="51"/>
  <c r="S311" i="51"/>
  <c r="S313" i="51"/>
  <c r="S315" i="51"/>
  <c r="S319" i="51"/>
  <c r="S321" i="51"/>
  <c r="S325" i="51"/>
  <c r="S327" i="51"/>
  <c r="S331" i="51"/>
  <c r="S333" i="51"/>
  <c r="S335" i="51"/>
  <c r="S340" i="51"/>
  <c r="S342" i="51"/>
  <c r="S344" i="51"/>
  <c r="S348" i="51"/>
  <c r="S350" i="51"/>
  <c r="S352" i="51"/>
  <c r="S356" i="51"/>
  <c r="S358" i="51"/>
  <c r="S362" i="51"/>
  <c r="S364" i="51"/>
  <c r="S366" i="51"/>
  <c r="S9" i="51"/>
  <c r="S6" i="51"/>
  <c r="T7" i="51"/>
  <c r="T8" i="51"/>
  <c r="T337" i="51"/>
  <c r="F2" i="55"/>
  <c r="AH32" i="51" l="1"/>
  <c r="AH39" i="51"/>
  <c r="AH40" i="51"/>
  <c r="AH33" i="51"/>
  <c r="AH8" i="51"/>
  <c r="AH337" i="51"/>
  <c r="AI7" i="51"/>
  <c r="AH7" i="51"/>
  <c r="AI10" i="51"/>
  <c r="AH6" i="51"/>
  <c r="AH5" i="51"/>
  <c r="O25" i="46"/>
  <c r="O12" i="46"/>
  <c r="Q41" i="59" l="1"/>
  <c r="P41" i="59"/>
  <c r="O41" i="59"/>
  <c r="M41" i="59"/>
  <c r="S40" i="59"/>
  <c r="K40" i="59"/>
  <c r="L40" i="59" s="1"/>
  <c r="N40" i="59" s="1"/>
  <c r="I40" i="59"/>
  <c r="S39" i="59"/>
  <c r="K39" i="59"/>
  <c r="L39" i="59" s="1"/>
  <c r="N39" i="59" s="1"/>
  <c r="I39" i="59"/>
  <c r="S38" i="59"/>
  <c r="K38" i="59"/>
  <c r="L38" i="59" s="1"/>
  <c r="N38" i="59" s="1"/>
  <c r="I38" i="59"/>
  <c r="S37" i="59"/>
  <c r="K37" i="59"/>
  <c r="L37" i="59" s="1"/>
  <c r="N37" i="59" s="1"/>
  <c r="I37" i="59"/>
  <c r="S36" i="59"/>
  <c r="K36" i="59"/>
  <c r="L36" i="59" s="1"/>
  <c r="N36" i="59" s="1"/>
  <c r="I36" i="59"/>
  <c r="S35" i="59"/>
  <c r="K35" i="59"/>
  <c r="L35" i="59" s="1"/>
  <c r="N35" i="59" s="1"/>
  <c r="I35" i="59"/>
  <c r="S34" i="59"/>
  <c r="K34" i="59"/>
  <c r="L34" i="59" s="1"/>
  <c r="N34" i="59" s="1"/>
  <c r="I34" i="59"/>
  <c r="S33" i="59"/>
  <c r="K33" i="59"/>
  <c r="L33" i="59" s="1"/>
  <c r="I33" i="59"/>
  <c r="S32" i="59"/>
  <c r="K32" i="59"/>
  <c r="L32" i="59" s="1"/>
  <c r="N32" i="59" s="1"/>
  <c r="I32" i="59"/>
  <c r="S31" i="59"/>
  <c r="K31" i="59"/>
  <c r="L31" i="59" s="1"/>
  <c r="N31" i="59" s="1"/>
  <c r="I31" i="59"/>
  <c r="S30" i="59"/>
  <c r="K30" i="59"/>
  <c r="L30" i="59" s="1"/>
  <c r="N30" i="59" s="1"/>
  <c r="I30" i="59"/>
  <c r="S29" i="59"/>
  <c r="K29" i="59"/>
  <c r="L29" i="59" s="1"/>
  <c r="N29" i="59" s="1"/>
  <c r="I29" i="59"/>
  <c r="S28" i="59"/>
  <c r="K28" i="59"/>
  <c r="L28" i="59" s="1"/>
  <c r="N28" i="59" s="1"/>
  <c r="I28" i="59"/>
  <c r="S27" i="59"/>
  <c r="K27" i="59"/>
  <c r="L27" i="59" s="1"/>
  <c r="N27" i="59" s="1"/>
  <c r="I27" i="59"/>
  <c r="S26" i="59"/>
  <c r="K26" i="59"/>
  <c r="L26" i="59" s="1"/>
  <c r="N26" i="59" s="1"/>
  <c r="I26" i="59"/>
  <c r="S25" i="59"/>
  <c r="K25" i="59"/>
  <c r="L25" i="59" s="1"/>
  <c r="N25" i="59" s="1"/>
  <c r="I25" i="59"/>
  <c r="S24" i="59"/>
  <c r="K24" i="59"/>
  <c r="L24" i="59" s="1"/>
  <c r="N24" i="59" s="1"/>
  <c r="I24" i="59"/>
  <c r="S23" i="59"/>
  <c r="K23" i="59"/>
  <c r="L23" i="59" s="1"/>
  <c r="N23" i="59" s="1"/>
  <c r="I23" i="59"/>
  <c r="S22" i="59"/>
  <c r="K22" i="59"/>
  <c r="L22" i="59" s="1"/>
  <c r="N22" i="59" s="1"/>
  <c r="I22" i="59"/>
  <c r="S21" i="59"/>
  <c r="K21" i="59"/>
  <c r="L21" i="59" s="1"/>
  <c r="N21" i="59" s="1"/>
  <c r="I21" i="59"/>
  <c r="S20" i="59"/>
  <c r="K20" i="59"/>
  <c r="L20" i="59" s="1"/>
  <c r="N20" i="59" s="1"/>
  <c r="I20" i="59"/>
  <c r="S19" i="59"/>
  <c r="K19" i="59"/>
  <c r="L19" i="59" s="1"/>
  <c r="N19" i="59" s="1"/>
  <c r="I19" i="59"/>
  <c r="S18" i="59"/>
  <c r="K18" i="59"/>
  <c r="L18" i="59" s="1"/>
  <c r="N18" i="59" s="1"/>
  <c r="I18" i="59"/>
  <c r="S17" i="59"/>
  <c r="K17" i="59"/>
  <c r="L17" i="59" s="1"/>
  <c r="N17" i="59" s="1"/>
  <c r="I17" i="59"/>
  <c r="S16" i="59"/>
  <c r="K16" i="59"/>
  <c r="L16" i="59" s="1"/>
  <c r="I16" i="59"/>
  <c r="S15" i="59"/>
  <c r="K15" i="59"/>
  <c r="L15" i="59" s="1"/>
  <c r="I15" i="59"/>
  <c r="S14" i="59"/>
  <c r="K14" i="59"/>
  <c r="L14" i="59" s="1"/>
  <c r="N14" i="59" s="1"/>
  <c r="I14" i="59"/>
  <c r="S13" i="59"/>
  <c r="K13" i="59"/>
  <c r="L13" i="59" s="1"/>
  <c r="I13" i="59"/>
  <c r="S12" i="59"/>
  <c r="K12" i="59"/>
  <c r="L12" i="59" s="1"/>
  <c r="I12" i="59"/>
  <c r="S11" i="59"/>
  <c r="K11" i="59"/>
  <c r="L11" i="59" s="1"/>
  <c r="I11" i="59"/>
  <c r="AA31" i="58"/>
  <c r="R18" i="58"/>
  <c r="N16" i="59" l="1"/>
  <c r="N13" i="59"/>
  <c r="N15" i="59"/>
  <c r="N33" i="59"/>
  <c r="R16" i="58"/>
  <c r="R16" i="65"/>
  <c r="R17" i="65" s="1"/>
  <c r="R15" i="58"/>
  <c r="R15" i="65"/>
  <c r="I41" i="59"/>
  <c r="N12" i="59"/>
  <c r="N11" i="59"/>
  <c r="S41" i="59"/>
  <c r="R17" i="58"/>
  <c r="AM15" i="58" s="1"/>
  <c r="L41" i="59"/>
  <c r="AM15" i="65" l="1"/>
  <c r="N41" i="59"/>
  <c r="R11" i="58" s="1"/>
  <c r="G11" i="55" l="1"/>
  <c r="R11" i="65"/>
  <c r="AM18" i="65" s="1"/>
  <c r="AM18" i="58"/>
  <c r="P31" i="27"/>
  <c r="P30" i="67" s="1"/>
  <c r="W37" i="53"/>
  <c r="K37" i="27" l="1"/>
  <c r="K36" i="27"/>
  <c r="K31" i="27"/>
  <c r="K30" i="67" s="1"/>
  <c r="O21" i="46"/>
  <c r="N21" i="46"/>
  <c r="M21" i="46"/>
  <c r="L21" i="46"/>
  <c r="K21" i="46"/>
  <c r="J21" i="46"/>
  <c r="I21" i="46"/>
  <c r="H21" i="46"/>
  <c r="G21" i="46"/>
  <c r="F21" i="46"/>
  <c r="E21" i="46"/>
  <c r="D21" i="46"/>
  <c r="O20" i="46"/>
  <c r="N20" i="46"/>
  <c r="M20" i="46"/>
  <c r="L20" i="46"/>
  <c r="K20" i="46"/>
  <c r="J20" i="46"/>
  <c r="I20" i="46"/>
  <c r="H20" i="46"/>
  <c r="G20" i="46"/>
  <c r="F20" i="46"/>
  <c r="E20" i="46"/>
  <c r="D20" i="46"/>
  <c r="O13" i="46"/>
  <c r="P76" i="52"/>
  <c r="O76" i="52"/>
  <c r="P75" i="52"/>
  <c r="N76" i="52"/>
  <c r="M76" i="52"/>
  <c r="L76" i="52"/>
  <c r="O75" i="52"/>
  <c r="N75" i="52"/>
  <c r="M75" i="52"/>
  <c r="L75" i="52"/>
  <c r="K75" i="52"/>
  <c r="P18" i="46"/>
  <c r="P28" i="53" l="1"/>
  <c r="X28" i="53" l="1"/>
  <c r="AB9" i="53" l="1"/>
  <c r="AB10" i="53"/>
  <c r="AB11" i="53"/>
  <c r="AB12" i="53"/>
  <c r="AB13" i="53"/>
  <c r="AB14" i="53"/>
  <c r="AB15" i="53"/>
  <c r="AB16" i="53"/>
  <c r="AB17" i="53"/>
  <c r="AB18" i="53"/>
  <c r="AB19" i="53"/>
  <c r="AB20" i="53"/>
  <c r="AB21" i="53"/>
  <c r="AB22" i="53"/>
  <c r="AB23" i="53"/>
  <c r="AB24" i="53"/>
  <c r="AB25" i="53"/>
  <c r="AB26" i="53"/>
  <c r="AB27" i="53"/>
  <c r="Y28" i="53"/>
  <c r="G13" i="55" s="1"/>
  <c r="Z28" i="53"/>
  <c r="W28" i="53"/>
  <c r="W32" i="53" s="1"/>
  <c r="Z32" i="53" l="1"/>
  <c r="Z33" i="53" s="1"/>
  <c r="Z34" i="53" s="1"/>
  <c r="G12" i="55"/>
  <c r="Y32" i="53"/>
  <c r="Y33" i="53" s="1"/>
  <c r="Y34" i="53" s="1"/>
  <c r="AA28" i="53"/>
  <c r="X32" i="53"/>
  <c r="X33" i="53" s="1"/>
  <c r="P32" i="27" l="1"/>
  <c r="P31" i="67" s="1"/>
  <c r="G10" i="55"/>
  <c r="P30" i="27"/>
  <c r="P29" i="67" s="1"/>
  <c r="X34" i="53"/>
  <c r="AA32" i="53"/>
  <c r="P7" i="46"/>
  <c r="Q7" i="46" s="1"/>
  <c r="P8" i="46"/>
  <c r="Q8" i="46" s="1"/>
  <c r="P9" i="46"/>
  <c r="Q9" i="46" s="1"/>
  <c r="P10" i="46"/>
  <c r="Q10" i="46" s="1"/>
  <c r="P11" i="46"/>
  <c r="Q11" i="46" s="1"/>
  <c r="O5" i="46"/>
  <c r="P33" i="27" l="1"/>
  <c r="P32" i="67" s="1"/>
  <c r="D378" i="51"/>
  <c r="D377" i="51"/>
  <c r="D376" i="51"/>
  <c r="M369" i="51"/>
  <c r="L369" i="51"/>
  <c r="J369" i="51"/>
  <c r="L368" i="51"/>
  <c r="M368" i="51"/>
  <c r="L367" i="51"/>
  <c r="M367" i="51"/>
  <c r="L366" i="51"/>
  <c r="M366" i="51"/>
  <c r="L365" i="51"/>
  <c r="L364" i="51"/>
  <c r="M364" i="51"/>
  <c r="L363" i="51"/>
  <c r="M363" i="51"/>
  <c r="M362" i="51"/>
  <c r="L362" i="51"/>
  <c r="J362" i="51"/>
  <c r="L361" i="51"/>
  <c r="J361" i="51"/>
  <c r="L360" i="51"/>
  <c r="J360" i="51"/>
  <c r="M360" i="51"/>
  <c r="N360" i="51" s="1"/>
  <c r="L359" i="51"/>
  <c r="J359" i="51"/>
  <c r="M359" i="51"/>
  <c r="L358" i="51"/>
  <c r="J358" i="51"/>
  <c r="M358" i="51"/>
  <c r="N358" i="51" s="1"/>
  <c r="L357" i="51"/>
  <c r="J357" i="51"/>
  <c r="M357" i="51"/>
  <c r="N357" i="51" s="1"/>
  <c r="L356" i="51"/>
  <c r="J356" i="51"/>
  <c r="M356" i="51"/>
  <c r="N356" i="51" s="1"/>
  <c r="M355" i="51"/>
  <c r="N355" i="51" s="1"/>
  <c r="L355" i="51"/>
  <c r="J355" i="51"/>
  <c r="L354" i="51"/>
  <c r="M354" i="51"/>
  <c r="L353" i="51"/>
  <c r="J353" i="51"/>
  <c r="M353" i="51"/>
  <c r="N353" i="51" s="1"/>
  <c r="L352" i="51"/>
  <c r="J352" i="51"/>
  <c r="M352" i="51"/>
  <c r="L351" i="51"/>
  <c r="J351" i="51"/>
  <c r="M351" i="51"/>
  <c r="N351" i="51" s="1"/>
  <c r="L350" i="51"/>
  <c r="J350" i="51"/>
  <c r="M350" i="51"/>
  <c r="N350" i="51" s="1"/>
  <c r="L349" i="51"/>
  <c r="J349" i="51"/>
  <c r="M349" i="51"/>
  <c r="N349" i="51" s="1"/>
  <c r="M348" i="51"/>
  <c r="N348" i="51" s="1"/>
  <c r="L348" i="51"/>
  <c r="J348" i="51"/>
  <c r="L347" i="51"/>
  <c r="M347" i="51"/>
  <c r="L346" i="51"/>
  <c r="J346" i="51"/>
  <c r="M346" i="51"/>
  <c r="N346" i="51" s="1"/>
  <c r="L345" i="51"/>
  <c r="J345" i="51"/>
  <c r="M345" i="51"/>
  <c r="L344" i="51"/>
  <c r="J344" i="51"/>
  <c r="M344" i="51"/>
  <c r="N344" i="51" s="1"/>
  <c r="L343" i="51"/>
  <c r="J343" i="51"/>
  <c r="M343" i="51"/>
  <c r="N343" i="51" s="1"/>
  <c r="L342" i="51"/>
  <c r="J342" i="51"/>
  <c r="M342" i="51"/>
  <c r="N342" i="51" s="1"/>
  <c r="M341" i="51"/>
  <c r="N341" i="51" s="1"/>
  <c r="L341" i="51"/>
  <c r="J341" i="51"/>
  <c r="L340" i="51"/>
  <c r="M340" i="51"/>
  <c r="L339" i="51"/>
  <c r="J339" i="51"/>
  <c r="M339" i="51"/>
  <c r="L338" i="51"/>
  <c r="J338" i="51"/>
  <c r="M338" i="51"/>
  <c r="L336" i="51"/>
  <c r="J336" i="51"/>
  <c r="M336" i="51"/>
  <c r="N336" i="51" s="1"/>
  <c r="M335" i="51"/>
  <c r="N335" i="51" s="1"/>
  <c r="L335" i="51"/>
  <c r="J335" i="51"/>
  <c r="L334" i="51"/>
  <c r="M334" i="51"/>
  <c r="M333" i="51"/>
  <c r="N333" i="51" s="1"/>
  <c r="L333" i="51"/>
  <c r="J333" i="51"/>
  <c r="L332" i="51"/>
  <c r="J332" i="51"/>
  <c r="M332" i="51"/>
  <c r="N332" i="51" s="1"/>
  <c r="L331" i="51"/>
  <c r="J331" i="51"/>
  <c r="M331" i="51"/>
  <c r="L330" i="51"/>
  <c r="J330" i="51"/>
  <c r="M330" i="51"/>
  <c r="N330" i="51" s="1"/>
  <c r="L329" i="51"/>
  <c r="J329" i="51"/>
  <c r="M329" i="51"/>
  <c r="N329" i="51" s="1"/>
  <c r="M328" i="51"/>
  <c r="N328" i="51" s="1"/>
  <c r="L328" i="51"/>
  <c r="J328" i="51"/>
  <c r="L327" i="51"/>
  <c r="M327" i="51"/>
  <c r="L326" i="51"/>
  <c r="J326" i="51"/>
  <c r="M326" i="51"/>
  <c r="N326" i="51" s="1"/>
  <c r="L325" i="51"/>
  <c r="J325" i="51"/>
  <c r="M325" i="51"/>
  <c r="N325" i="51" s="1"/>
  <c r="L324" i="51"/>
  <c r="J324" i="51"/>
  <c r="M324" i="51"/>
  <c r="L323" i="51"/>
  <c r="J323" i="51"/>
  <c r="M323" i="51"/>
  <c r="N323" i="51" s="1"/>
  <c r="M322" i="51"/>
  <c r="N322" i="51" s="1"/>
  <c r="L322" i="51"/>
  <c r="J322" i="51"/>
  <c r="M321" i="51"/>
  <c r="N321" i="51" s="1"/>
  <c r="L321" i="51"/>
  <c r="J321" i="51"/>
  <c r="L320" i="51"/>
  <c r="J320" i="51"/>
  <c r="M320" i="51"/>
  <c r="L319" i="51"/>
  <c r="J319" i="51"/>
  <c r="M319" i="51"/>
  <c r="N319" i="51" s="1"/>
  <c r="L318" i="51"/>
  <c r="J318" i="51"/>
  <c r="M318" i="51"/>
  <c r="N318" i="51" s="1"/>
  <c r="L317" i="51"/>
  <c r="J317" i="51"/>
  <c r="M317" i="51"/>
  <c r="L316" i="51"/>
  <c r="J316" i="51"/>
  <c r="M316" i="51"/>
  <c r="N316" i="51" s="1"/>
  <c r="L315" i="51"/>
  <c r="J315" i="51"/>
  <c r="M315" i="51"/>
  <c r="N315" i="51" s="1"/>
  <c r="M314" i="51"/>
  <c r="N314" i="51" s="1"/>
  <c r="L314" i="51"/>
  <c r="J314" i="51"/>
  <c r="L313" i="51"/>
  <c r="M313" i="51"/>
  <c r="L312" i="51"/>
  <c r="J312" i="51"/>
  <c r="M312" i="51"/>
  <c r="N312" i="51" s="1"/>
  <c r="L311" i="51"/>
  <c r="J311" i="51"/>
  <c r="M311" i="51"/>
  <c r="L310" i="51"/>
  <c r="J310" i="51"/>
  <c r="M310" i="51"/>
  <c r="L309" i="51"/>
  <c r="J309" i="51"/>
  <c r="M309" i="51"/>
  <c r="N309" i="51" s="1"/>
  <c r="L308" i="51"/>
  <c r="J308" i="51"/>
  <c r="M308" i="51"/>
  <c r="N308" i="51" s="1"/>
  <c r="M307" i="51"/>
  <c r="N307" i="51" s="1"/>
  <c r="L307" i="51"/>
  <c r="J307" i="51"/>
  <c r="L306" i="51"/>
  <c r="M306" i="51"/>
  <c r="L305" i="51"/>
  <c r="J305" i="51"/>
  <c r="M305" i="51"/>
  <c r="L304" i="51"/>
  <c r="J304" i="51"/>
  <c r="M304" i="51"/>
  <c r="L303" i="51"/>
  <c r="J303" i="51"/>
  <c r="M303" i="51"/>
  <c r="L302" i="51"/>
  <c r="J302" i="51"/>
  <c r="M302" i="51"/>
  <c r="N302" i="51" s="1"/>
  <c r="L301" i="51"/>
  <c r="J301" i="51"/>
  <c r="M301" i="51"/>
  <c r="N301" i="51" s="1"/>
  <c r="M300" i="51"/>
  <c r="L300" i="51"/>
  <c r="J300" i="51"/>
  <c r="L299" i="51"/>
  <c r="M299" i="51"/>
  <c r="L298" i="51"/>
  <c r="J298" i="51"/>
  <c r="M298" i="51"/>
  <c r="N298" i="51" s="1"/>
  <c r="L297" i="51"/>
  <c r="J297" i="51"/>
  <c r="M297" i="51"/>
  <c r="N297" i="51" s="1"/>
  <c r="L296" i="51"/>
  <c r="J296" i="51"/>
  <c r="M296" i="51"/>
  <c r="L295" i="51"/>
  <c r="J295" i="51"/>
  <c r="M295" i="51"/>
  <c r="N295" i="51" s="1"/>
  <c r="L294" i="51"/>
  <c r="J294" i="51"/>
  <c r="M294" i="51"/>
  <c r="N294" i="51" s="1"/>
  <c r="M293" i="51"/>
  <c r="N293" i="51" s="1"/>
  <c r="L293" i="51"/>
  <c r="J293" i="51"/>
  <c r="L292" i="51"/>
  <c r="M292" i="51"/>
  <c r="L291" i="51"/>
  <c r="J291" i="51"/>
  <c r="M291" i="51"/>
  <c r="N291" i="51" s="1"/>
  <c r="L290" i="51"/>
  <c r="J290" i="51"/>
  <c r="M290" i="51"/>
  <c r="N290" i="51" s="1"/>
  <c r="L289" i="51"/>
  <c r="J289" i="51"/>
  <c r="M289" i="51"/>
  <c r="L288" i="51"/>
  <c r="J288" i="51"/>
  <c r="M288" i="51"/>
  <c r="N288" i="51" s="1"/>
  <c r="M287" i="51"/>
  <c r="N287" i="51" s="1"/>
  <c r="L287" i="51"/>
  <c r="J287" i="51"/>
  <c r="M286" i="51"/>
  <c r="N286" i="51" s="1"/>
  <c r="L286" i="51"/>
  <c r="J286" i="51"/>
  <c r="L285" i="51"/>
  <c r="M285" i="51"/>
  <c r="L284" i="51"/>
  <c r="M284" i="51"/>
  <c r="L283" i="51"/>
  <c r="M283" i="51"/>
  <c r="M282" i="51"/>
  <c r="L282" i="51"/>
  <c r="J282" i="51"/>
  <c r="M281" i="51"/>
  <c r="N281" i="51" s="1"/>
  <c r="L281" i="51"/>
  <c r="J281" i="51"/>
  <c r="M280" i="51"/>
  <c r="N280" i="51" s="1"/>
  <c r="L280" i="51"/>
  <c r="J280" i="51"/>
  <c r="Q279" i="51"/>
  <c r="M279" i="51"/>
  <c r="N279" i="51" s="1"/>
  <c r="L279" i="51"/>
  <c r="J279" i="51"/>
  <c r="M278" i="51"/>
  <c r="N278" i="51" s="1"/>
  <c r="L278" i="51"/>
  <c r="J278" i="51"/>
  <c r="M277" i="51"/>
  <c r="N277" i="51" s="1"/>
  <c r="L277" i="51"/>
  <c r="J277" i="51"/>
  <c r="L276" i="51"/>
  <c r="M276" i="51"/>
  <c r="L275" i="51"/>
  <c r="M275" i="51"/>
  <c r="L274" i="51"/>
  <c r="M274" i="51"/>
  <c r="L273" i="51"/>
  <c r="M273" i="51"/>
  <c r="M272" i="51"/>
  <c r="N272" i="51" s="1"/>
  <c r="L272" i="51"/>
  <c r="J272" i="51"/>
  <c r="L271" i="51"/>
  <c r="M271" i="51"/>
  <c r="L270" i="51"/>
  <c r="J270" i="51"/>
  <c r="M270" i="51"/>
  <c r="N270" i="51" s="1"/>
  <c r="L269" i="51"/>
  <c r="J269" i="51"/>
  <c r="M269" i="51"/>
  <c r="N269" i="51" s="1"/>
  <c r="L268" i="51"/>
  <c r="J268" i="51"/>
  <c r="M268" i="51"/>
  <c r="L267" i="51"/>
  <c r="J267" i="51"/>
  <c r="M267" i="51"/>
  <c r="N267" i="51" s="1"/>
  <c r="L266" i="51"/>
  <c r="J266" i="51"/>
  <c r="M266" i="51"/>
  <c r="N266" i="51" s="1"/>
  <c r="M265" i="51"/>
  <c r="N265" i="51" s="1"/>
  <c r="L265" i="51"/>
  <c r="J265" i="51"/>
  <c r="L264" i="51"/>
  <c r="M264" i="51"/>
  <c r="L263" i="51"/>
  <c r="J263" i="51"/>
  <c r="M263" i="51"/>
  <c r="N263" i="51" s="1"/>
  <c r="L262" i="51"/>
  <c r="J262" i="51"/>
  <c r="M262" i="51"/>
  <c r="N262" i="51" s="1"/>
  <c r="L261" i="51"/>
  <c r="J261" i="51"/>
  <c r="M261" i="51"/>
  <c r="L260" i="51"/>
  <c r="J260" i="51"/>
  <c r="M260" i="51"/>
  <c r="N260" i="51" s="1"/>
  <c r="L259" i="51"/>
  <c r="J259" i="51"/>
  <c r="M259" i="51"/>
  <c r="N259" i="51" s="1"/>
  <c r="M258" i="51"/>
  <c r="N258" i="51" s="1"/>
  <c r="L258" i="51"/>
  <c r="J258" i="51"/>
  <c r="L257" i="51"/>
  <c r="M257" i="51"/>
  <c r="L256" i="51"/>
  <c r="J256" i="51"/>
  <c r="M256" i="51"/>
  <c r="N256" i="51" s="1"/>
  <c r="L255" i="51"/>
  <c r="J255" i="51"/>
  <c r="M255" i="51"/>
  <c r="L254" i="51"/>
  <c r="J254" i="51"/>
  <c r="M254" i="51"/>
  <c r="L253" i="51"/>
  <c r="J253" i="51"/>
  <c r="M253" i="51"/>
  <c r="N253" i="51" s="1"/>
  <c r="L252" i="51"/>
  <c r="J252" i="51"/>
  <c r="M252" i="51"/>
  <c r="N252" i="51" s="1"/>
  <c r="M251" i="51"/>
  <c r="N251" i="51" s="1"/>
  <c r="L251" i="51"/>
  <c r="J251" i="51"/>
  <c r="L250" i="51"/>
  <c r="M250" i="51"/>
  <c r="L249" i="51"/>
  <c r="J249" i="51"/>
  <c r="M249" i="51"/>
  <c r="N249" i="51" s="1"/>
  <c r="Q248" i="51"/>
  <c r="L248" i="51"/>
  <c r="J248" i="51"/>
  <c r="M248" i="51"/>
  <c r="N248" i="51" s="1"/>
  <c r="L247" i="51"/>
  <c r="J247" i="51"/>
  <c r="M247" i="51"/>
  <c r="L246" i="51"/>
  <c r="J246" i="51"/>
  <c r="M246" i="51"/>
  <c r="N246" i="51" s="1"/>
  <c r="L245" i="51"/>
  <c r="J245" i="51"/>
  <c r="M245" i="51"/>
  <c r="N245" i="51" s="1"/>
  <c r="M244" i="51"/>
  <c r="N244" i="51" s="1"/>
  <c r="L244" i="51"/>
  <c r="J244" i="51"/>
  <c r="L243" i="51"/>
  <c r="J243" i="51"/>
  <c r="L242" i="51"/>
  <c r="J242" i="51"/>
  <c r="M242" i="51"/>
  <c r="N242" i="51" s="1"/>
  <c r="L241" i="51"/>
  <c r="J241" i="51"/>
  <c r="M241" i="51"/>
  <c r="N241" i="51" s="1"/>
  <c r="L240" i="51"/>
  <c r="J240" i="51"/>
  <c r="M240" i="51"/>
  <c r="L239" i="51"/>
  <c r="J239" i="51"/>
  <c r="M239" i="51"/>
  <c r="N239" i="51" s="1"/>
  <c r="L238" i="51"/>
  <c r="J238" i="51"/>
  <c r="M238" i="51"/>
  <c r="N238" i="51" s="1"/>
  <c r="M237" i="51"/>
  <c r="N237" i="51" s="1"/>
  <c r="L237" i="51"/>
  <c r="J237" i="51"/>
  <c r="L236" i="51"/>
  <c r="M236" i="51"/>
  <c r="L235" i="51"/>
  <c r="J235" i="51"/>
  <c r="M235" i="51"/>
  <c r="N235" i="51" s="1"/>
  <c r="L234" i="51"/>
  <c r="J234" i="51"/>
  <c r="M234" i="51"/>
  <c r="N234" i="51" s="1"/>
  <c r="L233" i="51"/>
  <c r="J233" i="51"/>
  <c r="M233" i="51"/>
  <c r="L232" i="51"/>
  <c r="J232" i="51"/>
  <c r="M232" i="51"/>
  <c r="N232" i="51" s="1"/>
  <c r="L231" i="51"/>
  <c r="J231" i="51"/>
  <c r="M231" i="51"/>
  <c r="N231" i="51" s="1"/>
  <c r="M230" i="51"/>
  <c r="N230" i="51" s="1"/>
  <c r="L230" i="51"/>
  <c r="J230" i="51"/>
  <c r="L229" i="51"/>
  <c r="M229" i="51"/>
  <c r="L228" i="51"/>
  <c r="J228" i="51"/>
  <c r="M228" i="51"/>
  <c r="N228" i="51" s="1"/>
  <c r="L227" i="51"/>
  <c r="J227" i="51"/>
  <c r="M227" i="51"/>
  <c r="N227" i="51" s="1"/>
  <c r="L226" i="51"/>
  <c r="J226" i="51"/>
  <c r="M226" i="51"/>
  <c r="L225" i="51"/>
  <c r="J225" i="51"/>
  <c r="M225" i="51"/>
  <c r="N225" i="51" s="1"/>
  <c r="L224" i="51"/>
  <c r="J224" i="51"/>
  <c r="M224" i="51"/>
  <c r="N224" i="51" s="1"/>
  <c r="M223" i="51"/>
  <c r="N223" i="51" s="1"/>
  <c r="L223" i="51"/>
  <c r="J223" i="51"/>
  <c r="M222" i="51"/>
  <c r="N222" i="51" s="1"/>
  <c r="L222" i="51"/>
  <c r="J222" i="51"/>
  <c r="M221" i="51"/>
  <c r="N221" i="51" s="1"/>
  <c r="L221" i="51"/>
  <c r="J221" i="51"/>
  <c r="L220" i="51"/>
  <c r="J220" i="51"/>
  <c r="M220" i="51"/>
  <c r="L219" i="51"/>
  <c r="J219" i="51"/>
  <c r="M219" i="51"/>
  <c r="Q218" i="51"/>
  <c r="L218" i="51"/>
  <c r="J218" i="51"/>
  <c r="M218" i="51"/>
  <c r="N218" i="51" s="1"/>
  <c r="L217" i="51"/>
  <c r="J217" i="51"/>
  <c r="M217" i="51"/>
  <c r="N217" i="51" s="1"/>
  <c r="M216" i="51"/>
  <c r="N216" i="51" s="1"/>
  <c r="L216" i="51"/>
  <c r="J216" i="51"/>
  <c r="L215" i="51"/>
  <c r="M215" i="51"/>
  <c r="L214" i="51"/>
  <c r="J214" i="51"/>
  <c r="M214" i="51"/>
  <c r="L213" i="51"/>
  <c r="J213" i="51"/>
  <c r="M213" i="51"/>
  <c r="N213" i="51" s="1"/>
  <c r="L212" i="51"/>
  <c r="J212" i="51"/>
  <c r="M212" i="51"/>
  <c r="L211" i="51"/>
  <c r="J211" i="51"/>
  <c r="M211" i="51"/>
  <c r="L210" i="51"/>
  <c r="J210" i="51"/>
  <c r="M210" i="51"/>
  <c r="M209" i="51"/>
  <c r="L209" i="51"/>
  <c r="J209" i="51"/>
  <c r="L208" i="51"/>
  <c r="M208" i="51"/>
  <c r="L207" i="51"/>
  <c r="J207" i="51"/>
  <c r="M207" i="51"/>
  <c r="L206" i="51"/>
  <c r="J206" i="51"/>
  <c r="M206" i="51"/>
  <c r="N206" i="51" s="1"/>
  <c r="L205" i="51"/>
  <c r="J205" i="51"/>
  <c r="M205" i="51"/>
  <c r="L204" i="51"/>
  <c r="J204" i="51"/>
  <c r="M204" i="51"/>
  <c r="L203" i="51"/>
  <c r="J203" i="51"/>
  <c r="M203" i="51"/>
  <c r="M202" i="51"/>
  <c r="L202" i="51"/>
  <c r="J202" i="51"/>
  <c r="L201" i="51"/>
  <c r="M201" i="51"/>
  <c r="L200" i="51"/>
  <c r="J200" i="51"/>
  <c r="M200" i="51"/>
  <c r="L199" i="51"/>
  <c r="J199" i="51"/>
  <c r="M199" i="51"/>
  <c r="N199" i="51" s="1"/>
  <c r="L198" i="51"/>
  <c r="J198" i="51"/>
  <c r="M198" i="51"/>
  <c r="L197" i="51"/>
  <c r="J197" i="51"/>
  <c r="M197" i="51"/>
  <c r="M196" i="51"/>
  <c r="L196" i="51"/>
  <c r="J196" i="51"/>
  <c r="M195" i="51"/>
  <c r="L195" i="51"/>
  <c r="J195" i="51"/>
  <c r="L194" i="51"/>
  <c r="M194" i="51"/>
  <c r="L193" i="51"/>
  <c r="J193" i="51"/>
  <c r="M193" i="51"/>
  <c r="L192" i="51"/>
  <c r="J192" i="51"/>
  <c r="M192" i="51"/>
  <c r="L191" i="51"/>
  <c r="J191" i="51"/>
  <c r="M191" i="51"/>
  <c r="L190" i="51"/>
  <c r="J190" i="51"/>
  <c r="M190" i="51"/>
  <c r="L189" i="51"/>
  <c r="J189" i="51"/>
  <c r="M189" i="51"/>
  <c r="M188" i="51"/>
  <c r="L188" i="51"/>
  <c r="J188" i="51"/>
  <c r="Q187" i="51"/>
  <c r="L187" i="51"/>
  <c r="M187" i="51"/>
  <c r="L186" i="51"/>
  <c r="J186" i="51"/>
  <c r="M186" i="51"/>
  <c r="L185" i="51"/>
  <c r="J185" i="51"/>
  <c r="M185" i="51"/>
  <c r="N185" i="51" s="1"/>
  <c r="L184" i="51"/>
  <c r="J184" i="51"/>
  <c r="M184" i="51"/>
  <c r="L183" i="51"/>
  <c r="J183" i="51"/>
  <c r="M183" i="51"/>
  <c r="L182" i="51"/>
  <c r="J182" i="51"/>
  <c r="M182" i="51"/>
  <c r="M181" i="51"/>
  <c r="L181" i="51"/>
  <c r="J181" i="51"/>
  <c r="L180" i="51"/>
  <c r="M180" i="51"/>
  <c r="L179" i="51"/>
  <c r="J179" i="51"/>
  <c r="M179" i="51"/>
  <c r="L178" i="51"/>
  <c r="J178" i="51"/>
  <c r="M178" i="51"/>
  <c r="N178" i="51" s="1"/>
  <c r="L177" i="51"/>
  <c r="J177" i="51"/>
  <c r="M177" i="51"/>
  <c r="L176" i="51"/>
  <c r="J176" i="51"/>
  <c r="M176" i="51"/>
  <c r="M175" i="51"/>
  <c r="L175" i="51"/>
  <c r="J175" i="51"/>
  <c r="M174" i="51"/>
  <c r="L174" i="51"/>
  <c r="J174" i="51"/>
  <c r="L173" i="51"/>
  <c r="M173" i="51"/>
  <c r="L172" i="51"/>
  <c r="J172" i="51"/>
  <c r="M172" i="51"/>
  <c r="L171" i="51"/>
  <c r="J171" i="51"/>
  <c r="M171" i="51"/>
  <c r="N171" i="51" s="1"/>
  <c r="L170" i="51"/>
  <c r="J170" i="51"/>
  <c r="M170" i="51"/>
  <c r="L169" i="51"/>
  <c r="J169" i="51"/>
  <c r="M169" i="51"/>
  <c r="L168" i="51"/>
  <c r="J168" i="51"/>
  <c r="M168" i="51"/>
  <c r="M167" i="51"/>
  <c r="L167" i="51"/>
  <c r="J167" i="51"/>
  <c r="L166" i="51"/>
  <c r="M166" i="51"/>
  <c r="L165" i="51"/>
  <c r="J165" i="51"/>
  <c r="M165" i="51"/>
  <c r="L164" i="51"/>
  <c r="J164" i="51"/>
  <c r="M164" i="51"/>
  <c r="L163" i="51"/>
  <c r="J163" i="51"/>
  <c r="M163" i="51"/>
  <c r="L162" i="51"/>
  <c r="J162" i="51"/>
  <c r="M162" i="51"/>
  <c r="L161" i="51"/>
  <c r="J161" i="51"/>
  <c r="M161" i="51"/>
  <c r="M160" i="51"/>
  <c r="L160" i="51"/>
  <c r="J160" i="51"/>
  <c r="L159" i="51"/>
  <c r="M159" i="51"/>
  <c r="L158" i="51"/>
  <c r="J158" i="51"/>
  <c r="M158" i="51"/>
  <c r="Q157" i="51"/>
  <c r="L157" i="51"/>
  <c r="J157" i="51"/>
  <c r="M157" i="51"/>
  <c r="N157" i="51" s="1"/>
  <c r="L156" i="51"/>
  <c r="J156" i="51"/>
  <c r="M156" i="51"/>
  <c r="L155" i="51"/>
  <c r="J155" i="51"/>
  <c r="M155" i="51"/>
  <c r="L154" i="51"/>
  <c r="J154" i="51"/>
  <c r="M154" i="51"/>
  <c r="M153" i="51"/>
  <c r="L153" i="51"/>
  <c r="J153" i="51"/>
  <c r="L152" i="51"/>
  <c r="M152" i="51"/>
  <c r="L151" i="51"/>
  <c r="M151" i="51"/>
  <c r="L150" i="51"/>
  <c r="J150" i="51"/>
  <c r="L149" i="51"/>
  <c r="M149" i="51"/>
  <c r="L148" i="51"/>
  <c r="M148" i="51"/>
  <c r="L147" i="51"/>
  <c r="M147" i="51"/>
  <c r="M146" i="51"/>
  <c r="L146" i="51"/>
  <c r="J146" i="51"/>
  <c r="L145" i="51"/>
  <c r="M145" i="51"/>
  <c r="L144" i="51"/>
  <c r="M144" i="51"/>
  <c r="L143" i="51"/>
  <c r="M143" i="51"/>
  <c r="L142" i="51"/>
  <c r="J142" i="51"/>
  <c r="M141" i="51"/>
  <c r="L141" i="51"/>
  <c r="J141" i="51"/>
  <c r="M140" i="51"/>
  <c r="L140" i="51"/>
  <c r="J140" i="51"/>
  <c r="M139" i="51"/>
  <c r="L139" i="51"/>
  <c r="J139" i="51"/>
  <c r="M138" i="51"/>
  <c r="L138" i="51"/>
  <c r="J138" i="51"/>
  <c r="M137" i="51"/>
  <c r="L137" i="51"/>
  <c r="J137" i="51"/>
  <c r="L136" i="51"/>
  <c r="M136" i="51"/>
  <c r="L135" i="51"/>
  <c r="M135" i="51"/>
  <c r="L134" i="51"/>
  <c r="J134" i="51"/>
  <c r="L133" i="51"/>
  <c r="M133" i="51"/>
  <c r="M132" i="51"/>
  <c r="L132" i="51"/>
  <c r="J132" i="51"/>
  <c r="L131" i="51"/>
  <c r="M131" i="51"/>
  <c r="L130" i="51"/>
  <c r="M130" i="51"/>
  <c r="L129" i="51"/>
  <c r="M129" i="51"/>
  <c r="L128" i="51"/>
  <c r="M128" i="51"/>
  <c r="L127" i="51"/>
  <c r="M127" i="51"/>
  <c r="Q126" i="51"/>
  <c r="L126" i="51"/>
  <c r="M126" i="51"/>
  <c r="M125" i="51"/>
  <c r="L125" i="51"/>
  <c r="J125" i="51"/>
  <c r="M124" i="51"/>
  <c r="L124" i="51"/>
  <c r="J124" i="51"/>
  <c r="L123" i="51"/>
  <c r="M123" i="51"/>
  <c r="L122" i="51"/>
  <c r="M122" i="51"/>
  <c r="L121" i="51"/>
  <c r="M121" i="51"/>
  <c r="L120" i="51"/>
  <c r="M120" i="51"/>
  <c r="L119" i="51"/>
  <c r="M119" i="51"/>
  <c r="M118" i="51"/>
  <c r="L118" i="51"/>
  <c r="J118" i="51"/>
  <c r="L117" i="51"/>
  <c r="M117" i="51"/>
  <c r="L116" i="51"/>
  <c r="J116" i="51"/>
  <c r="M116" i="51"/>
  <c r="L115" i="51"/>
  <c r="J115" i="51"/>
  <c r="M115" i="51"/>
  <c r="N115" i="51" s="1"/>
  <c r="L114" i="51"/>
  <c r="J114" i="51"/>
  <c r="M114" i="51"/>
  <c r="L113" i="51"/>
  <c r="J113" i="51"/>
  <c r="M113" i="51"/>
  <c r="N113" i="51" s="1"/>
  <c r="M112" i="51"/>
  <c r="N112" i="51" s="1"/>
  <c r="L112" i="51"/>
  <c r="J112" i="51"/>
  <c r="M111" i="51"/>
  <c r="N111" i="51" s="1"/>
  <c r="L111" i="51"/>
  <c r="J111" i="51"/>
  <c r="L110" i="51"/>
  <c r="M110" i="51"/>
  <c r="L109" i="51"/>
  <c r="J109" i="51"/>
  <c r="M109" i="51"/>
  <c r="N109" i="51" s="1"/>
  <c r="L108" i="51"/>
  <c r="J108" i="51"/>
  <c r="M108" i="51"/>
  <c r="N108" i="51" s="1"/>
  <c r="L107" i="51"/>
  <c r="J107" i="51"/>
  <c r="M107" i="51"/>
  <c r="L106" i="51"/>
  <c r="J106" i="51"/>
  <c r="M106" i="51"/>
  <c r="N106" i="51" s="1"/>
  <c r="L105" i="51"/>
  <c r="J105" i="51"/>
  <c r="M105" i="51"/>
  <c r="N105" i="51" s="1"/>
  <c r="M104" i="51"/>
  <c r="N104" i="51" s="1"/>
  <c r="L104" i="51"/>
  <c r="J104" i="51"/>
  <c r="L103" i="51"/>
  <c r="M103" i="51"/>
  <c r="L102" i="51"/>
  <c r="J102" i="51"/>
  <c r="M102" i="51"/>
  <c r="N102" i="51" s="1"/>
  <c r="L101" i="51"/>
  <c r="J101" i="51"/>
  <c r="M101" i="51"/>
  <c r="L100" i="51"/>
  <c r="J100" i="51"/>
  <c r="M100" i="51"/>
  <c r="L99" i="51"/>
  <c r="J99" i="51"/>
  <c r="M99" i="51"/>
  <c r="N99" i="51" s="1"/>
  <c r="L98" i="51"/>
  <c r="J98" i="51"/>
  <c r="M98" i="51"/>
  <c r="N98" i="51" s="1"/>
  <c r="M97" i="51"/>
  <c r="N97" i="51" s="1"/>
  <c r="L97" i="51"/>
  <c r="J97" i="51"/>
  <c r="L96" i="51"/>
  <c r="M96" i="51"/>
  <c r="Q95" i="51"/>
  <c r="L95" i="51"/>
  <c r="J95" i="51"/>
  <c r="M95" i="51"/>
  <c r="N95" i="51" s="1"/>
  <c r="L94" i="51"/>
  <c r="J94" i="51"/>
  <c r="M94" i="51"/>
  <c r="N94" i="51" s="1"/>
  <c r="L93" i="51"/>
  <c r="J93" i="51"/>
  <c r="M93" i="51"/>
  <c r="L92" i="51"/>
  <c r="J92" i="51"/>
  <c r="M92" i="51"/>
  <c r="N92" i="51" s="1"/>
  <c r="L91" i="51"/>
  <c r="J91" i="51"/>
  <c r="M91" i="51"/>
  <c r="N91" i="51" s="1"/>
  <c r="M90" i="51"/>
  <c r="N90" i="51" s="1"/>
  <c r="L90" i="51"/>
  <c r="J90" i="51"/>
  <c r="L89" i="51"/>
  <c r="M89" i="51"/>
  <c r="L88" i="51"/>
  <c r="J88" i="51"/>
  <c r="M88" i="51"/>
  <c r="N88" i="51" s="1"/>
  <c r="L87" i="51"/>
  <c r="J87" i="51"/>
  <c r="M87" i="51"/>
  <c r="N87" i="51" s="1"/>
  <c r="L86" i="51"/>
  <c r="J86" i="51"/>
  <c r="M86" i="51"/>
  <c r="L85" i="51"/>
  <c r="J85" i="51"/>
  <c r="M85" i="51"/>
  <c r="N85" i="51" s="1"/>
  <c r="L84" i="51"/>
  <c r="J84" i="51"/>
  <c r="M84" i="51"/>
  <c r="N84" i="51" s="1"/>
  <c r="M83" i="51"/>
  <c r="N83" i="51" s="1"/>
  <c r="L83" i="51"/>
  <c r="J83" i="51"/>
  <c r="L82" i="51"/>
  <c r="M82" i="51"/>
  <c r="L81" i="51"/>
  <c r="J81" i="51"/>
  <c r="M81" i="51"/>
  <c r="N81" i="51" s="1"/>
  <c r="L80" i="51"/>
  <c r="J80" i="51"/>
  <c r="M80" i="51"/>
  <c r="N80" i="51" s="1"/>
  <c r="L79" i="51"/>
  <c r="J79" i="51"/>
  <c r="M79" i="51"/>
  <c r="L78" i="51"/>
  <c r="J78" i="51"/>
  <c r="M78" i="51"/>
  <c r="N78" i="51" s="1"/>
  <c r="L77" i="51"/>
  <c r="J77" i="51"/>
  <c r="M77" i="51"/>
  <c r="N77" i="51" s="1"/>
  <c r="M76" i="51"/>
  <c r="N76" i="51" s="1"/>
  <c r="L76" i="51"/>
  <c r="J76" i="51"/>
  <c r="L75" i="51"/>
  <c r="M75" i="51"/>
  <c r="L74" i="51"/>
  <c r="J74" i="51"/>
  <c r="M74" i="51"/>
  <c r="N74" i="51" s="1"/>
  <c r="L73" i="51"/>
  <c r="J73" i="51"/>
  <c r="M73" i="51"/>
  <c r="N73" i="51" s="1"/>
  <c r="L72" i="51"/>
  <c r="J72" i="51"/>
  <c r="M72" i="51"/>
  <c r="L71" i="51"/>
  <c r="J71" i="51"/>
  <c r="M71" i="51"/>
  <c r="N71" i="51" s="1"/>
  <c r="L70" i="51"/>
  <c r="J70" i="51"/>
  <c r="M70" i="51"/>
  <c r="N70" i="51" s="1"/>
  <c r="M69" i="51"/>
  <c r="N69" i="51" s="1"/>
  <c r="L69" i="51"/>
  <c r="J69" i="51"/>
  <c r="L68" i="51"/>
  <c r="M68" i="51"/>
  <c r="L67" i="51"/>
  <c r="J67" i="51"/>
  <c r="M67" i="51"/>
  <c r="N67" i="51" s="1"/>
  <c r="L66" i="51"/>
  <c r="J66" i="51"/>
  <c r="M66" i="51"/>
  <c r="Q65" i="51"/>
  <c r="L65" i="51"/>
  <c r="J65" i="51"/>
  <c r="M65" i="51"/>
  <c r="L64" i="51"/>
  <c r="J64" i="51"/>
  <c r="M64" i="51"/>
  <c r="N64" i="51" s="1"/>
  <c r="L63" i="51"/>
  <c r="J63" i="51"/>
  <c r="M63" i="51"/>
  <c r="N63" i="51" s="1"/>
  <c r="M62" i="51"/>
  <c r="N62" i="51" s="1"/>
  <c r="L62" i="51"/>
  <c r="J62" i="51"/>
  <c r="L61" i="51"/>
  <c r="M61" i="51"/>
  <c r="L60" i="51"/>
  <c r="J60" i="51"/>
  <c r="M60" i="51"/>
  <c r="N60" i="51" s="1"/>
  <c r="L59" i="51"/>
  <c r="J59" i="51"/>
  <c r="M59" i="51"/>
  <c r="N59" i="51" s="1"/>
  <c r="L58" i="51"/>
  <c r="J58" i="51"/>
  <c r="M58" i="51"/>
  <c r="N58" i="51" s="1"/>
  <c r="L57" i="51"/>
  <c r="J57" i="51"/>
  <c r="M57" i="51"/>
  <c r="N57" i="51" s="1"/>
  <c r="L56" i="51"/>
  <c r="J56" i="51"/>
  <c r="M56" i="51"/>
  <c r="N56" i="51" s="1"/>
  <c r="M55" i="51"/>
  <c r="N55" i="51" s="1"/>
  <c r="L55" i="51"/>
  <c r="J55" i="51"/>
  <c r="L54" i="51"/>
  <c r="M54" i="51"/>
  <c r="L53" i="51"/>
  <c r="J53" i="51"/>
  <c r="M53" i="51"/>
  <c r="N53" i="51" s="1"/>
  <c r="L52" i="51"/>
  <c r="J52" i="51"/>
  <c r="M52" i="51"/>
  <c r="N52" i="51" s="1"/>
  <c r="L51" i="51"/>
  <c r="J51" i="51"/>
  <c r="M51" i="51"/>
  <c r="L50" i="51"/>
  <c r="J50" i="51"/>
  <c r="M50" i="51"/>
  <c r="N50" i="51" s="1"/>
  <c r="L49" i="51"/>
  <c r="J49" i="51"/>
  <c r="M49" i="51"/>
  <c r="N49" i="51" s="1"/>
  <c r="M48" i="51"/>
  <c r="N48" i="51" s="1"/>
  <c r="L48" i="51"/>
  <c r="J48" i="51"/>
  <c r="L47" i="51"/>
  <c r="M47" i="51"/>
  <c r="L46" i="51"/>
  <c r="J46" i="51"/>
  <c r="M46" i="51"/>
  <c r="N46" i="51" s="1"/>
  <c r="L45" i="51"/>
  <c r="J45" i="51"/>
  <c r="M45" i="51"/>
  <c r="N45" i="51" s="1"/>
  <c r="L44" i="51"/>
  <c r="J44" i="51"/>
  <c r="M44" i="51"/>
  <c r="N44" i="51" s="1"/>
  <c r="L43" i="51"/>
  <c r="J43" i="51"/>
  <c r="M43" i="51"/>
  <c r="N43" i="51" s="1"/>
  <c r="L42" i="51"/>
  <c r="J42" i="51"/>
  <c r="M42" i="51"/>
  <c r="N42" i="51" s="1"/>
  <c r="M41" i="51"/>
  <c r="N41" i="51" s="1"/>
  <c r="L41" i="51"/>
  <c r="J41" i="51"/>
  <c r="M40" i="51"/>
  <c r="N40" i="51" s="1"/>
  <c r="L40" i="51"/>
  <c r="J40" i="51"/>
  <c r="M39" i="51"/>
  <c r="N39" i="51" s="1"/>
  <c r="L39" i="51"/>
  <c r="J39" i="51"/>
  <c r="M38" i="51"/>
  <c r="L38" i="51"/>
  <c r="J38" i="51"/>
  <c r="M37" i="51"/>
  <c r="L37" i="51"/>
  <c r="J37" i="51"/>
  <c r="L36" i="51"/>
  <c r="J36" i="51"/>
  <c r="M36" i="51"/>
  <c r="N36" i="51" s="1"/>
  <c r="L35" i="51"/>
  <c r="J35" i="51"/>
  <c r="M35" i="51"/>
  <c r="N35" i="51" s="1"/>
  <c r="Q34" i="51"/>
  <c r="M34" i="51"/>
  <c r="N34" i="51" s="1"/>
  <c r="L34" i="51"/>
  <c r="J34" i="51"/>
  <c r="L33" i="51"/>
  <c r="M33" i="51"/>
  <c r="L32" i="51"/>
  <c r="J32" i="51"/>
  <c r="M32" i="51"/>
  <c r="N32" i="51" s="1"/>
  <c r="L31" i="51"/>
  <c r="J31" i="51"/>
  <c r="M31" i="51"/>
  <c r="N31" i="51" s="1"/>
  <c r="L30" i="51"/>
  <c r="J30" i="51"/>
  <c r="M30" i="51"/>
  <c r="N30" i="51" s="1"/>
  <c r="L29" i="51"/>
  <c r="J29" i="51"/>
  <c r="M29" i="51"/>
  <c r="N29" i="51" s="1"/>
  <c r="L28" i="51"/>
  <c r="J28" i="51"/>
  <c r="M28" i="51"/>
  <c r="N28" i="51" s="1"/>
  <c r="M27" i="51"/>
  <c r="N27" i="51" s="1"/>
  <c r="L27" i="51"/>
  <c r="J27" i="51"/>
  <c r="L26" i="51"/>
  <c r="M26" i="51"/>
  <c r="L25" i="51"/>
  <c r="J25" i="51"/>
  <c r="M25" i="51"/>
  <c r="N25" i="51" s="1"/>
  <c r="L24" i="51"/>
  <c r="J24" i="51"/>
  <c r="M24" i="51"/>
  <c r="L23" i="51"/>
  <c r="J23" i="51"/>
  <c r="M23" i="51"/>
  <c r="L22" i="51"/>
  <c r="J22" i="51"/>
  <c r="M22" i="51"/>
  <c r="N22" i="51" s="1"/>
  <c r="L21" i="51"/>
  <c r="J21" i="51"/>
  <c r="M21" i="51"/>
  <c r="N21" i="51" s="1"/>
  <c r="M20" i="51"/>
  <c r="N20" i="51" s="1"/>
  <c r="L20" i="51"/>
  <c r="J20" i="51"/>
  <c r="L19" i="51"/>
  <c r="M19" i="51"/>
  <c r="L18" i="51"/>
  <c r="J18" i="51"/>
  <c r="M18" i="51"/>
  <c r="N18" i="51" s="1"/>
  <c r="L17" i="51"/>
  <c r="J17" i="51"/>
  <c r="M17" i="51"/>
  <c r="L16" i="51"/>
  <c r="J16" i="51"/>
  <c r="M16" i="51"/>
  <c r="L15" i="51"/>
  <c r="J15" i="51"/>
  <c r="M15" i="51"/>
  <c r="N15" i="51" s="1"/>
  <c r="L14" i="51"/>
  <c r="J14" i="51"/>
  <c r="M14" i="51"/>
  <c r="N14" i="51" s="1"/>
  <c r="M13" i="51"/>
  <c r="N13" i="51" s="1"/>
  <c r="L13" i="51"/>
  <c r="J13" i="51"/>
  <c r="L12" i="51"/>
  <c r="M12" i="51"/>
  <c r="L11" i="51"/>
  <c r="J11" i="51"/>
  <c r="M11" i="51"/>
  <c r="N11" i="51" s="1"/>
  <c r="L10" i="51"/>
  <c r="J10" i="51"/>
  <c r="M10" i="51"/>
  <c r="L9" i="51"/>
  <c r="M9" i="51"/>
  <c r="L8" i="51"/>
  <c r="M8" i="51"/>
  <c r="L7" i="51"/>
  <c r="M7" i="51"/>
  <c r="M6" i="51"/>
  <c r="L6" i="51"/>
  <c r="J6" i="51"/>
  <c r="L5" i="51"/>
  <c r="N118" i="51" l="1"/>
  <c r="N116" i="51"/>
  <c r="N72" i="51"/>
  <c r="N86" i="51"/>
  <c r="N65" i="51"/>
  <c r="N100" i="51"/>
  <c r="N114" i="51"/>
  <c r="N93" i="51"/>
  <c r="N107" i="51"/>
  <c r="N37" i="51"/>
  <c r="N51" i="51"/>
  <c r="N23" i="51"/>
  <c r="N16" i="51"/>
  <c r="N79" i="51"/>
  <c r="N300" i="51"/>
  <c r="N38" i="51"/>
  <c r="N66" i="51"/>
  <c r="N124" i="51"/>
  <c r="N101" i="51"/>
  <c r="N125" i="51"/>
  <c r="N132" i="51"/>
  <c r="Q370" i="51"/>
  <c r="N10" i="51"/>
  <c r="N17" i="51"/>
  <c r="N24" i="51"/>
  <c r="N6" i="51"/>
  <c r="J127" i="51"/>
  <c r="J173" i="51"/>
  <c r="J299" i="51"/>
  <c r="J306" i="51"/>
  <c r="N19" i="51"/>
  <c r="J194" i="51"/>
  <c r="J201" i="51"/>
  <c r="J208" i="51"/>
  <c r="J327" i="51"/>
  <c r="J334" i="51"/>
  <c r="J7" i="51"/>
  <c r="J8" i="51"/>
  <c r="J9" i="51"/>
  <c r="J12" i="51"/>
  <c r="J54" i="51"/>
  <c r="J61" i="51"/>
  <c r="J75" i="51"/>
  <c r="J96" i="51"/>
  <c r="J151" i="51"/>
  <c r="J152" i="51"/>
  <c r="J166" i="51"/>
  <c r="J180" i="51"/>
  <c r="J215" i="51"/>
  <c r="J264" i="51"/>
  <c r="N47" i="51"/>
  <c r="N119" i="51"/>
  <c r="N120" i="51"/>
  <c r="N123" i="51"/>
  <c r="N8" i="51"/>
  <c r="N12" i="51"/>
  <c r="J19" i="51"/>
  <c r="J26" i="51"/>
  <c r="J47" i="51"/>
  <c r="J68" i="51"/>
  <c r="J82" i="51"/>
  <c r="J89" i="51"/>
  <c r="J119" i="51"/>
  <c r="J120" i="51"/>
  <c r="J121" i="51"/>
  <c r="J122" i="51"/>
  <c r="J123" i="51"/>
  <c r="J135" i="51"/>
  <c r="J136" i="51"/>
  <c r="J143" i="51"/>
  <c r="J144" i="51"/>
  <c r="J145" i="51"/>
  <c r="J159" i="51"/>
  <c r="J187" i="51"/>
  <c r="J229" i="51"/>
  <c r="J236" i="51"/>
  <c r="N7" i="51"/>
  <c r="N103" i="51"/>
  <c r="N117" i="51"/>
  <c r="N126" i="51"/>
  <c r="N131" i="51"/>
  <c r="N133" i="51"/>
  <c r="J250" i="51"/>
  <c r="J273" i="51"/>
  <c r="J274" i="51"/>
  <c r="J347" i="51"/>
  <c r="J354" i="51"/>
  <c r="J364" i="51"/>
  <c r="V73" i="52"/>
  <c r="J366" i="51"/>
  <c r="J363" i="51"/>
  <c r="J365" i="51"/>
  <c r="J367" i="51"/>
  <c r="J368" i="51"/>
  <c r="M361" i="51"/>
  <c r="J340" i="51"/>
  <c r="N320" i="51"/>
  <c r="J313" i="51"/>
  <c r="J292" i="51"/>
  <c r="J283" i="51"/>
  <c r="J284" i="51"/>
  <c r="J285" i="51"/>
  <c r="J275" i="51"/>
  <c r="J276" i="51"/>
  <c r="J271" i="51"/>
  <c r="J257" i="51"/>
  <c r="M243" i="51"/>
  <c r="M150" i="51"/>
  <c r="J147" i="51"/>
  <c r="J148" i="51"/>
  <c r="J149" i="51"/>
  <c r="M142" i="51"/>
  <c r="M134" i="51"/>
  <c r="N134" i="51" s="1"/>
  <c r="J133" i="51"/>
  <c r="J131" i="51"/>
  <c r="N128" i="51"/>
  <c r="N129" i="51"/>
  <c r="N130" i="51"/>
  <c r="N127" i="51"/>
  <c r="J128" i="51"/>
  <c r="J129" i="51"/>
  <c r="J130" i="51"/>
  <c r="J126" i="51"/>
  <c r="N121" i="51"/>
  <c r="N122" i="51"/>
  <c r="J117" i="51"/>
  <c r="N110" i="51"/>
  <c r="J110" i="51"/>
  <c r="J103" i="51"/>
  <c r="N96" i="51"/>
  <c r="N89" i="51"/>
  <c r="N82" i="51"/>
  <c r="N75" i="51"/>
  <c r="N68" i="51"/>
  <c r="N61" i="51"/>
  <c r="N54" i="51"/>
  <c r="N33" i="51"/>
  <c r="J33" i="51"/>
  <c r="N26" i="51"/>
  <c r="K32" i="27"/>
  <c r="K31" i="67" s="1"/>
  <c r="K33" i="27"/>
  <c r="K32" i="67" s="1"/>
  <c r="N9" i="51"/>
  <c r="W36" i="53"/>
  <c r="K30" i="27"/>
  <c r="K29" i="67" s="1"/>
  <c r="U73" i="52"/>
  <c r="P34" i="27" s="1"/>
  <c r="P33" i="67" s="1"/>
  <c r="BE8" i="52"/>
  <c r="N141" i="51" l="1"/>
  <c r="N162" i="51"/>
  <c r="N175" i="51"/>
  <c r="N182" i="51"/>
  <c r="N197" i="51"/>
  <c r="N204" i="51"/>
  <c r="N209" i="51"/>
  <c r="N200" i="51"/>
  <c r="N137" i="51"/>
  <c r="N140" i="51"/>
  <c r="N169" i="51"/>
  <c r="N174" i="51"/>
  <c r="N181" i="51"/>
  <c r="N196" i="51"/>
  <c r="N203" i="51"/>
  <c r="N179" i="51"/>
  <c r="N186" i="51"/>
  <c r="N207" i="51"/>
  <c r="N139" i="51"/>
  <c r="N161" i="51"/>
  <c r="N168" i="51"/>
  <c r="N176" i="51"/>
  <c r="N188" i="51"/>
  <c r="N195" i="51"/>
  <c r="N211" i="51"/>
  <c r="N165" i="51"/>
  <c r="N172" i="51"/>
  <c r="N193" i="51"/>
  <c r="N138" i="51"/>
  <c r="N160" i="51"/>
  <c r="N167" i="51"/>
  <c r="N183" i="51"/>
  <c r="N190" i="51"/>
  <c r="N202" i="51"/>
  <c r="N210" i="51"/>
  <c r="N214" i="51"/>
  <c r="N158" i="51"/>
  <c r="N189" i="51"/>
  <c r="N233" i="51"/>
  <c r="N310" i="51"/>
  <c r="N219" i="51"/>
  <c r="N331" i="51"/>
  <c r="N191" i="51"/>
  <c r="N317" i="51"/>
  <c r="N177" i="51"/>
  <c r="N212" i="51"/>
  <c r="N296" i="51"/>
  <c r="N184" i="51"/>
  <c r="N240" i="51"/>
  <c r="N289" i="51"/>
  <c r="N163" i="51"/>
  <c r="N324" i="51"/>
  <c r="N198" i="51"/>
  <c r="N352" i="51"/>
  <c r="N268" i="51"/>
  <c r="N170" i="51"/>
  <c r="N226" i="51"/>
  <c r="N359" i="51"/>
  <c r="N282" i="51"/>
  <c r="N247" i="51"/>
  <c r="N338" i="51"/>
  <c r="N254" i="51"/>
  <c r="N205" i="51"/>
  <c r="N345" i="51"/>
  <c r="N261" i="51"/>
  <c r="N362" i="51"/>
  <c r="N285" i="51"/>
  <c r="N304" i="51"/>
  <c r="N220" i="51"/>
  <c r="N156" i="51"/>
  <c r="N146" i="51"/>
  <c r="N339" i="51"/>
  <c r="N305" i="51"/>
  <c r="N192" i="51"/>
  <c r="N153" i="51"/>
  <c r="N369" i="51"/>
  <c r="N255" i="51"/>
  <c r="N164" i="51"/>
  <c r="N154" i="51"/>
  <c r="N311" i="51"/>
  <c r="N303" i="51"/>
  <c r="N155" i="51"/>
  <c r="F375" i="51"/>
  <c r="J372" i="51"/>
  <c r="M372" i="51"/>
  <c r="P35" i="27"/>
  <c r="P34" i="67" s="1"/>
  <c r="N144" i="51"/>
  <c r="N142" i="51"/>
  <c r="N149" i="51"/>
  <c r="N166" i="51"/>
  <c r="N173" i="51"/>
  <c r="N187" i="51"/>
  <c r="N201" i="51"/>
  <c r="N229" i="51"/>
  <c r="N236" i="51"/>
  <c r="N243" i="51"/>
  <c r="N257" i="51"/>
  <c r="N264" i="51"/>
  <c r="N276" i="51"/>
  <c r="N284" i="51"/>
  <c r="N363" i="51"/>
  <c r="N340" i="51"/>
  <c r="N283" i="51"/>
  <c r="N271" i="51"/>
  <c r="N148" i="51"/>
  <c r="N274" i="51"/>
  <c r="N136" i="51"/>
  <c r="N143" i="51"/>
  <c r="N150" i="51"/>
  <c r="N180" i="51"/>
  <c r="N194" i="51"/>
  <c r="N208" i="51"/>
  <c r="N215" i="51"/>
  <c r="N250" i="51"/>
  <c r="N292" i="51"/>
  <c r="N299" i="51"/>
  <c r="N306" i="51"/>
  <c r="N327" i="51"/>
  <c r="N334" i="51"/>
  <c r="N347" i="51"/>
  <c r="N354" i="51"/>
  <c r="N361" i="51"/>
  <c r="N368" i="51"/>
  <c r="N366" i="51"/>
  <c r="N364" i="51"/>
  <c r="N367" i="51"/>
  <c r="N365" i="51"/>
  <c r="N159" i="51"/>
  <c r="N313" i="51"/>
  <c r="N275" i="51"/>
  <c r="N147" i="51"/>
  <c r="N273" i="51"/>
  <c r="N151" i="51"/>
  <c r="N152" i="51"/>
  <c r="N145" i="51"/>
  <c r="N135" i="51"/>
  <c r="K34" i="27"/>
  <c r="K33" i="67" s="1"/>
  <c r="D379" i="51" l="1"/>
  <c r="H18" i="55"/>
  <c r="I18" i="55"/>
  <c r="G18" i="55" s="1"/>
  <c r="AK24" i="27"/>
  <c r="AF24" i="27"/>
  <c r="N372" i="51"/>
  <c r="K35" i="27"/>
  <c r="K34" i="67" s="1"/>
  <c r="K375" i="51" l="1"/>
  <c r="I375" i="51"/>
  <c r="AP24" i="27"/>
  <c r="P24" i="27" s="1"/>
  <c r="P23" i="67" s="1"/>
  <c r="H27" i="46"/>
  <c r="O19" i="46"/>
  <c r="N19" i="46"/>
  <c r="M19" i="46"/>
  <c r="L19" i="46"/>
  <c r="K19" i="46"/>
  <c r="J19" i="46"/>
  <c r="I19" i="46"/>
  <c r="H19" i="46"/>
  <c r="G19" i="46"/>
  <c r="F19" i="46"/>
  <c r="E19" i="46"/>
  <c r="D19" i="46"/>
  <c r="K24" i="27" l="1"/>
  <c r="K23" i="67" s="1"/>
  <c r="P20" i="46"/>
  <c r="P19" i="46"/>
  <c r="P21" i="46"/>
  <c r="Q17" i="46" l="1"/>
  <c r="Q6" i="46"/>
  <c r="O27" i="46"/>
  <c r="P17" i="46"/>
  <c r="P16" i="46"/>
  <c r="N12" i="46"/>
  <c r="N13" i="46" s="1"/>
  <c r="M12" i="46"/>
  <c r="M13" i="46" s="1"/>
  <c r="L12" i="46"/>
  <c r="L13" i="46" s="1"/>
  <c r="K12" i="46"/>
  <c r="K13" i="46" s="1"/>
  <c r="J12" i="46"/>
  <c r="J13" i="46" s="1"/>
  <c r="I12" i="46"/>
  <c r="I13" i="46" s="1"/>
  <c r="H12" i="46"/>
  <c r="H13" i="46" s="1"/>
  <c r="G12" i="46"/>
  <c r="G13" i="46" s="1"/>
  <c r="F12" i="46"/>
  <c r="F13" i="46" s="1"/>
  <c r="E12" i="46"/>
  <c r="E13" i="46" s="1"/>
  <c r="N5" i="46"/>
  <c r="M5" i="46"/>
  <c r="L5" i="46"/>
  <c r="K5" i="46"/>
  <c r="J5" i="46"/>
  <c r="I5" i="46"/>
  <c r="H5" i="46"/>
  <c r="G5" i="46"/>
  <c r="F5" i="46"/>
  <c r="E5" i="46"/>
  <c r="D5" i="46"/>
  <c r="P5" i="46" l="1"/>
  <c r="P26" i="27"/>
  <c r="G7" i="55"/>
  <c r="P27" i="27"/>
  <c r="G8" i="55"/>
  <c r="P28" i="27"/>
  <c r="G9" i="55"/>
  <c r="P13" i="46"/>
  <c r="H23" i="27" s="1"/>
  <c r="P12" i="46"/>
  <c r="H21" i="27" s="1"/>
  <c r="P22" i="27" s="1"/>
  <c r="K22" i="27" l="1"/>
  <c r="K21" i="67" s="1"/>
  <c r="P21" i="67"/>
  <c r="AF23" i="27"/>
  <c r="AK23" i="27"/>
  <c r="I17" i="55"/>
  <c r="G17" i="55" s="1"/>
  <c r="H17" i="55"/>
  <c r="I16" i="55"/>
  <c r="G16" i="55" s="1"/>
  <c r="H16" i="55"/>
  <c r="H14" i="55"/>
  <c r="AK21" i="27"/>
  <c r="AF21" i="27"/>
  <c r="Q5" i="46"/>
  <c r="K28" i="27"/>
  <c r="K27" i="27"/>
  <c r="K26" i="27"/>
  <c r="AP23" i="27" l="1"/>
  <c r="P23" i="27" s="1"/>
  <c r="P22" i="67" s="1"/>
  <c r="AP21" i="27"/>
  <c r="P21" i="27" s="1"/>
  <c r="K21" i="27" l="1"/>
  <c r="K20" i="67" s="1"/>
  <c r="P20" i="67"/>
  <c r="K23" i="27"/>
  <c r="K22" i="67" s="1"/>
  <c r="U20" i="27" l="1"/>
  <c r="U40" i="27" s="1"/>
  <c r="J48" i="21" l="1"/>
  <c r="J46" i="21"/>
  <c r="H16" i="21" l="1"/>
  <c r="H46" i="21" s="1"/>
  <c r="H43" i="21"/>
  <c r="H10" i="21"/>
  <c r="H40" i="21" s="1"/>
  <c r="T9" i="51" l="1"/>
  <c r="T14" i="51"/>
  <c r="T34" i="51"/>
  <c r="T58" i="51"/>
  <c r="T50" i="51"/>
  <c r="T10" i="51"/>
  <c r="T26" i="51"/>
  <c r="T60" i="51"/>
  <c r="T22" i="51"/>
  <c r="T54" i="51"/>
  <c r="T18" i="51"/>
  <c r="T36" i="51"/>
  <c r="T52" i="51"/>
  <c r="T42" i="51"/>
  <c r="T57" i="51"/>
  <c r="T49" i="51"/>
  <c r="T41" i="51"/>
  <c r="T20" i="51"/>
  <c r="T35" i="51"/>
  <c r="T55" i="51"/>
  <c r="T47" i="51"/>
  <c r="T56" i="51"/>
  <c r="T48" i="51"/>
  <c r="T46" i="51"/>
  <c r="T53" i="51"/>
  <c r="T45" i="51"/>
  <c r="T12" i="51"/>
  <c r="T28" i="51"/>
  <c r="T59" i="51"/>
  <c r="T51" i="51"/>
  <c r="T43" i="51"/>
  <c r="T24" i="51"/>
  <c r="T365" i="51"/>
  <c r="T361" i="51"/>
  <c r="T359" i="51"/>
  <c r="T355" i="51"/>
  <c r="T351" i="51"/>
  <c r="T347" i="51"/>
  <c r="T366" i="51"/>
  <c r="T362" i="51"/>
  <c r="T360" i="51"/>
  <c r="T356" i="51"/>
  <c r="T352" i="51"/>
  <c r="T348" i="51"/>
  <c r="T344" i="51"/>
  <c r="T369" i="51"/>
  <c r="T16" i="51"/>
  <c r="T367" i="51"/>
  <c r="T363" i="51"/>
  <c r="T357" i="51"/>
  <c r="T353" i="51"/>
  <c r="T349" i="51"/>
  <c r="T345" i="51"/>
  <c r="T368" i="51"/>
  <c r="T364" i="51"/>
  <c r="T358" i="51"/>
  <c r="T354" i="51"/>
  <c r="T350" i="51"/>
  <c r="T346" i="51"/>
  <c r="T336" i="51"/>
  <c r="T332" i="51"/>
  <c r="T341" i="51"/>
  <c r="T325" i="51"/>
  <c r="T321" i="51"/>
  <c r="T335" i="51"/>
  <c r="T331" i="51"/>
  <c r="T340" i="51"/>
  <c r="T334" i="51"/>
  <c r="T330" i="51"/>
  <c r="T343" i="51"/>
  <c r="T339" i="51"/>
  <c r="T323" i="51"/>
  <c r="T338" i="51"/>
  <c r="T333" i="51"/>
  <c r="T329" i="51"/>
  <c r="T342" i="51"/>
  <c r="T324" i="51"/>
  <c r="T320" i="51"/>
  <c r="T318" i="51"/>
  <c r="T314" i="51"/>
  <c r="T310" i="51"/>
  <c r="T309" i="51"/>
  <c r="T305" i="51"/>
  <c r="T301" i="51"/>
  <c r="T297" i="51"/>
  <c r="T293" i="51"/>
  <c r="T288" i="51"/>
  <c r="T284" i="51"/>
  <c r="T280" i="51"/>
  <c r="T317" i="51"/>
  <c r="T313" i="51"/>
  <c r="T308" i="51"/>
  <c r="T304" i="51"/>
  <c r="T327" i="51"/>
  <c r="T322" i="51"/>
  <c r="T316" i="51"/>
  <c r="T312" i="51"/>
  <c r="T328" i="51"/>
  <c r="T307" i="51"/>
  <c r="T303" i="51"/>
  <c r="T299" i="51"/>
  <c r="T295" i="51"/>
  <c r="T291" i="51"/>
  <c r="T286" i="51"/>
  <c r="T282" i="51"/>
  <c r="T319" i="51"/>
  <c r="T315" i="51"/>
  <c r="T311" i="51"/>
  <c r="T326" i="51"/>
  <c r="T306" i="51"/>
  <c r="T302" i="51"/>
  <c r="T298" i="51"/>
  <c r="T294" i="51"/>
  <c r="T290" i="51"/>
  <c r="T285" i="51"/>
  <c r="T300" i="51"/>
  <c r="T292" i="51"/>
  <c r="T244" i="51"/>
  <c r="T240" i="51"/>
  <c r="T236" i="51"/>
  <c r="T287" i="51"/>
  <c r="T275" i="51"/>
  <c r="T271" i="51"/>
  <c r="T283" i="51"/>
  <c r="T245" i="51"/>
  <c r="T241" i="51"/>
  <c r="T237" i="51"/>
  <c r="T233" i="51"/>
  <c r="T289" i="51"/>
  <c r="T276" i="51"/>
  <c r="T272" i="51"/>
  <c r="T268" i="51"/>
  <c r="T264" i="51"/>
  <c r="T260" i="51"/>
  <c r="T256" i="51"/>
  <c r="T252" i="51"/>
  <c r="T248" i="51"/>
  <c r="T265" i="51"/>
  <c r="T257" i="51"/>
  <c r="T249" i="51"/>
  <c r="T215" i="51"/>
  <c r="T211" i="51"/>
  <c r="T296" i="51"/>
  <c r="T281" i="51"/>
  <c r="T246" i="51"/>
  <c r="T242" i="51"/>
  <c r="T238" i="51"/>
  <c r="T234" i="51"/>
  <c r="T277" i="51"/>
  <c r="T273" i="51"/>
  <c r="T279" i="51"/>
  <c r="T247" i="51"/>
  <c r="T243" i="51"/>
  <c r="T239" i="51"/>
  <c r="T235" i="51"/>
  <c r="T278" i="51"/>
  <c r="T274" i="51"/>
  <c r="T270" i="51"/>
  <c r="T266" i="51"/>
  <c r="T262" i="51"/>
  <c r="T258" i="51"/>
  <c r="T254" i="51"/>
  <c r="T250" i="51"/>
  <c r="T269" i="51"/>
  <c r="T261" i="51"/>
  <c r="T253" i="51"/>
  <c r="T217" i="51"/>
  <c r="T213" i="51"/>
  <c r="T209" i="51"/>
  <c r="T205" i="51"/>
  <c r="T201" i="51"/>
  <c r="T197" i="51"/>
  <c r="T193" i="51"/>
  <c r="T189" i="51"/>
  <c r="T230" i="51"/>
  <c r="T226" i="51"/>
  <c r="T222" i="51"/>
  <c r="T218" i="51"/>
  <c r="T186" i="51"/>
  <c r="T182" i="51"/>
  <c r="T178" i="51"/>
  <c r="T174" i="51"/>
  <c r="T170" i="51"/>
  <c r="T166" i="51"/>
  <c r="T162" i="51"/>
  <c r="T158" i="51"/>
  <c r="T153" i="51"/>
  <c r="T149" i="51"/>
  <c r="T145" i="51"/>
  <c r="T141" i="51"/>
  <c r="T137" i="51"/>
  <c r="T267" i="51"/>
  <c r="T259" i="51"/>
  <c r="T251" i="51"/>
  <c r="T216" i="51"/>
  <c r="T212" i="51"/>
  <c r="T208" i="51"/>
  <c r="T204" i="51"/>
  <c r="T200" i="51"/>
  <c r="T196" i="51"/>
  <c r="T192" i="51"/>
  <c r="T188" i="51"/>
  <c r="T229" i="51"/>
  <c r="T225" i="51"/>
  <c r="T221" i="51"/>
  <c r="T185" i="51"/>
  <c r="T181" i="51"/>
  <c r="T177" i="51"/>
  <c r="T173" i="51"/>
  <c r="T169" i="51"/>
  <c r="T165" i="51"/>
  <c r="T161" i="51"/>
  <c r="T157" i="51"/>
  <c r="T156" i="51"/>
  <c r="T152" i="51"/>
  <c r="T148" i="51"/>
  <c r="T144" i="51"/>
  <c r="T207" i="51"/>
  <c r="T203" i="51"/>
  <c r="T199" i="51"/>
  <c r="T195" i="51"/>
  <c r="T191" i="51"/>
  <c r="T187" i="51"/>
  <c r="T232" i="51"/>
  <c r="T228" i="51"/>
  <c r="T224" i="51"/>
  <c r="T220" i="51"/>
  <c r="T184" i="51"/>
  <c r="T180" i="51"/>
  <c r="T176" i="51"/>
  <c r="T172" i="51"/>
  <c r="T168" i="51"/>
  <c r="T164" i="51"/>
  <c r="T160" i="51"/>
  <c r="T155" i="51"/>
  <c r="T151" i="51"/>
  <c r="T147" i="51"/>
  <c r="T143" i="51"/>
  <c r="T139" i="51"/>
  <c r="T135" i="51"/>
  <c r="T263" i="51"/>
  <c r="T255" i="51"/>
  <c r="T214" i="51"/>
  <c r="T210" i="51"/>
  <c r="T206" i="51"/>
  <c r="T202" i="51"/>
  <c r="T198" i="51"/>
  <c r="T194" i="51"/>
  <c r="T190" i="51"/>
  <c r="T231" i="51"/>
  <c r="T227" i="51"/>
  <c r="T223" i="51"/>
  <c r="T219" i="51"/>
  <c r="T183" i="51"/>
  <c r="T179" i="51"/>
  <c r="T175" i="51"/>
  <c r="T171" i="51"/>
  <c r="T167" i="51"/>
  <c r="T163" i="51"/>
  <c r="T159" i="51"/>
  <c r="T154" i="51"/>
  <c r="T150" i="51"/>
  <c r="T146" i="51"/>
  <c r="T142" i="51"/>
  <c r="T138" i="51"/>
  <c r="T134" i="51"/>
  <c r="T130" i="51"/>
  <c r="T133" i="51"/>
  <c r="T126" i="51"/>
  <c r="T94" i="51"/>
  <c r="T140" i="51"/>
  <c r="T132" i="51"/>
  <c r="T92" i="51"/>
  <c r="T88" i="51"/>
  <c r="T84" i="51"/>
  <c r="T80" i="51"/>
  <c r="T123" i="51"/>
  <c r="T119" i="51"/>
  <c r="T115" i="51"/>
  <c r="T111" i="51"/>
  <c r="T107" i="51"/>
  <c r="T103" i="51"/>
  <c r="T99" i="51"/>
  <c r="T66" i="51"/>
  <c r="T70" i="51"/>
  <c r="T74" i="51"/>
  <c r="T95" i="51"/>
  <c r="T131" i="51"/>
  <c r="T129" i="51"/>
  <c r="T93" i="51"/>
  <c r="T89" i="51"/>
  <c r="T85" i="51"/>
  <c r="T81" i="51"/>
  <c r="T124" i="51"/>
  <c r="T120" i="51"/>
  <c r="T116" i="51"/>
  <c r="T112" i="51"/>
  <c r="T108" i="51"/>
  <c r="T104" i="51"/>
  <c r="T100" i="51"/>
  <c r="T96" i="51"/>
  <c r="T13" i="51"/>
  <c r="T17" i="51"/>
  <c r="T21" i="51"/>
  <c r="T25" i="51"/>
  <c r="T29" i="51"/>
  <c r="T67" i="51"/>
  <c r="T75" i="51"/>
  <c r="T65" i="51"/>
  <c r="T73" i="51"/>
  <c r="T64" i="51"/>
  <c r="T136" i="51"/>
  <c r="T128" i="51"/>
  <c r="T90" i="51"/>
  <c r="T86" i="51"/>
  <c r="T82" i="51"/>
  <c r="T78" i="51"/>
  <c r="T125" i="51"/>
  <c r="T121" i="51"/>
  <c r="T117" i="51"/>
  <c r="T113" i="51"/>
  <c r="T109" i="51"/>
  <c r="T105" i="51"/>
  <c r="T101" i="51"/>
  <c r="T97" i="51"/>
  <c r="T68" i="51"/>
  <c r="T72" i="51"/>
  <c r="T76" i="51"/>
  <c r="T127" i="51"/>
  <c r="T91" i="51"/>
  <c r="T87" i="51"/>
  <c r="T83" i="51"/>
  <c r="T79" i="51"/>
  <c r="T122" i="51"/>
  <c r="T118" i="51"/>
  <c r="T114" i="51"/>
  <c r="T110" i="51"/>
  <c r="T106" i="51"/>
  <c r="T102" i="51"/>
  <c r="T98" i="51"/>
  <c r="T15" i="51"/>
  <c r="T19" i="51"/>
  <c r="T27" i="51"/>
  <c r="T71" i="51"/>
  <c r="T69" i="51"/>
  <c r="T77" i="51"/>
  <c r="T62" i="51"/>
  <c r="T61" i="51"/>
  <c r="T63" i="51"/>
  <c r="AH130" i="51" l="1"/>
  <c r="AH116" i="51"/>
  <c r="AH151" i="51"/>
  <c r="AH139" i="51"/>
  <c r="AH186" i="51"/>
  <c r="AH201" i="51"/>
  <c r="AH140" i="51"/>
  <c r="AH179" i="51"/>
  <c r="AH172" i="51"/>
  <c r="AH165" i="51"/>
  <c r="AH200" i="51"/>
  <c r="AH207" i="51"/>
  <c r="AH141" i="51"/>
  <c r="AH158" i="51"/>
  <c r="AH368" i="51"/>
  <c r="AH214" i="51"/>
  <c r="AH137" i="51"/>
  <c r="AH123" i="51"/>
  <c r="AH138" i="51"/>
  <c r="AH180" i="51"/>
  <c r="AH144" i="51"/>
  <c r="AH173" i="51"/>
  <c r="AH193" i="51"/>
  <c r="AH286" i="51"/>
  <c r="AH334" i="51"/>
  <c r="AH358" i="51"/>
  <c r="AH362" i="51"/>
  <c r="AH60" i="51"/>
  <c r="AH235" i="51"/>
  <c r="AH256" i="51"/>
  <c r="AH291" i="51"/>
  <c r="AH305" i="51"/>
  <c r="AH340" i="51"/>
  <c r="AH18" i="51"/>
  <c r="AH67" i="51"/>
  <c r="AH95" i="51"/>
  <c r="AH109" i="51"/>
  <c r="AH74" i="51"/>
  <c r="AH270" i="51"/>
  <c r="AH242" i="51"/>
  <c r="AH319" i="51"/>
  <c r="AH293" i="51"/>
  <c r="AH333" i="51"/>
  <c r="AH347" i="51"/>
  <c r="AH361" i="51"/>
  <c r="AH249" i="51"/>
  <c r="AH298" i="51"/>
  <c r="AH284" i="51"/>
  <c r="AH321" i="51"/>
  <c r="AH46" i="51"/>
  <c r="AH102" i="51"/>
  <c r="AH88" i="51"/>
  <c r="AH110" i="51"/>
  <c r="AH25" i="51"/>
  <c r="AH81" i="51"/>
  <c r="AH263" i="51"/>
  <c r="AH228" i="51"/>
  <c r="AH221" i="51"/>
  <c r="AH222" i="51"/>
  <c r="AH292" i="51"/>
  <c r="AH326" i="51"/>
  <c r="AH312" i="51"/>
  <c r="AH354" i="51"/>
  <c r="AH53" i="51"/>
  <c r="AH61" i="51"/>
  <c r="AH122" i="51"/>
  <c r="AH64" i="51"/>
  <c r="AH63" i="51"/>
  <c r="AH69" i="51"/>
  <c r="AH23" i="51"/>
  <c r="AH118" i="51"/>
  <c r="AH72" i="51"/>
  <c r="AH101" i="51"/>
  <c r="AH117" i="51"/>
  <c r="AH82" i="51"/>
  <c r="AH75" i="51"/>
  <c r="AH96" i="51"/>
  <c r="AH112" i="51"/>
  <c r="AH129" i="51"/>
  <c r="AH70" i="51"/>
  <c r="AH107" i="51"/>
  <c r="AH92" i="51"/>
  <c r="AH126" i="51"/>
  <c r="AH154" i="51"/>
  <c r="AH219" i="51"/>
  <c r="AH190" i="51"/>
  <c r="AH147" i="51"/>
  <c r="AH164" i="51"/>
  <c r="AH195" i="51"/>
  <c r="AH192" i="51"/>
  <c r="AH208" i="51"/>
  <c r="AH259" i="51"/>
  <c r="AH145" i="51"/>
  <c r="AH162" i="51"/>
  <c r="AH209" i="51"/>
  <c r="AH261" i="51"/>
  <c r="AH258" i="51"/>
  <c r="AH274" i="51"/>
  <c r="AH243" i="51"/>
  <c r="AH246" i="51"/>
  <c r="AH215" i="51"/>
  <c r="AH264" i="51"/>
  <c r="AH289" i="51"/>
  <c r="AH245" i="51"/>
  <c r="AH287" i="51"/>
  <c r="AH294" i="51"/>
  <c r="AH299" i="51"/>
  <c r="AH310" i="51"/>
  <c r="AH324" i="51"/>
  <c r="AH338" i="51"/>
  <c r="AH330" i="51"/>
  <c r="AH335" i="51"/>
  <c r="AH345" i="51"/>
  <c r="AH344" i="51"/>
  <c r="AH351" i="51"/>
  <c r="AH365" i="51"/>
  <c r="AH51" i="51"/>
  <c r="AH55" i="51"/>
  <c r="AH41" i="51"/>
  <c r="AH44" i="51"/>
  <c r="AH54" i="51"/>
  <c r="AH10" i="51"/>
  <c r="AH34" i="51"/>
  <c r="AH91" i="51"/>
  <c r="AH121" i="51"/>
  <c r="AH21" i="51"/>
  <c r="AH66" i="51"/>
  <c r="AH132" i="51"/>
  <c r="AH175" i="51"/>
  <c r="AH194" i="51"/>
  <c r="AH135" i="51"/>
  <c r="AH168" i="51"/>
  <c r="AH184" i="51"/>
  <c r="AH232" i="51"/>
  <c r="AH148" i="51"/>
  <c r="AH161" i="51"/>
  <c r="AH177" i="51"/>
  <c r="AH225" i="51"/>
  <c r="AH196" i="51"/>
  <c r="AH212" i="51"/>
  <c r="AH267" i="51"/>
  <c r="AH149" i="51"/>
  <c r="AH166" i="51"/>
  <c r="AH182" i="51"/>
  <c r="AH226" i="51"/>
  <c r="AH197" i="51"/>
  <c r="AH247" i="51"/>
  <c r="AH252" i="51"/>
  <c r="AH268" i="51"/>
  <c r="AH233" i="51"/>
  <c r="AH236" i="51"/>
  <c r="AH300" i="51"/>
  <c r="AH311" i="51"/>
  <c r="AH303" i="51"/>
  <c r="AH316" i="51"/>
  <c r="AH308" i="51"/>
  <c r="AH301" i="51"/>
  <c r="AH314" i="51"/>
  <c r="AH342" i="51"/>
  <c r="AH323" i="51"/>
  <c r="AH336" i="51"/>
  <c r="AH349" i="51"/>
  <c r="AH348" i="51"/>
  <c r="AH355" i="51"/>
  <c r="AH48" i="51"/>
  <c r="AH49" i="51"/>
  <c r="AH22" i="51"/>
  <c r="AH30" i="51"/>
  <c r="AH71" i="51"/>
  <c r="AH106" i="51"/>
  <c r="AH105" i="51"/>
  <c r="AH100" i="51"/>
  <c r="AH85" i="51"/>
  <c r="AH131" i="51"/>
  <c r="AH111" i="51"/>
  <c r="AH133" i="51"/>
  <c r="AH159" i="51"/>
  <c r="AH223" i="51"/>
  <c r="AH210" i="51"/>
  <c r="AH62" i="51"/>
  <c r="AH15" i="51"/>
  <c r="AH79" i="51"/>
  <c r="AH127" i="51"/>
  <c r="AH125" i="51"/>
  <c r="AH90" i="51"/>
  <c r="AH104" i="51"/>
  <c r="AH120" i="51"/>
  <c r="AH89" i="51"/>
  <c r="AH99" i="51"/>
  <c r="AH84" i="51"/>
  <c r="AH146" i="51"/>
  <c r="AH163" i="51"/>
  <c r="AH198" i="51"/>
  <c r="AH155" i="51"/>
  <c r="AH220" i="51"/>
  <c r="AH187" i="51"/>
  <c r="AH203" i="51"/>
  <c r="AH152" i="51"/>
  <c r="AH181" i="51"/>
  <c r="AH229" i="51"/>
  <c r="AH216" i="51"/>
  <c r="AH153" i="51"/>
  <c r="AH170" i="51"/>
  <c r="AH230" i="51"/>
  <c r="AH217" i="51"/>
  <c r="AH250" i="51"/>
  <c r="AH266" i="51"/>
  <c r="AH238" i="51"/>
  <c r="AH296" i="51"/>
  <c r="AH257" i="51"/>
  <c r="AH272" i="51"/>
  <c r="AH237" i="51"/>
  <c r="AH271" i="51"/>
  <c r="AH240" i="51"/>
  <c r="AH285" i="51"/>
  <c r="AH302" i="51"/>
  <c r="AH315" i="51"/>
  <c r="AH307" i="51"/>
  <c r="AH322" i="51"/>
  <c r="AH313" i="51"/>
  <c r="AH288" i="51"/>
  <c r="AH329" i="51"/>
  <c r="AH339" i="51"/>
  <c r="AI364" i="51"/>
  <c r="AH364" i="51"/>
  <c r="AH16" i="51"/>
  <c r="AH352" i="51"/>
  <c r="AH366" i="51"/>
  <c r="AH359" i="51"/>
  <c r="AH28" i="51"/>
  <c r="AH56" i="51"/>
  <c r="AH35" i="51"/>
  <c r="AH57" i="51"/>
  <c r="AH36" i="51"/>
  <c r="AH50" i="51"/>
  <c r="AH14" i="51"/>
  <c r="AH19" i="51"/>
  <c r="AH68" i="51"/>
  <c r="AH86" i="51"/>
  <c r="AH77" i="51"/>
  <c r="AH27" i="51"/>
  <c r="AH98" i="51"/>
  <c r="AH114" i="51"/>
  <c r="AH83" i="51"/>
  <c r="AH76" i="51"/>
  <c r="AH97" i="51"/>
  <c r="AH113" i="51"/>
  <c r="AH78" i="51"/>
  <c r="AH128" i="51"/>
  <c r="AH65" i="51"/>
  <c r="AH29" i="51"/>
  <c r="AH13" i="51"/>
  <c r="AH124" i="51"/>
  <c r="AH93" i="51"/>
  <c r="AH103" i="51"/>
  <c r="AH119" i="51"/>
  <c r="AH134" i="51"/>
  <c r="AH167" i="51"/>
  <c r="AH183" i="51"/>
  <c r="AH231" i="51"/>
  <c r="AH202" i="51"/>
  <c r="AH255" i="51"/>
  <c r="AH143" i="51"/>
  <c r="AH160" i="51"/>
  <c r="AH176" i="51"/>
  <c r="AH224" i="51"/>
  <c r="AH191" i="51"/>
  <c r="AH156" i="51"/>
  <c r="AH169" i="51"/>
  <c r="AH188" i="51"/>
  <c r="AH204" i="51"/>
  <c r="AH251" i="51"/>
  <c r="AH174" i="51"/>
  <c r="AH218" i="51"/>
  <c r="AH189" i="51"/>
  <c r="AH205" i="51"/>
  <c r="AH253" i="51"/>
  <c r="AH254" i="51"/>
  <c r="AH239" i="51"/>
  <c r="AH273" i="51"/>
  <c r="AH211" i="51"/>
  <c r="AH265" i="51"/>
  <c r="AH260" i="51"/>
  <c r="AH275" i="51"/>
  <c r="AH244" i="51"/>
  <c r="AH290" i="51"/>
  <c r="AH306" i="51"/>
  <c r="AH295" i="51"/>
  <c r="AH328" i="51"/>
  <c r="AH327" i="51"/>
  <c r="AH317" i="51"/>
  <c r="AH309" i="51"/>
  <c r="AH320" i="51"/>
  <c r="AH343" i="51"/>
  <c r="AH331" i="51"/>
  <c r="AH341" i="51"/>
  <c r="AH350" i="51"/>
  <c r="AH357" i="51"/>
  <c r="AH369" i="51"/>
  <c r="AH356" i="51"/>
  <c r="AH43" i="51"/>
  <c r="AH12" i="51"/>
  <c r="AH38" i="51"/>
  <c r="AH47" i="51"/>
  <c r="AH20" i="51"/>
  <c r="AH42" i="51"/>
  <c r="AH26" i="51"/>
  <c r="AH58" i="51"/>
  <c r="AH9" i="51"/>
  <c r="AH363" i="51"/>
  <c r="F376" i="51"/>
  <c r="I19" i="55" l="1"/>
  <c r="G19" i="55" s="1"/>
  <c r="H19" i="55"/>
  <c r="AF25" i="27"/>
  <c r="AK25" i="27"/>
  <c r="AP25" i="27" l="1"/>
  <c r="P25" i="27" s="1"/>
  <c r="G20" i="55"/>
  <c r="G21" i="55" s="1"/>
  <c r="K25" i="27" l="1"/>
  <c r="K24" i="67" s="1"/>
  <c r="P24" i="67"/>
  <c r="W35" i="53"/>
  <c r="W33" i="53" l="1"/>
  <c r="W34" i="53" s="1"/>
  <c r="D21" i="21"/>
  <c r="P29" i="27" l="1"/>
  <c r="P20" i="27" l="1"/>
  <c r="P40" i="27" s="1"/>
  <c r="P28" i="67"/>
  <c r="P19" i="67" s="1"/>
  <c r="P39" i="67" s="1"/>
  <c r="K29" i="27"/>
  <c r="K20" i="27" l="1"/>
  <c r="K40" i="27" s="1"/>
  <c r="E29" i="21" s="1"/>
  <c r="K28" i="67"/>
  <c r="K19" i="67" s="1"/>
  <c r="K39" i="6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横須賀市</author>
  </authors>
  <commentList>
    <comment ref="H17" authorId="0" shapeId="0" xr:uid="{31C9BC67-EA8C-41F3-9CCA-18427D40E981}">
      <text>
        <r>
          <rPr>
            <b/>
            <sz val="11"/>
            <color indexed="81"/>
            <rFont val="MS P ゴシック"/>
            <family val="3"/>
            <charset val="128"/>
          </rPr>
          <t>常勤職員２名以上配置する場合の基本額を活用しているクラブは、タブで【常勤２名】を選択し、配置を開始した月を必ず入力してください。</t>
        </r>
      </text>
    </comment>
    <comment ref="P37" authorId="0" shapeId="0" xr:uid="{BD81100E-50B0-4475-AA41-CE4A68673B2F}">
      <text>
        <r>
          <rPr>
            <b/>
            <sz val="12"/>
            <color indexed="81"/>
            <rFont val="MS P ゴシック"/>
            <family val="3"/>
            <charset val="128"/>
          </rPr>
          <t>令和７年度に開所したクラブで、４月から９月の間で該当の備品を購入した場合は入力</t>
        </r>
      </text>
    </comment>
    <comment ref="P38" authorId="0" shapeId="0" xr:uid="{FA08ABEE-544D-4BCF-8371-D6348DFD4B03}">
      <text>
        <r>
          <rPr>
            <sz val="13"/>
            <color indexed="81"/>
            <rFont val="MS P ゴシック"/>
            <family val="3"/>
            <charset val="128"/>
          </rPr>
          <t>令和７年度に開所したクラブで、４月から９月の間で該当の防災備品を購入した場合は入力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横須賀市</author>
  </authors>
  <commentList>
    <comment ref="H17" authorId="0" shapeId="0" xr:uid="{5246007A-F60B-4E77-A931-52F83E6CBE8A}">
      <text>
        <r>
          <rPr>
            <b/>
            <sz val="11"/>
            <color indexed="81"/>
            <rFont val="MS P ゴシック"/>
            <family val="3"/>
            <charset val="128"/>
          </rPr>
          <t>常勤職員２名以上配置する場合の基本額を活用しているクラブは、タブで【常勤２名】を選択し、配置を開始した月を必ず入力してください。</t>
        </r>
      </text>
    </comment>
    <comment ref="P38" authorId="0" shapeId="0" xr:uid="{DFC8803A-C7AE-4E1C-9EC7-2D9E92A270E7}">
      <text>
        <r>
          <rPr>
            <b/>
            <sz val="12"/>
            <color indexed="81"/>
            <rFont val="MS P ゴシック"/>
            <family val="3"/>
            <charset val="128"/>
          </rPr>
          <t>令和６年度に開所したクラブで、４月から９月の間で該当の備品を購入した場合は入力</t>
        </r>
      </text>
    </comment>
    <comment ref="P39" authorId="0" shapeId="0" xr:uid="{0D09004C-8E56-4932-80CB-CD633C3C8788}">
      <text>
        <r>
          <rPr>
            <sz val="13"/>
            <color indexed="81"/>
            <rFont val="MS P ゴシック"/>
            <family val="3"/>
            <charset val="128"/>
          </rPr>
          <t>令和６年度に開所したクラブで、４月から９月の間で該当の防災備品を購入した場合は入力</t>
        </r>
      </text>
    </comment>
  </commentList>
</comments>
</file>

<file path=xl/sharedStrings.xml><?xml version="1.0" encoding="utf-8"?>
<sst xmlns="http://schemas.openxmlformats.org/spreadsheetml/2006/main" count="3056" uniqueCount="666">
  <si>
    <t>円</t>
    <rPh sb="0" eb="1">
      <t>エン</t>
    </rPh>
    <phoneticPr fontId="1"/>
  </si>
  <si>
    <t>団体名</t>
    <rPh sb="0" eb="2">
      <t>ダンタイ</t>
    </rPh>
    <rPh sb="2" eb="3">
      <t>メイ</t>
    </rPh>
    <phoneticPr fontId="1"/>
  </si>
  <si>
    <t>円</t>
    <rPh sb="0" eb="1">
      <t>エン</t>
    </rPh>
    <phoneticPr fontId="1"/>
  </si>
  <si>
    <t>団体名</t>
    <rPh sb="0" eb="2">
      <t>ダンタイ</t>
    </rPh>
    <rPh sb="2" eb="3">
      <t>メイ</t>
    </rPh>
    <phoneticPr fontId="1"/>
  </si>
  <si>
    <t>Ｎｏ</t>
    <phoneticPr fontId="1"/>
  </si>
  <si>
    <t>児童氏名</t>
    <rPh sb="0" eb="2">
      <t>ジドウ</t>
    </rPh>
    <rPh sb="2" eb="4">
      <t>シメイ</t>
    </rPh>
    <phoneticPr fontId="1"/>
  </si>
  <si>
    <t>学年</t>
    <rPh sb="0" eb="2">
      <t>ガクネン</t>
    </rPh>
    <phoneticPr fontId="1"/>
  </si>
  <si>
    <t>①</t>
    <phoneticPr fontId="1"/>
  </si>
  <si>
    <t>②</t>
    <phoneticPr fontId="1"/>
  </si>
  <si>
    <t>クラブ児童数</t>
    <rPh sb="3" eb="5">
      <t>ジドウ</t>
    </rPh>
    <rPh sb="5" eb="6">
      <t>スウ</t>
    </rPh>
    <phoneticPr fontId="1"/>
  </si>
  <si>
    <t>4月</t>
    <rPh sb="1" eb="2">
      <t>ガツ</t>
    </rPh>
    <phoneticPr fontId="1"/>
  </si>
  <si>
    <t>5月</t>
  </si>
  <si>
    <t>6月</t>
  </si>
  <si>
    <t>7月</t>
  </si>
  <si>
    <t>8月</t>
  </si>
  <si>
    <t>9月</t>
  </si>
  <si>
    <t>10月</t>
  </si>
  <si>
    <t>11月</t>
  </si>
  <si>
    <t>12月</t>
  </si>
  <si>
    <t>1月</t>
  </si>
  <si>
    <t>2月</t>
  </si>
  <si>
    <t>3月</t>
  </si>
  <si>
    <t>合計</t>
    <rPh sb="0" eb="2">
      <t>ゴウケイ</t>
    </rPh>
    <phoneticPr fontId="1"/>
  </si>
  <si>
    <t>開所日数</t>
    <rPh sb="0" eb="2">
      <t>カイショ</t>
    </rPh>
    <rPh sb="2" eb="4">
      <t>ニッスウ</t>
    </rPh>
    <phoneticPr fontId="1"/>
  </si>
  <si>
    <t>平日</t>
    <rPh sb="0" eb="2">
      <t>ヘイジツ</t>
    </rPh>
    <phoneticPr fontId="1"/>
  </si>
  <si>
    <t>開所時間</t>
    <rPh sb="0" eb="2">
      <t>カイショ</t>
    </rPh>
    <rPh sb="2" eb="4">
      <t>ジカン</t>
    </rPh>
    <phoneticPr fontId="1"/>
  </si>
  <si>
    <t>日</t>
    <rPh sb="0" eb="1">
      <t>ニチ</t>
    </rPh>
    <phoneticPr fontId="1"/>
  </si>
  <si>
    <t>開所日数加算</t>
    <rPh sb="0" eb="2">
      <t>カイショ</t>
    </rPh>
    <rPh sb="2" eb="4">
      <t>ニッスウ</t>
    </rPh>
    <rPh sb="4" eb="6">
      <t>カサン</t>
    </rPh>
    <phoneticPr fontId="1"/>
  </si>
  <si>
    <t>補助項目</t>
    <rPh sb="0" eb="2">
      <t>ホジョ</t>
    </rPh>
    <rPh sb="2" eb="4">
      <t>コウモク</t>
    </rPh>
    <phoneticPr fontId="1"/>
  </si>
  <si>
    <t>備考</t>
    <rPh sb="0" eb="2">
      <t>ビコウ</t>
    </rPh>
    <phoneticPr fontId="1"/>
  </si>
  <si>
    <t>基本額</t>
    <rPh sb="0" eb="2">
      <t>キホン</t>
    </rPh>
    <rPh sb="2" eb="3">
      <t>ガク</t>
    </rPh>
    <phoneticPr fontId="1"/>
  </si>
  <si>
    <t>小規模放課後児童クラブ支援加算</t>
    <rPh sb="0" eb="3">
      <t>ショウキボ</t>
    </rPh>
    <rPh sb="3" eb="6">
      <t>ホウカゴ</t>
    </rPh>
    <rPh sb="6" eb="8">
      <t>ジドウ</t>
    </rPh>
    <rPh sb="11" eb="13">
      <t>シエン</t>
    </rPh>
    <rPh sb="13" eb="15">
      <t>カサン</t>
    </rPh>
    <phoneticPr fontId="1"/>
  </si>
  <si>
    <t>長時間開所加算（平日分）</t>
    <rPh sb="0" eb="3">
      <t>チョウジカン</t>
    </rPh>
    <rPh sb="3" eb="5">
      <t>カイショ</t>
    </rPh>
    <rPh sb="5" eb="7">
      <t>カサン</t>
    </rPh>
    <rPh sb="8" eb="10">
      <t>ヘイジツ</t>
    </rPh>
    <rPh sb="10" eb="11">
      <t>ブン</t>
    </rPh>
    <phoneticPr fontId="1"/>
  </si>
  <si>
    <t>長時間開所加算（長期休暇等分）</t>
    <rPh sb="0" eb="3">
      <t>チョウジカン</t>
    </rPh>
    <rPh sb="3" eb="5">
      <t>カイショ</t>
    </rPh>
    <rPh sb="5" eb="7">
      <t>カサン</t>
    </rPh>
    <rPh sb="8" eb="10">
      <t>チョウキ</t>
    </rPh>
    <rPh sb="10" eb="12">
      <t>キュウカ</t>
    </rPh>
    <rPh sb="12" eb="14">
      <t>トウブン</t>
    </rPh>
    <phoneticPr fontId="1"/>
  </si>
  <si>
    <t>障害児受入加算</t>
    <rPh sb="0" eb="3">
      <t>ショウガイジ</t>
    </rPh>
    <rPh sb="3" eb="5">
      <t>ウケイレ</t>
    </rPh>
    <rPh sb="5" eb="7">
      <t>カサン</t>
    </rPh>
    <phoneticPr fontId="1"/>
  </si>
  <si>
    <t>障害児受入特別加算</t>
    <rPh sb="0" eb="3">
      <t>ショウガイジ</t>
    </rPh>
    <rPh sb="3" eb="5">
      <t>ウケイレ</t>
    </rPh>
    <rPh sb="5" eb="7">
      <t>トクベツ</t>
    </rPh>
    <rPh sb="7" eb="9">
      <t>カサン</t>
    </rPh>
    <phoneticPr fontId="1"/>
  </si>
  <si>
    <t>障害児受入強化加算</t>
    <rPh sb="0" eb="3">
      <t>ショウガイジ</t>
    </rPh>
    <rPh sb="3" eb="5">
      <t>ウケイレ</t>
    </rPh>
    <rPh sb="5" eb="7">
      <t>キョウカ</t>
    </rPh>
    <rPh sb="7" eb="9">
      <t>カサン</t>
    </rPh>
    <phoneticPr fontId="1"/>
  </si>
  <si>
    <t>放課後児童支援員等研修受講費</t>
    <rPh sb="0" eb="3">
      <t>ホウカゴ</t>
    </rPh>
    <rPh sb="3" eb="5">
      <t>ジドウ</t>
    </rPh>
    <rPh sb="5" eb="7">
      <t>シエン</t>
    </rPh>
    <rPh sb="7" eb="9">
      <t>イントウ</t>
    </rPh>
    <rPh sb="9" eb="11">
      <t>ケンシュウ</t>
    </rPh>
    <rPh sb="11" eb="13">
      <t>ジュコウ</t>
    </rPh>
    <rPh sb="13" eb="14">
      <t>ヒ</t>
    </rPh>
    <phoneticPr fontId="1"/>
  </si>
  <si>
    <t>交付済額（Ｂ）</t>
    <rPh sb="0" eb="2">
      <t>コウフ</t>
    </rPh>
    <rPh sb="2" eb="3">
      <t>ズミ</t>
    </rPh>
    <rPh sb="3" eb="4">
      <t>ガク</t>
    </rPh>
    <phoneticPr fontId="1"/>
  </si>
  <si>
    <t>学校</t>
    <rPh sb="0" eb="2">
      <t>ガッコウ</t>
    </rPh>
    <phoneticPr fontId="1"/>
  </si>
  <si>
    <t>住所</t>
    <rPh sb="0" eb="2">
      <t>ジュウショ</t>
    </rPh>
    <phoneticPr fontId="1"/>
  </si>
  <si>
    <t>障害児</t>
    <rPh sb="0" eb="3">
      <t>ショウガイジ</t>
    </rPh>
    <phoneticPr fontId="1"/>
  </si>
  <si>
    <t>保護者氏名</t>
    <rPh sb="0" eb="3">
      <t>ホゴシャ</t>
    </rPh>
    <rPh sb="3" eb="5">
      <t>シメイ</t>
    </rPh>
    <phoneticPr fontId="1"/>
  </si>
  <si>
    <t>1年</t>
    <rPh sb="1" eb="2">
      <t>ネン</t>
    </rPh>
    <phoneticPr fontId="1"/>
  </si>
  <si>
    <t>2年</t>
    <rPh sb="1" eb="2">
      <t>ネン</t>
    </rPh>
    <phoneticPr fontId="1"/>
  </si>
  <si>
    <t>3年</t>
    <rPh sb="1" eb="2">
      <t>ネン</t>
    </rPh>
    <phoneticPr fontId="1"/>
  </si>
  <si>
    <t>4年</t>
    <rPh sb="1" eb="2">
      <t>ネン</t>
    </rPh>
    <phoneticPr fontId="1"/>
  </si>
  <si>
    <t>5年</t>
    <rPh sb="1" eb="2">
      <t>ネン</t>
    </rPh>
    <phoneticPr fontId="1"/>
  </si>
  <si>
    <t>6年</t>
    <rPh sb="1" eb="2">
      <t>ネン</t>
    </rPh>
    <phoneticPr fontId="1"/>
  </si>
  <si>
    <t>入所・退所</t>
    <rPh sb="0" eb="2">
      <t>ニュウショ</t>
    </rPh>
    <rPh sb="3" eb="5">
      <t>タイショ</t>
    </rPh>
    <phoneticPr fontId="1"/>
  </si>
  <si>
    <t>入所・継続</t>
    <rPh sb="0" eb="2">
      <t>ニュウショ</t>
    </rPh>
    <rPh sb="3" eb="5">
      <t>ケイゾク</t>
    </rPh>
    <phoneticPr fontId="1"/>
  </si>
  <si>
    <t>継続</t>
    <rPh sb="0" eb="2">
      <t>ケイゾク</t>
    </rPh>
    <phoneticPr fontId="1"/>
  </si>
  <si>
    <t>継続・退所</t>
    <rPh sb="0" eb="2">
      <t>ケイゾク</t>
    </rPh>
    <rPh sb="3" eb="5">
      <t>タイショ</t>
    </rPh>
    <phoneticPr fontId="1"/>
  </si>
  <si>
    <t>※児童数により適宜行を追加してください。</t>
    <rPh sb="1" eb="3">
      <t>ジドウ</t>
    </rPh>
    <rPh sb="3" eb="4">
      <t>スウ</t>
    </rPh>
    <rPh sb="7" eb="9">
      <t>テキギ</t>
    </rPh>
    <rPh sb="9" eb="10">
      <t>ギョウ</t>
    </rPh>
    <rPh sb="11" eb="13">
      <t>ツイカ</t>
    </rPh>
    <phoneticPr fontId="1"/>
  </si>
  <si>
    <t>横須賀市長　様</t>
    <rPh sb="0" eb="5">
      <t>ヨコスカシチョウ</t>
    </rPh>
    <rPh sb="6" eb="7">
      <t>サマ</t>
    </rPh>
    <phoneticPr fontId="1"/>
  </si>
  <si>
    <t>請　求　書</t>
    <rPh sb="0" eb="1">
      <t>ショウ</t>
    </rPh>
    <rPh sb="2" eb="3">
      <t>モトム</t>
    </rPh>
    <rPh sb="4" eb="5">
      <t>ショ</t>
    </rPh>
    <phoneticPr fontId="1"/>
  </si>
  <si>
    <t>代表者氏名</t>
    <rPh sb="0" eb="3">
      <t>ダイヒョウシャ</t>
    </rPh>
    <rPh sb="3" eb="5">
      <t>シメイ</t>
    </rPh>
    <phoneticPr fontId="1"/>
  </si>
  <si>
    <t>申請者</t>
    <rPh sb="0" eb="3">
      <t>シンセイシャ</t>
    </rPh>
    <phoneticPr fontId="1"/>
  </si>
  <si>
    <t>次の金額を請求いたします。</t>
    <rPh sb="0" eb="1">
      <t>ツギ</t>
    </rPh>
    <rPh sb="2" eb="4">
      <t>キンガク</t>
    </rPh>
    <rPh sb="5" eb="7">
      <t>セイキュウ</t>
    </rPh>
    <phoneticPr fontId="1"/>
  </si>
  <si>
    <t>金額</t>
    <rPh sb="0" eb="2">
      <t>キンガク</t>
    </rPh>
    <phoneticPr fontId="1"/>
  </si>
  <si>
    <t>―――――――――――――――――――――――――――――――――――――――――――――</t>
    <phoneticPr fontId="1"/>
  </si>
  <si>
    <t>振込口座</t>
    <rPh sb="0" eb="2">
      <t>フリコミ</t>
    </rPh>
    <rPh sb="2" eb="4">
      <t>コウザ</t>
    </rPh>
    <phoneticPr fontId="1"/>
  </si>
  <si>
    <t>預金種目</t>
    <rPh sb="0" eb="2">
      <t>ヨキン</t>
    </rPh>
    <rPh sb="2" eb="4">
      <t>シュモク</t>
    </rPh>
    <phoneticPr fontId="1"/>
  </si>
  <si>
    <t>口座番号　※右詰で７ケタ全て（ゼロも）記載してください</t>
    <rPh sb="0" eb="2">
      <t>コウザ</t>
    </rPh>
    <rPh sb="2" eb="4">
      <t>バンゴウ</t>
    </rPh>
    <rPh sb="6" eb="8">
      <t>ミギヅメ</t>
    </rPh>
    <rPh sb="12" eb="13">
      <t>スベ</t>
    </rPh>
    <rPh sb="19" eb="21">
      <t>キサイ</t>
    </rPh>
    <phoneticPr fontId="1"/>
  </si>
  <si>
    <t>口座名義</t>
    <rPh sb="0" eb="2">
      <t>コウザ</t>
    </rPh>
    <rPh sb="2" eb="4">
      <t>メイギ</t>
    </rPh>
    <phoneticPr fontId="1"/>
  </si>
  <si>
    <t>金融機関コード</t>
    <rPh sb="0" eb="2">
      <t>キンユウ</t>
    </rPh>
    <rPh sb="2" eb="4">
      <t>キカン</t>
    </rPh>
    <phoneticPr fontId="1"/>
  </si>
  <si>
    <t>支店コード</t>
    <rPh sb="0" eb="2">
      <t>シテン</t>
    </rPh>
    <phoneticPr fontId="1"/>
  </si>
  <si>
    <t>フリガナ</t>
    <phoneticPr fontId="1"/>
  </si>
  <si>
    <t>コード</t>
    <phoneticPr fontId="1"/>
  </si>
  <si>
    <t>添付書類</t>
    <rPh sb="0" eb="2">
      <t>テンプ</t>
    </rPh>
    <rPh sb="2" eb="4">
      <t>ショルイ</t>
    </rPh>
    <phoneticPr fontId="1"/>
  </si>
  <si>
    <t>事業計画変更申請書</t>
    <rPh sb="0" eb="2">
      <t>ジギョウ</t>
    </rPh>
    <rPh sb="2" eb="4">
      <t>ケイカク</t>
    </rPh>
    <rPh sb="4" eb="6">
      <t>ヘンコウ</t>
    </rPh>
    <rPh sb="6" eb="9">
      <t>シンセイショ</t>
    </rPh>
    <phoneticPr fontId="1"/>
  </si>
  <si>
    <t>（あて先）　横須賀市長</t>
    <rPh sb="3" eb="4">
      <t>サキ</t>
    </rPh>
    <rPh sb="6" eb="11">
      <t>ヨコスカシチョウ</t>
    </rPh>
    <phoneticPr fontId="1"/>
  </si>
  <si>
    <t>補助金等の名称</t>
    <rPh sb="0" eb="4">
      <t>ホジョキントウ</t>
    </rPh>
    <rPh sb="5" eb="7">
      <t>メイショウ</t>
    </rPh>
    <phoneticPr fontId="1"/>
  </si>
  <si>
    <t>補助事業等の名称</t>
    <rPh sb="0" eb="2">
      <t>ホジョ</t>
    </rPh>
    <rPh sb="2" eb="5">
      <t>ジギョウトウ</t>
    </rPh>
    <rPh sb="6" eb="8">
      <t>メイショウ</t>
    </rPh>
    <phoneticPr fontId="1"/>
  </si>
  <si>
    <t>小規模放課後児童クラブ支援加算</t>
    <rPh sb="0" eb="1">
      <t>ショウ</t>
    </rPh>
    <rPh sb="1" eb="3">
      <t>キボ</t>
    </rPh>
    <rPh sb="3" eb="6">
      <t>ホウカゴ</t>
    </rPh>
    <rPh sb="6" eb="8">
      <t>ジドウ</t>
    </rPh>
    <rPh sb="11" eb="13">
      <t>シエン</t>
    </rPh>
    <rPh sb="13" eb="15">
      <t>カサン</t>
    </rPh>
    <phoneticPr fontId="1"/>
  </si>
  <si>
    <t>家賃補助</t>
    <rPh sb="0" eb="2">
      <t>ヤチン</t>
    </rPh>
    <rPh sb="2" eb="4">
      <t>ホジョ</t>
    </rPh>
    <phoneticPr fontId="1"/>
  </si>
  <si>
    <t>ひとり親世帯利用料割引加算</t>
    <rPh sb="3" eb="4">
      <t>オヤ</t>
    </rPh>
    <rPh sb="4" eb="6">
      <t>セタイ</t>
    </rPh>
    <rPh sb="6" eb="9">
      <t>リヨウリョウ</t>
    </rPh>
    <rPh sb="9" eb="11">
      <t>ワリビキ</t>
    </rPh>
    <rPh sb="11" eb="13">
      <t>カサン</t>
    </rPh>
    <phoneticPr fontId="1"/>
  </si>
  <si>
    <t>変更年月日</t>
    <rPh sb="0" eb="2">
      <t>ヘンコウ</t>
    </rPh>
    <rPh sb="2" eb="5">
      <t>ネンガッピ</t>
    </rPh>
    <phoneticPr fontId="1"/>
  </si>
  <si>
    <t>変更の理由</t>
    <rPh sb="0" eb="2">
      <t>ヘンコウ</t>
    </rPh>
    <rPh sb="3" eb="5">
      <t>リユウ</t>
    </rPh>
    <phoneticPr fontId="1"/>
  </si>
  <si>
    <t>開所日数250日以上</t>
    <rPh sb="0" eb="2">
      <t>カイショ</t>
    </rPh>
    <rPh sb="2" eb="4">
      <t>ニッスウ</t>
    </rPh>
    <rPh sb="7" eb="8">
      <t>ニチ</t>
    </rPh>
    <rPh sb="8" eb="10">
      <t>イジョウ</t>
    </rPh>
    <phoneticPr fontId="1"/>
  </si>
  <si>
    <t>要件</t>
    <rPh sb="0" eb="2">
      <t>ヨウケン</t>
    </rPh>
    <phoneticPr fontId="1"/>
  </si>
  <si>
    <t>計算式</t>
    <rPh sb="0" eb="2">
      <t>ケイサン</t>
    </rPh>
    <rPh sb="2" eb="3">
      <t>シキ</t>
    </rPh>
    <phoneticPr fontId="1"/>
  </si>
  <si>
    <t>対象研修に参加</t>
    <rPh sb="0" eb="2">
      <t>タイショウ</t>
    </rPh>
    <rPh sb="2" eb="4">
      <t>ケンシュウ</t>
    </rPh>
    <rPh sb="5" eb="7">
      <t>サンカ</t>
    </rPh>
    <phoneticPr fontId="1"/>
  </si>
  <si>
    <t>ひとり親世帯の利用料割引をしているクラブ</t>
    <rPh sb="3" eb="4">
      <t>オヤ</t>
    </rPh>
    <rPh sb="4" eb="6">
      <t>セタイ</t>
    </rPh>
    <rPh sb="7" eb="10">
      <t>リヨウリョウ</t>
    </rPh>
    <rPh sb="10" eb="12">
      <t>ワリビキ</t>
    </rPh>
    <phoneticPr fontId="1"/>
  </si>
  <si>
    <t>児童数20人～35人</t>
    <rPh sb="0" eb="2">
      <t>ジドウ</t>
    </rPh>
    <rPh sb="2" eb="3">
      <t>スウ</t>
    </rPh>
    <rPh sb="5" eb="6">
      <t>ニン</t>
    </rPh>
    <rPh sb="9" eb="10">
      <t>ニン</t>
    </rPh>
    <phoneticPr fontId="1"/>
  </si>
  <si>
    <t>児童数36人～45人</t>
    <rPh sb="0" eb="2">
      <t>ジドウ</t>
    </rPh>
    <rPh sb="2" eb="3">
      <t>スウ</t>
    </rPh>
    <rPh sb="5" eb="6">
      <t>ニン</t>
    </rPh>
    <rPh sb="9" eb="10">
      <t>ニン</t>
    </rPh>
    <phoneticPr fontId="1"/>
  </si>
  <si>
    <t>児童数46人～70人</t>
    <rPh sb="0" eb="2">
      <t>ジドウ</t>
    </rPh>
    <rPh sb="2" eb="3">
      <t>スウ</t>
    </rPh>
    <rPh sb="5" eb="6">
      <t>ニン</t>
    </rPh>
    <rPh sb="9" eb="10">
      <t>ニン</t>
    </rPh>
    <phoneticPr fontId="1"/>
  </si>
  <si>
    <t>開所日数200日～249日</t>
    <rPh sb="0" eb="2">
      <t>カイショ</t>
    </rPh>
    <rPh sb="2" eb="4">
      <t>ニッスウ</t>
    </rPh>
    <rPh sb="7" eb="8">
      <t>ニチ</t>
    </rPh>
    <rPh sb="12" eb="13">
      <t>ニチ</t>
    </rPh>
    <phoneticPr fontId="1"/>
  </si>
  <si>
    <t>児童数20人～</t>
    <rPh sb="0" eb="2">
      <t>ジドウ</t>
    </rPh>
    <rPh sb="2" eb="3">
      <t>スウ</t>
    </rPh>
    <rPh sb="5" eb="6">
      <t>ニン</t>
    </rPh>
    <phoneticPr fontId="1"/>
  </si>
  <si>
    <t>年間在籍児童</t>
    <rPh sb="0" eb="2">
      <t>ネンカン</t>
    </rPh>
    <rPh sb="2" eb="4">
      <t>ザイセキ</t>
    </rPh>
    <rPh sb="4" eb="6">
      <t>ジドウ</t>
    </rPh>
    <phoneticPr fontId="1"/>
  </si>
  <si>
    <t>最終決定額（Ａ）</t>
    <rPh sb="0" eb="2">
      <t>サイシュウ</t>
    </rPh>
    <rPh sb="2" eb="4">
      <t>ケッテイ</t>
    </rPh>
    <rPh sb="4" eb="5">
      <t>ガク</t>
    </rPh>
    <phoneticPr fontId="1"/>
  </si>
  <si>
    <t>提出日</t>
    <rPh sb="0" eb="2">
      <t>テイシュツ</t>
    </rPh>
    <rPh sb="2" eb="3">
      <t>ビ</t>
    </rPh>
    <phoneticPr fontId="1"/>
  </si>
  <si>
    <t>役職・氏名</t>
    <rPh sb="0" eb="2">
      <t>ヤクショク</t>
    </rPh>
    <rPh sb="3" eb="5">
      <t>シメイ</t>
    </rPh>
    <phoneticPr fontId="1"/>
  </si>
  <si>
    <r>
      <t xml:space="preserve">備考
</t>
    </r>
    <r>
      <rPr>
        <sz val="10"/>
        <color theme="1"/>
        <rFont val="ＭＳ Ｐゴシック"/>
        <family val="3"/>
        <charset val="128"/>
        <scheme val="minor"/>
      </rPr>
      <t>（連絡に都合のいい時間等）</t>
    </r>
    <rPh sb="0" eb="2">
      <t>ビコウ</t>
    </rPh>
    <rPh sb="4" eb="6">
      <t>レンラク</t>
    </rPh>
    <rPh sb="7" eb="9">
      <t>ツゴウ</t>
    </rPh>
    <rPh sb="12" eb="15">
      <t>ジカントウ</t>
    </rPh>
    <phoneticPr fontId="1"/>
  </si>
  <si>
    <t>　　　銀行</t>
    <rPh sb="3" eb="5">
      <t>ギンコウ</t>
    </rPh>
    <phoneticPr fontId="1"/>
  </si>
  <si>
    <t>　　　信用金庫</t>
    <rPh sb="3" eb="5">
      <t>シンヨウ</t>
    </rPh>
    <rPh sb="5" eb="7">
      <t>キンコ</t>
    </rPh>
    <phoneticPr fontId="1"/>
  </si>
  <si>
    <t>　　　本店</t>
    <rPh sb="3" eb="5">
      <t>ホンテン</t>
    </rPh>
    <phoneticPr fontId="1"/>
  </si>
  <si>
    <t>　　　支店</t>
    <rPh sb="3" eb="5">
      <t>シテン</t>
    </rPh>
    <phoneticPr fontId="1"/>
  </si>
  <si>
    <t>　　　普通</t>
    <rPh sb="3" eb="5">
      <t>フツウ</t>
    </rPh>
    <phoneticPr fontId="1"/>
  </si>
  <si>
    <t>　　　当座</t>
    <rPh sb="3" eb="5">
      <t>トウザ</t>
    </rPh>
    <phoneticPr fontId="1"/>
  </si>
  <si>
    <t>（役職）</t>
    <rPh sb="1" eb="3">
      <t>ヤクショク</t>
    </rPh>
    <phoneticPr fontId="1"/>
  </si>
  <si>
    <t>氏名</t>
    <rPh sb="0" eb="2">
      <t>シメイ</t>
    </rPh>
    <phoneticPr fontId="1"/>
  </si>
  <si>
    <t>放課後児童支援員等処遇改善等加算</t>
    <rPh sb="0" eb="3">
      <t>ホウカゴ</t>
    </rPh>
    <rPh sb="3" eb="5">
      <t>ジドウ</t>
    </rPh>
    <rPh sb="5" eb="7">
      <t>シエン</t>
    </rPh>
    <rPh sb="7" eb="8">
      <t>イン</t>
    </rPh>
    <rPh sb="8" eb="9">
      <t>トウ</t>
    </rPh>
    <rPh sb="9" eb="11">
      <t>ショグウ</t>
    </rPh>
    <rPh sb="11" eb="13">
      <t>カイゼン</t>
    </rPh>
    <rPh sb="13" eb="14">
      <t>トウ</t>
    </rPh>
    <rPh sb="14" eb="16">
      <t>カサン</t>
    </rPh>
    <phoneticPr fontId="1"/>
  </si>
  <si>
    <t>多子世帯利用料割引加算</t>
    <rPh sb="0" eb="2">
      <t>タシ</t>
    </rPh>
    <rPh sb="2" eb="4">
      <t>セタイ</t>
    </rPh>
    <rPh sb="4" eb="7">
      <t>リヨウリョウ</t>
    </rPh>
    <rPh sb="7" eb="9">
      <t>ワリビキ</t>
    </rPh>
    <rPh sb="9" eb="11">
      <t>カサン</t>
    </rPh>
    <phoneticPr fontId="1"/>
  </si>
  <si>
    <t>放課後児童支援員等研修受講費補助</t>
    <rPh sb="0" eb="3">
      <t>ホウカゴ</t>
    </rPh>
    <rPh sb="3" eb="5">
      <t>ジドウ</t>
    </rPh>
    <rPh sb="5" eb="7">
      <t>シエン</t>
    </rPh>
    <rPh sb="7" eb="8">
      <t>イン</t>
    </rPh>
    <rPh sb="8" eb="9">
      <t>トウ</t>
    </rPh>
    <rPh sb="9" eb="11">
      <t>ケンシュウ</t>
    </rPh>
    <rPh sb="11" eb="13">
      <t>ジュコウ</t>
    </rPh>
    <rPh sb="13" eb="14">
      <t>ヒ</t>
    </rPh>
    <rPh sb="14" eb="16">
      <t>ホジョ</t>
    </rPh>
    <phoneticPr fontId="1"/>
  </si>
  <si>
    <t>団体名</t>
    <rPh sb="0" eb="2">
      <t>ダンタイ</t>
    </rPh>
    <rPh sb="2" eb="3">
      <t>メイ</t>
    </rPh>
    <phoneticPr fontId="18"/>
  </si>
  <si>
    <t>氏名</t>
    <rPh sb="0" eb="2">
      <t>シメイ</t>
    </rPh>
    <phoneticPr fontId="1"/>
  </si>
  <si>
    <t>放課後児童クラブ助成事業</t>
    <rPh sb="0" eb="3">
      <t>ホウカゴ</t>
    </rPh>
    <rPh sb="3" eb="5">
      <t>ジドウ</t>
    </rPh>
    <rPh sb="8" eb="10">
      <t>ジョセイ</t>
    </rPh>
    <rPh sb="10" eb="12">
      <t>ジギョウ</t>
    </rPh>
    <phoneticPr fontId="1"/>
  </si>
  <si>
    <t>週４</t>
    <rPh sb="0" eb="1">
      <t>シュウ</t>
    </rPh>
    <phoneticPr fontId="18"/>
  </si>
  <si>
    <t>○</t>
    <phoneticPr fontId="1"/>
  </si>
  <si>
    <t>週５</t>
    <rPh sb="0" eb="1">
      <t>シュウ</t>
    </rPh>
    <phoneticPr fontId="18"/>
  </si>
  <si>
    <t>週３</t>
    <rPh sb="0" eb="1">
      <t>シュウ</t>
    </rPh>
    <phoneticPr fontId="18"/>
  </si>
  <si>
    <t>週２</t>
    <rPh sb="0" eb="1">
      <t>シュウ</t>
    </rPh>
    <phoneticPr fontId="18"/>
  </si>
  <si>
    <t>週１</t>
    <rPh sb="0" eb="1">
      <t>シュウ</t>
    </rPh>
    <phoneticPr fontId="18"/>
  </si>
  <si>
    <t>児童数1～19人</t>
    <rPh sb="0" eb="2">
      <t>ジドウ</t>
    </rPh>
    <rPh sb="2" eb="3">
      <t>スウ</t>
    </rPh>
    <rPh sb="7" eb="8">
      <t>ニン</t>
    </rPh>
    <phoneticPr fontId="1"/>
  </si>
  <si>
    <t>変更申請額（Ａ－Ｂ）</t>
    <rPh sb="0" eb="2">
      <t>ヘンコウ</t>
    </rPh>
    <rPh sb="2" eb="4">
      <t>シンセイ</t>
    </rPh>
    <rPh sb="4" eb="5">
      <t>ガク</t>
    </rPh>
    <phoneticPr fontId="1"/>
  </si>
  <si>
    <t>放課後児童支援員キャリアアップ処遇改善加算</t>
    <rPh sb="0" eb="8">
      <t>ホウカゴジドウシエンイン</t>
    </rPh>
    <rPh sb="15" eb="21">
      <t>ショグウカイゼンカサン</t>
    </rPh>
    <phoneticPr fontId="1"/>
  </si>
  <si>
    <t>対象
月数</t>
    <rPh sb="0" eb="2">
      <t>タイショウ</t>
    </rPh>
    <rPh sb="3" eb="5">
      <t>ツキスウ</t>
    </rPh>
    <phoneticPr fontId="1"/>
  </si>
  <si>
    <t>月</t>
  </si>
  <si>
    <t>水</t>
  </si>
  <si>
    <t>木</t>
  </si>
  <si>
    <t>金</t>
  </si>
  <si>
    <t>土</t>
  </si>
  <si>
    <t>火</t>
  </si>
  <si>
    <t>口座振込の際は、下記口座へお振り込みください。（個人の口座等、クラブ名義でない口座に振り込む場合は、②の欄に①と同一の住所・団体名・代表者氏名を記入してください。）</t>
    <phoneticPr fontId="1"/>
  </si>
  <si>
    <t>児童数19人以下</t>
    <rPh sb="0" eb="2">
      <t>ジドウ</t>
    </rPh>
    <rPh sb="2" eb="3">
      <t>スウ</t>
    </rPh>
    <rPh sb="5" eb="6">
      <t>ニン</t>
    </rPh>
    <rPh sb="6" eb="8">
      <t>イカ</t>
    </rPh>
    <phoneticPr fontId="1"/>
  </si>
  <si>
    <t>児童数19人以下のクラブ</t>
    <rPh sb="0" eb="2">
      <t>ジドウ</t>
    </rPh>
    <rPh sb="2" eb="3">
      <t>スウ</t>
    </rPh>
    <rPh sb="5" eb="6">
      <t>ニン</t>
    </rPh>
    <rPh sb="6" eb="8">
      <t>イカ</t>
    </rPh>
    <phoneticPr fontId="1"/>
  </si>
  <si>
    <t>１日８時間を超えて開所（年間250日未満開所のクラブは対象外）</t>
    <rPh sb="1" eb="2">
      <t>ニチ</t>
    </rPh>
    <rPh sb="3" eb="5">
      <t>ジカン</t>
    </rPh>
    <rPh sb="6" eb="7">
      <t>コ</t>
    </rPh>
    <rPh sb="9" eb="11">
      <t>カイショ</t>
    </rPh>
    <rPh sb="12" eb="14">
      <t>ネンカン</t>
    </rPh>
    <rPh sb="17" eb="18">
      <t>ニチ</t>
    </rPh>
    <rPh sb="18" eb="20">
      <t>ミマン</t>
    </rPh>
    <rPh sb="20" eb="22">
      <t>カイショ</t>
    </rPh>
    <rPh sb="27" eb="30">
      <t>タイショウガイ</t>
    </rPh>
    <phoneticPr fontId="1"/>
  </si>
  <si>
    <t>障害児３名以上で、障害児受入加算の職員配置に加え１名加配</t>
    <rPh sb="0" eb="3">
      <t>ショウガイジ</t>
    </rPh>
    <rPh sb="4" eb="7">
      <t>メイイジョウ</t>
    </rPh>
    <rPh sb="9" eb="12">
      <t>ショウガイジ</t>
    </rPh>
    <rPh sb="12" eb="14">
      <t>ウケイレ</t>
    </rPh>
    <rPh sb="14" eb="16">
      <t>カサン</t>
    </rPh>
    <rPh sb="17" eb="19">
      <t>ショクイン</t>
    </rPh>
    <rPh sb="19" eb="21">
      <t>ハイチ</t>
    </rPh>
    <rPh sb="22" eb="23">
      <t>クワ</t>
    </rPh>
    <rPh sb="25" eb="26">
      <t>メイ</t>
    </rPh>
    <rPh sb="26" eb="28">
      <t>カハイ</t>
    </rPh>
    <phoneticPr fontId="1"/>
  </si>
  <si>
    <t>平日18時30分を超えて開所、年間250日以上開所、定められた業務に主たる担当として従事他</t>
    <rPh sb="0" eb="2">
      <t>ヘイジツ</t>
    </rPh>
    <rPh sb="4" eb="5">
      <t>ジ</t>
    </rPh>
    <rPh sb="7" eb="8">
      <t>フン</t>
    </rPh>
    <rPh sb="9" eb="10">
      <t>コ</t>
    </rPh>
    <rPh sb="12" eb="14">
      <t>カイショ</t>
    </rPh>
    <rPh sb="15" eb="17">
      <t>ネンカン</t>
    </rPh>
    <rPh sb="20" eb="21">
      <t>ニチ</t>
    </rPh>
    <rPh sb="21" eb="23">
      <t>イジョウ</t>
    </rPh>
    <rPh sb="23" eb="25">
      <t>カイショ</t>
    </rPh>
    <rPh sb="26" eb="27">
      <t>サダ</t>
    </rPh>
    <rPh sb="31" eb="33">
      <t>ギョウム</t>
    </rPh>
    <rPh sb="34" eb="35">
      <t>シュ</t>
    </rPh>
    <rPh sb="37" eb="39">
      <t>タントウ</t>
    </rPh>
    <rPh sb="42" eb="44">
      <t>ジュウジ</t>
    </rPh>
    <rPh sb="44" eb="45">
      <t>ホカ</t>
    </rPh>
    <phoneticPr fontId="1"/>
  </si>
  <si>
    <t>放課後児童支援員キャリアアップ処遇改善加算</t>
    <rPh sb="0" eb="3">
      <t>ホウカゴ</t>
    </rPh>
    <rPh sb="3" eb="5">
      <t>ジドウ</t>
    </rPh>
    <rPh sb="5" eb="7">
      <t>シエン</t>
    </rPh>
    <rPh sb="7" eb="8">
      <t>イン</t>
    </rPh>
    <rPh sb="15" eb="17">
      <t>ショグウ</t>
    </rPh>
    <rPh sb="17" eb="19">
      <t>カイゼン</t>
    </rPh>
    <rPh sb="19" eb="21">
      <t>カサン</t>
    </rPh>
    <phoneticPr fontId="1"/>
  </si>
  <si>
    <t>放課後児童支援員に対し、経験年数や研修実績に応じた賃金改善</t>
    <rPh sb="0" eb="3">
      <t>ホウカゴ</t>
    </rPh>
    <rPh sb="3" eb="5">
      <t>ジドウ</t>
    </rPh>
    <rPh sb="5" eb="7">
      <t>シエン</t>
    </rPh>
    <rPh sb="7" eb="8">
      <t>イン</t>
    </rPh>
    <rPh sb="9" eb="10">
      <t>タイ</t>
    </rPh>
    <rPh sb="12" eb="14">
      <t>ケイケン</t>
    </rPh>
    <rPh sb="14" eb="16">
      <t>ネンスウ</t>
    </rPh>
    <rPh sb="17" eb="19">
      <t>ケンシュウ</t>
    </rPh>
    <rPh sb="19" eb="21">
      <t>ジッセキ</t>
    </rPh>
    <rPh sb="22" eb="23">
      <t>オウ</t>
    </rPh>
    <rPh sb="25" eb="27">
      <t>チンギン</t>
    </rPh>
    <rPh sb="27" eb="29">
      <t>カイゼン</t>
    </rPh>
    <phoneticPr fontId="1"/>
  </si>
  <si>
    <t>多子世帯の利用料割引をしているクラブ</t>
    <rPh sb="0" eb="2">
      <t>タシ</t>
    </rPh>
    <rPh sb="2" eb="4">
      <t>セタイ</t>
    </rPh>
    <rPh sb="5" eb="8">
      <t>リヨウリョウ</t>
    </rPh>
    <rPh sb="8" eb="10">
      <t>ワリビキ</t>
    </rPh>
    <phoneticPr fontId="1"/>
  </si>
  <si>
    <t>A</t>
    <phoneticPr fontId="1"/>
  </si>
  <si>
    <t>４月</t>
    <rPh sb="1" eb="2">
      <t>ガツ</t>
    </rPh>
    <phoneticPr fontId="1"/>
  </si>
  <si>
    <t>５月</t>
    <rPh sb="1" eb="2">
      <t>ガツ</t>
    </rPh>
    <phoneticPr fontId="1"/>
  </si>
  <si>
    <t>６月</t>
  </si>
  <si>
    <t>７月</t>
  </si>
  <si>
    <t>８月</t>
  </si>
  <si>
    <t>９月</t>
  </si>
  <si>
    <t>１０月</t>
  </si>
  <si>
    <t>１１月</t>
  </si>
  <si>
    <t>１２月</t>
  </si>
  <si>
    <t>１月</t>
  </si>
  <si>
    <t>２月</t>
  </si>
  <si>
    <t>３月</t>
  </si>
  <si>
    <t>合計</t>
    <rPh sb="0" eb="2">
      <t>ゴウケイ</t>
    </rPh>
    <phoneticPr fontId="1"/>
  </si>
  <si>
    <t>申込児童数</t>
    <rPh sb="0" eb="1">
      <t>モウ</t>
    </rPh>
    <rPh sb="1" eb="2">
      <t>コ</t>
    </rPh>
    <rPh sb="2" eb="4">
      <t>ジドウ</t>
    </rPh>
    <rPh sb="4" eb="5">
      <t>スウ</t>
    </rPh>
    <phoneticPr fontId="1"/>
  </si>
  <si>
    <t>うち障害児</t>
    <rPh sb="2" eb="4">
      <t>ショウガイ</t>
    </rPh>
    <rPh sb="4" eb="5">
      <t>ジ</t>
    </rPh>
    <phoneticPr fontId="1"/>
  </si>
  <si>
    <t>クラブ
児童数</t>
    <rPh sb="4" eb="6">
      <t>ジドウ</t>
    </rPh>
    <rPh sb="6" eb="7">
      <t>スウ</t>
    </rPh>
    <phoneticPr fontId="1"/>
  </si>
  <si>
    <t>週5以上</t>
    <rPh sb="0" eb="1">
      <t>シュウ</t>
    </rPh>
    <rPh sb="2" eb="4">
      <t>イジョウ</t>
    </rPh>
    <phoneticPr fontId="1"/>
  </si>
  <si>
    <t>週４</t>
    <rPh sb="0" eb="1">
      <t>シュウ</t>
    </rPh>
    <phoneticPr fontId="1"/>
  </si>
  <si>
    <t>週３</t>
    <rPh sb="0" eb="1">
      <t>シュウ</t>
    </rPh>
    <phoneticPr fontId="1"/>
  </si>
  <si>
    <t>週２</t>
    <rPh sb="0" eb="1">
      <t>シュウ</t>
    </rPh>
    <phoneticPr fontId="1"/>
  </si>
  <si>
    <t>週１</t>
    <rPh sb="0" eb="1">
      <t>シュウ</t>
    </rPh>
    <phoneticPr fontId="1"/>
  </si>
  <si>
    <t>B</t>
    <phoneticPr fontId="1"/>
  </si>
  <si>
    <t>月延べ利用児童数</t>
    <rPh sb="0" eb="1">
      <t>ツキ</t>
    </rPh>
    <rPh sb="5" eb="7">
      <t>ジドウ</t>
    </rPh>
    <phoneticPr fontId="1"/>
  </si>
  <si>
    <t>障害児受入関係加算</t>
    <rPh sb="0" eb="2">
      <t>ショウガイ</t>
    </rPh>
    <rPh sb="2" eb="3">
      <t>ジ</t>
    </rPh>
    <rPh sb="3" eb="5">
      <t>ウケイレ</t>
    </rPh>
    <rPh sb="5" eb="7">
      <t>カンケイ</t>
    </rPh>
    <rPh sb="7" eb="9">
      <t>カサン</t>
    </rPh>
    <phoneticPr fontId="1"/>
  </si>
  <si>
    <t>在籍月数</t>
    <rPh sb="0" eb="2">
      <t>ザイセキ</t>
    </rPh>
    <rPh sb="2" eb="4">
      <t>ツキスウ</t>
    </rPh>
    <phoneticPr fontId="1"/>
  </si>
  <si>
    <t>AまたはBのどちらかを入力してください</t>
    <rPh sb="11" eb="13">
      <t>ニュウリョク</t>
    </rPh>
    <phoneticPr fontId="1"/>
  </si>
  <si>
    <t>障害児受入加算（障害児１人、加配１人）</t>
    <rPh sb="0" eb="2">
      <t>ショウガイ</t>
    </rPh>
    <rPh sb="2" eb="3">
      <t>ジ</t>
    </rPh>
    <rPh sb="3" eb="5">
      <t>ウケイレ</t>
    </rPh>
    <rPh sb="5" eb="7">
      <t>カサン</t>
    </rPh>
    <phoneticPr fontId="1"/>
  </si>
  <si>
    <t>障害児受入特別加算（障害児２人、①の補助限度額を超えた加配人件費）</t>
    <rPh sb="0" eb="2">
      <t>ショウガイ</t>
    </rPh>
    <rPh sb="2" eb="3">
      <t>ジ</t>
    </rPh>
    <rPh sb="3" eb="5">
      <t>ウケイレ</t>
    </rPh>
    <rPh sb="5" eb="7">
      <t>トクベツ</t>
    </rPh>
    <rPh sb="7" eb="9">
      <t>カサン</t>
    </rPh>
    <phoneticPr fontId="1"/>
  </si>
  <si>
    <t>障害児受入強化加算（障害児３名以上、加配２人以上）</t>
    <rPh sb="0" eb="2">
      <t>ショウガイ</t>
    </rPh>
    <rPh sb="2" eb="3">
      <t>ジ</t>
    </rPh>
    <rPh sb="3" eb="5">
      <t>ウケイレ</t>
    </rPh>
    <rPh sb="5" eb="7">
      <t>キョウカ</t>
    </rPh>
    <rPh sb="7" eb="9">
      <t>カサン</t>
    </rPh>
    <phoneticPr fontId="1"/>
  </si>
  <si>
    <t>開所日数</t>
    <rPh sb="0" eb="2">
      <t>カイショ</t>
    </rPh>
    <rPh sb="2" eb="4">
      <t>ニッスウ</t>
    </rPh>
    <phoneticPr fontId="1"/>
  </si>
  <si>
    <t>③</t>
    <phoneticPr fontId="1"/>
  </si>
  <si>
    <t>曜日</t>
    <rPh sb="0" eb="2">
      <t>ヨウビ</t>
    </rPh>
    <phoneticPr fontId="1"/>
  </si>
  <si>
    <t>開所時刻</t>
    <rPh sb="0" eb="2">
      <t>カイショ</t>
    </rPh>
    <rPh sb="2" eb="4">
      <t>ジコク</t>
    </rPh>
    <phoneticPr fontId="1"/>
  </si>
  <si>
    <t>閉所時刻</t>
    <rPh sb="0" eb="2">
      <t>ヘイショ</t>
    </rPh>
    <rPh sb="2" eb="4">
      <t>ジコク</t>
    </rPh>
    <phoneticPr fontId="1"/>
  </si>
  <si>
    <t>土・日・祝・長期休暇　８時間以降</t>
    <rPh sb="0" eb="1">
      <t>ツチ</t>
    </rPh>
    <rPh sb="2" eb="3">
      <t>ヒ</t>
    </rPh>
    <rPh sb="4" eb="5">
      <t>シュク</t>
    </rPh>
    <rPh sb="6" eb="8">
      <t>チョウキ</t>
    </rPh>
    <rPh sb="8" eb="10">
      <t>キュウカ</t>
    </rPh>
    <rPh sb="12" eb="14">
      <t>ジカン</t>
    </rPh>
    <rPh sb="14" eb="16">
      <t>イコウ</t>
    </rPh>
    <phoneticPr fontId="1"/>
  </si>
  <si>
    <t>８時間以上の日数のカウント</t>
    <rPh sb="1" eb="5">
      <t>ジカンイジョウ</t>
    </rPh>
    <rPh sb="6" eb="8">
      <t>ニッスウ</t>
    </rPh>
    <phoneticPr fontId="1"/>
  </si>
  <si>
    <t>1日</t>
    <rPh sb="1" eb="2">
      <t>ニチ</t>
    </rPh>
    <phoneticPr fontId="1"/>
  </si>
  <si>
    <t>土・日・祝・長期休暇</t>
    <rPh sb="0" eb="1">
      <t>ツチ</t>
    </rPh>
    <rPh sb="2" eb="3">
      <t>ヒ</t>
    </rPh>
    <rPh sb="4" eb="5">
      <t>シュク</t>
    </rPh>
    <rPh sb="6" eb="8">
      <t>チョウキ</t>
    </rPh>
    <rPh sb="8" eb="10">
      <t>キュウカ</t>
    </rPh>
    <phoneticPr fontId="1"/>
  </si>
  <si>
    <t>2日</t>
    <rPh sb="1" eb="2">
      <t>ニチ</t>
    </rPh>
    <phoneticPr fontId="1"/>
  </si>
  <si>
    <t>休所</t>
    <rPh sb="0" eb="1">
      <t>キュウ</t>
    </rPh>
    <rPh sb="1" eb="2">
      <t>ショ</t>
    </rPh>
    <phoneticPr fontId="1"/>
  </si>
  <si>
    <t>3日</t>
    <rPh sb="1" eb="2">
      <t>ニチ</t>
    </rPh>
    <phoneticPr fontId="1"/>
  </si>
  <si>
    <t>4日</t>
    <rPh sb="1" eb="2">
      <t>ニチ</t>
    </rPh>
    <phoneticPr fontId="1"/>
  </si>
  <si>
    <t>5日</t>
    <rPh sb="1" eb="2">
      <t>ニチ</t>
    </rPh>
    <phoneticPr fontId="1"/>
  </si>
  <si>
    <t>6日</t>
    <rPh sb="1" eb="2">
      <t>ニチ</t>
    </rPh>
    <phoneticPr fontId="1"/>
  </si>
  <si>
    <t>7日</t>
    <rPh sb="1" eb="2">
      <t>ニチ</t>
    </rPh>
    <phoneticPr fontId="1"/>
  </si>
  <si>
    <t>8日</t>
    <rPh sb="1" eb="2">
      <t>ニチ</t>
    </rPh>
    <phoneticPr fontId="1"/>
  </si>
  <si>
    <t>9日</t>
    <rPh sb="1" eb="2">
      <t>ニチ</t>
    </rPh>
    <phoneticPr fontId="1"/>
  </si>
  <si>
    <t>10日</t>
    <rPh sb="2" eb="3">
      <t>ニチ</t>
    </rPh>
    <phoneticPr fontId="1"/>
  </si>
  <si>
    <t>11日</t>
    <rPh sb="2" eb="3">
      <t>ニチ</t>
    </rPh>
    <phoneticPr fontId="1"/>
  </si>
  <si>
    <t>日</t>
  </si>
  <si>
    <t>12日</t>
    <rPh sb="2" eb="3">
      <t>ニチ</t>
    </rPh>
    <phoneticPr fontId="1"/>
  </si>
  <si>
    <t>13日</t>
    <rPh sb="2" eb="3">
      <t>ニチ</t>
    </rPh>
    <phoneticPr fontId="1"/>
  </si>
  <si>
    <t>14日</t>
    <rPh sb="2" eb="3">
      <t>ニチ</t>
    </rPh>
    <phoneticPr fontId="1"/>
  </si>
  <si>
    <t>15日</t>
    <rPh sb="2" eb="3">
      <t>ニチ</t>
    </rPh>
    <phoneticPr fontId="1"/>
  </si>
  <si>
    <t>16日</t>
    <rPh sb="2" eb="3">
      <t>ニチ</t>
    </rPh>
    <phoneticPr fontId="1"/>
  </si>
  <si>
    <t>17日</t>
    <rPh sb="2" eb="3">
      <t>ニチ</t>
    </rPh>
    <phoneticPr fontId="1"/>
  </si>
  <si>
    <t>18日</t>
    <rPh sb="2" eb="3">
      <t>ニチ</t>
    </rPh>
    <phoneticPr fontId="1"/>
  </si>
  <si>
    <t>19日</t>
    <rPh sb="2" eb="3">
      <t>ニチ</t>
    </rPh>
    <phoneticPr fontId="1"/>
  </si>
  <si>
    <t>20日</t>
    <rPh sb="2" eb="3">
      <t>ニチ</t>
    </rPh>
    <phoneticPr fontId="1"/>
  </si>
  <si>
    <t>21日</t>
    <rPh sb="2" eb="3">
      <t>ニチ</t>
    </rPh>
    <phoneticPr fontId="1"/>
  </si>
  <si>
    <t>22日</t>
    <rPh sb="2" eb="3">
      <t>ニチ</t>
    </rPh>
    <phoneticPr fontId="1"/>
  </si>
  <si>
    <t>23日</t>
    <rPh sb="2" eb="3">
      <t>ニチ</t>
    </rPh>
    <phoneticPr fontId="1"/>
  </si>
  <si>
    <t>24日</t>
    <rPh sb="2" eb="3">
      <t>ニチ</t>
    </rPh>
    <phoneticPr fontId="1"/>
  </si>
  <si>
    <t>25日</t>
    <rPh sb="2" eb="3">
      <t>ニチ</t>
    </rPh>
    <phoneticPr fontId="1"/>
  </si>
  <si>
    <t>26日</t>
    <rPh sb="2" eb="3">
      <t>ニチ</t>
    </rPh>
    <phoneticPr fontId="1"/>
  </si>
  <si>
    <t>27日</t>
    <rPh sb="2" eb="3">
      <t>ニチ</t>
    </rPh>
    <phoneticPr fontId="1"/>
  </si>
  <si>
    <t>28日</t>
    <rPh sb="2" eb="3">
      <t>ニチ</t>
    </rPh>
    <phoneticPr fontId="1"/>
  </si>
  <si>
    <t>29日</t>
    <rPh sb="2" eb="3">
      <t>ニチ</t>
    </rPh>
    <phoneticPr fontId="1"/>
  </si>
  <si>
    <t>30日</t>
    <rPh sb="2" eb="3">
      <t>ニチ</t>
    </rPh>
    <phoneticPr fontId="1"/>
  </si>
  <si>
    <t>6月</t>
    <rPh sb="1" eb="2">
      <t>ガツ</t>
    </rPh>
    <phoneticPr fontId="1"/>
  </si>
  <si>
    <t>7月</t>
    <rPh sb="1" eb="2">
      <t>ガツ</t>
    </rPh>
    <phoneticPr fontId="1"/>
  </si>
  <si>
    <t>8月</t>
    <rPh sb="1" eb="2">
      <t>ガツ</t>
    </rPh>
    <phoneticPr fontId="1"/>
  </si>
  <si>
    <t>９月</t>
    <rPh sb="1" eb="2">
      <t>ガツ</t>
    </rPh>
    <phoneticPr fontId="1"/>
  </si>
  <si>
    <t>10月</t>
    <rPh sb="2" eb="3">
      <t>ガツ</t>
    </rPh>
    <phoneticPr fontId="1"/>
  </si>
  <si>
    <t>11月</t>
    <rPh sb="2" eb="3">
      <t>ガツ</t>
    </rPh>
    <phoneticPr fontId="1"/>
  </si>
  <si>
    <t>12月</t>
    <rPh sb="2" eb="3">
      <t>ガツ</t>
    </rPh>
    <phoneticPr fontId="1"/>
  </si>
  <si>
    <t>1月</t>
    <rPh sb="1" eb="2">
      <t>ガツ</t>
    </rPh>
    <phoneticPr fontId="1"/>
  </si>
  <si>
    <t>2月</t>
    <rPh sb="1" eb="2">
      <t>ガツ</t>
    </rPh>
    <phoneticPr fontId="1"/>
  </si>
  <si>
    <t>3月</t>
    <rPh sb="1" eb="2">
      <t>ガツ</t>
    </rPh>
    <phoneticPr fontId="1"/>
  </si>
  <si>
    <t>31日</t>
    <rPh sb="2" eb="3">
      <t>ニチ</t>
    </rPh>
    <phoneticPr fontId="1"/>
  </si>
  <si>
    <t>長時間開所</t>
    <rPh sb="0" eb="3">
      <t>チョウジカン</t>
    </rPh>
    <rPh sb="3" eb="5">
      <t>カイショ</t>
    </rPh>
    <phoneticPr fontId="1"/>
  </si>
  <si>
    <t>休暇</t>
    <rPh sb="0" eb="2">
      <t>キュウカ</t>
    </rPh>
    <phoneticPr fontId="1"/>
  </si>
  <si>
    <t>土・日・祝・長期休暇</t>
    <phoneticPr fontId="1"/>
  </si>
  <si>
    <t>その他</t>
    <rPh sb="2" eb="3">
      <t>タ</t>
    </rPh>
    <phoneticPr fontId="1"/>
  </si>
  <si>
    <t>責任者</t>
    <rPh sb="0" eb="3">
      <t>セキニンシャ</t>
    </rPh>
    <phoneticPr fontId="1"/>
  </si>
  <si>
    <t>担当者</t>
    <rPh sb="0" eb="3">
      <t>タントウシャ</t>
    </rPh>
    <phoneticPr fontId="1"/>
  </si>
  <si>
    <t>責任者</t>
    <rPh sb="0" eb="3">
      <t>セキニンシャ</t>
    </rPh>
    <phoneticPr fontId="1"/>
  </si>
  <si>
    <t>担当者</t>
    <rPh sb="0" eb="3">
      <t>タントウシャ</t>
    </rPh>
    <phoneticPr fontId="1"/>
  </si>
  <si>
    <t>8時間未満日数</t>
    <rPh sb="1" eb="3">
      <t>ジカン</t>
    </rPh>
    <rPh sb="3" eb="5">
      <t>ミマン</t>
    </rPh>
    <rPh sb="5" eb="7">
      <t>ニッスウ</t>
    </rPh>
    <phoneticPr fontId="1"/>
  </si>
  <si>
    <t>クラブ児童数</t>
    <phoneticPr fontId="1"/>
  </si>
  <si>
    <t>補助限度額(a)</t>
    <rPh sb="0" eb="5">
      <t>ホジョゲンドガク</t>
    </rPh>
    <phoneticPr fontId="1"/>
  </si>
  <si>
    <t>加配職員の人件費(b)</t>
    <rPh sb="0" eb="2">
      <t>カハイ</t>
    </rPh>
    <rPh sb="2" eb="4">
      <t>ショクイン</t>
    </rPh>
    <rPh sb="5" eb="8">
      <t>ジンケンヒ</t>
    </rPh>
    <phoneticPr fontId="1"/>
  </si>
  <si>
    <r>
      <t xml:space="preserve">申請可能額(ｃ)
</t>
    </r>
    <r>
      <rPr>
        <sz val="9"/>
        <color theme="1"/>
        <rFont val="ＭＳ Ｐゴシック"/>
        <family val="3"/>
        <charset val="128"/>
        <scheme val="minor"/>
      </rPr>
      <t>aとbの低い方</t>
    </r>
    <rPh sb="0" eb="2">
      <t>シンセイ</t>
    </rPh>
    <rPh sb="2" eb="5">
      <t>カノウガク</t>
    </rPh>
    <rPh sb="13" eb="14">
      <t>ヒク</t>
    </rPh>
    <rPh sb="15" eb="16">
      <t>ホウ</t>
    </rPh>
    <phoneticPr fontId="1"/>
  </si>
  <si>
    <t>平日：開所とみなす閉所</t>
    <rPh sb="0" eb="2">
      <t>ヘイジツ</t>
    </rPh>
    <rPh sb="3" eb="5">
      <t>カイショ</t>
    </rPh>
    <rPh sb="9" eb="11">
      <t>ヘイショ</t>
    </rPh>
    <phoneticPr fontId="1"/>
  </si>
  <si>
    <t>土日祝長期：開所とみなす閉所</t>
    <rPh sb="0" eb="1">
      <t>ド</t>
    </rPh>
    <rPh sb="1" eb="2">
      <t>ニチ</t>
    </rPh>
    <rPh sb="2" eb="3">
      <t>シュク</t>
    </rPh>
    <rPh sb="3" eb="5">
      <t>チョウキ</t>
    </rPh>
    <rPh sb="6" eb="8">
      <t>カイショ</t>
    </rPh>
    <rPh sb="12" eb="14">
      <t>ヘイショ</t>
    </rPh>
    <phoneticPr fontId="1"/>
  </si>
  <si>
    <t>平日長時間開所</t>
    <rPh sb="0" eb="2">
      <t>ヘイジツ</t>
    </rPh>
    <rPh sb="2" eb="5">
      <t>チョウジカン</t>
    </rPh>
    <rPh sb="5" eb="7">
      <t>カイショ</t>
    </rPh>
    <phoneticPr fontId="1"/>
  </si>
  <si>
    <t>土日祝日長時間開所</t>
    <rPh sb="0" eb="2">
      <t>ドニチ</t>
    </rPh>
    <rPh sb="2" eb="4">
      <t>シュクジツ</t>
    </rPh>
    <rPh sb="4" eb="7">
      <t>チョウジカン</t>
    </rPh>
    <rPh sb="7" eb="9">
      <t>カイショ</t>
    </rPh>
    <phoneticPr fontId="1"/>
  </si>
  <si>
    <t>土日祝長期：開所とみなす閉所</t>
    <rPh sb="0" eb="2">
      <t>ドニチ</t>
    </rPh>
    <rPh sb="2" eb="3">
      <t>シュク</t>
    </rPh>
    <rPh sb="3" eb="5">
      <t>チョウキ</t>
    </rPh>
    <rPh sb="6" eb="8">
      <t>カイショ</t>
    </rPh>
    <rPh sb="12" eb="14">
      <t>ヘイショ</t>
    </rPh>
    <phoneticPr fontId="1"/>
  </si>
  <si>
    <t>開所日数(クラブ児童数算出用)</t>
    <rPh sb="0" eb="2">
      <t>カイショ</t>
    </rPh>
    <rPh sb="2" eb="4">
      <t>ニッスウ</t>
    </rPh>
    <rPh sb="8" eb="10">
      <t>ジドウ</t>
    </rPh>
    <rPh sb="10" eb="11">
      <t>スウ</t>
    </rPh>
    <rPh sb="11" eb="13">
      <t>サンシュツ</t>
    </rPh>
    <rPh sb="13" eb="14">
      <t>ヨウ</t>
    </rPh>
    <phoneticPr fontId="1"/>
  </si>
  <si>
    <t>開所日数(基本額算出用)</t>
    <rPh sb="0" eb="2">
      <t>カイショ</t>
    </rPh>
    <rPh sb="2" eb="4">
      <t>ニッスウ</t>
    </rPh>
    <rPh sb="5" eb="7">
      <t>キホン</t>
    </rPh>
    <rPh sb="7" eb="8">
      <t>ガク</t>
    </rPh>
    <rPh sb="8" eb="10">
      <t>サンシュツ</t>
    </rPh>
    <rPh sb="10" eb="11">
      <t>ヨウ</t>
    </rPh>
    <phoneticPr fontId="1"/>
  </si>
  <si>
    <t>通常分</t>
    <rPh sb="0" eb="2">
      <t>ツウジョウ</t>
    </rPh>
    <rPh sb="2" eb="3">
      <t>ブン</t>
    </rPh>
    <phoneticPr fontId="1"/>
  </si>
  <si>
    <t>クラブ名</t>
    <rPh sb="3" eb="4">
      <t>メイ</t>
    </rPh>
    <phoneticPr fontId="1"/>
  </si>
  <si>
    <t>開所情報</t>
    <rPh sb="0" eb="2">
      <t>カイショ</t>
    </rPh>
    <rPh sb="2" eb="4">
      <t>ジョウホウ</t>
    </rPh>
    <phoneticPr fontId="1"/>
  </si>
  <si>
    <t>エラー確認欄</t>
    <rPh sb="3" eb="5">
      <t>カクニン</t>
    </rPh>
    <rPh sb="5" eb="6">
      <t>ラン</t>
    </rPh>
    <phoneticPr fontId="1"/>
  </si>
  <si>
    <t>延べ利用児童</t>
    <rPh sb="0" eb="1">
      <t>ノ</t>
    </rPh>
    <rPh sb="2" eb="4">
      <t>リヨウ</t>
    </rPh>
    <rPh sb="4" eb="6">
      <t>ジドウ</t>
    </rPh>
    <phoneticPr fontId="1"/>
  </si>
  <si>
    <t>以下に「入力にエラーがあります」と表示された場合は入力内容を確認してください</t>
    <rPh sb="0" eb="2">
      <t>イカ</t>
    </rPh>
    <rPh sb="4" eb="6">
      <t>ニュウリョク</t>
    </rPh>
    <rPh sb="17" eb="19">
      <t>ヒョウジ</t>
    </rPh>
    <rPh sb="22" eb="24">
      <t>バアイ</t>
    </rPh>
    <rPh sb="25" eb="27">
      <t>ニュウリョク</t>
    </rPh>
    <rPh sb="27" eb="29">
      <t>ナイヨウ</t>
    </rPh>
    <rPh sb="30" eb="32">
      <t>カクニン</t>
    </rPh>
    <phoneticPr fontId="1"/>
  </si>
  <si>
    <t>利用児童数</t>
    <rPh sb="0" eb="2">
      <t>リヨウ</t>
    </rPh>
    <rPh sb="2" eb="4">
      <t>ジドウ</t>
    </rPh>
    <rPh sb="4" eb="5">
      <t>スウ</t>
    </rPh>
    <phoneticPr fontId="1"/>
  </si>
  <si>
    <t>うち障害児数</t>
    <rPh sb="2" eb="4">
      <t>ショウガイ</t>
    </rPh>
    <rPh sb="4" eb="5">
      <t>ジ</t>
    </rPh>
    <rPh sb="5" eb="6">
      <t>スウ</t>
    </rPh>
    <phoneticPr fontId="1"/>
  </si>
  <si>
    <t>１人目(要支援員資格)</t>
    <rPh sb="1" eb="2">
      <t>ニン</t>
    </rPh>
    <rPh sb="2" eb="3">
      <t>メ</t>
    </rPh>
    <rPh sb="4" eb="5">
      <t>ヨウ</t>
    </rPh>
    <rPh sb="5" eb="7">
      <t>シエン</t>
    </rPh>
    <rPh sb="7" eb="8">
      <t>イン</t>
    </rPh>
    <rPh sb="8" eb="10">
      <t>シカク</t>
    </rPh>
    <phoneticPr fontId="1"/>
  </si>
  <si>
    <t>職種</t>
    <rPh sb="0" eb="2">
      <t>ショクシュ</t>
    </rPh>
    <phoneticPr fontId="1"/>
  </si>
  <si>
    <t>障害児加配</t>
    <rPh sb="0" eb="5">
      <t>ショウガイジカハイ</t>
    </rPh>
    <phoneticPr fontId="1"/>
  </si>
  <si>
    <t>2人目</t>
    <rPh sb="1" eb="2">
      <t>ニン</t>
    </rPh>
    <rPh sb="2" eb="3">
      <t>メ</t>
    </rPh>
    <phoneticPr fontId="1"/>
  </si>
  <si>
    <t>3人目</t>
    <rPh sb="1" eb="2">
      <t>ニン</t>
    </rPh>
    <rPh sb="2" eb="3">
      <t>メ</t>
    </rPh>
    <phoneticPr fontId="1"/>
  </si>
  <si>
    <t>4人目</t>
    <rPh sb="1" eb="2">
      <t>ニン</t>
    </rPh>
    <rPh sb="2" eb="3">
      <t>メ</t>
    </rPh>
    <phoneticPr fontId="1"/>
  </si>
  <si>
    <t>5人目</t>
    <rPh sb="1" eb="2">
      <t>ニン</t>
    </rPh>
    <rPh sb="2" eb="3">
      <t>メ</t>
    </rPh>
    <phoneticPr fontId="1"/>
  </si>
  <si>
    <t>以下に文章が表示された場合は入力内容を確認してください</t>
    <rPh sb="1" eb="3">
      <t>シエン</t>
    </rPh>
    <rPh sb="3" eb="5">
      <t>ブンショウ</t>
    </rPh>
    <rPh sb="8" eb="10">
      <t>バアイ</t>
    </rPh>
    <rPh sb="11" eb="13">
      <t>ニュウリョク</t>
    </rPh>
    <rPh sb="13" eb="15">
      <t>ナイヨウ</t>
    </rPh>
    <rPh sb="16" eb="18">
      <t>カクニン</t>
    </rPh>
    <phoneticPr fontId="1"/>
  </si>
  <si>
    <t>職員リスト</t>
    <rPh sb="0" eb="2">
      <t>ショクイン</t>
    </rPh>
    <phoneticPr fontId="1"/>
  </si>
  <si>
    <t>ひとり親割引額</t>
    <rPh sb="4" eb="6">
      <t>ワリビキ</t>
    </rPh>
    <phoneticPr fontId="1"/>
  </si>
  <si>
    <t>円/月(1人あたり）</t>
    <rPh sb="5" eb="6">
      <t>ニン</t>
    </rPh>
    <phoneticPr fontId="1"/>
  </si>
  <si>
    <t>多子世帯割引額</t>
    <rPh sb="0" eb="2">
      <t>タシ</t>
    </rPh>
    <rPh sb="2" eb="4">
      <t>セタイ</t>
    </rPh>
    <rPh sb="4" eb="6">
      <t>ワリビキ</t>
    </rPh>
    <phoneticPr fontId="1"/>
  </si>
  <si>
    <t>ひと
り親</t>
    <rPh sb="4" eb="5">
      <t>オヤ</t>
    </rPh>
    <phoneticPr fontId="1"/>
  </si>
  <si>
    <t>2人目
以降</t>
    <rPh sb="1" eb="2">
      <t>ニン</t>
    </rPh>
    <rPh sb="2" eb="3">
      <t>メ</t>
    </rPh>
    <rPh sb="4" eb="6">
      <t>イコウ</t>
    </rPh>
    <phoneticPr fontId="1"/>
  </si>
  <si>
    <t>長期休暇のみ</t>
    <rPh sb="0" eb="2">
      <t>チョウキ</t>
    </rPh>
    <rPh sb="2" eb="4">
      <t>キュウカ</t>
    </rPh>
    <phoneticPr fontId="18"/>
  </si>
  <si>
    <t>利用
頻度</t>
    <rPh sb="0" eb="2">
      <t>リヨウ</t>
    </rPh>
    <rPh sb="3" eb="5">
      <t>ヒンド</t>
    </rPh>
    <phoneticPr fontId="18"/>
  </si>
  <si>
    <t>在籍
月数</t>
    <rPh sb="0" eb="2">
      <t>ザイセキ</t>
    </rPh>
    <rPh sb="3" eb="5">
      <t>ツキスウ</t>
    </rPh>
    <phoneticPr fontId="1"/>
  </si>
  <si>
    <t>ひとり親
割引額(年)</t>
    <rPh sb="3" eb="4">
      <t>オヤ</t>
    </rPh>
    <rPh sb="5" eb="7">
      <t>ワリビキ</t>
    </rPh>
    <rPh sb="7" eb="8">
      <t>ガク</t>
    </rPh>
    <rPh sb="9" eb="10">
      <t>ネン</t>
    </rPh>
    <phoneticPr fontId="1"/>
  </si>
  <si>
    <t>多子
割引額(年)</t>
    <rPh sb="0" eb="2">
      <t>タシ</t>
    </rPh>
    <rPh sb="3" eb="5">
      <t>ワリビキ</t>
    </rPh>
    <rPh sb="5" eb="6">
      <t>ガク</t>
    </rPh>
    <rPh sb="7" eb="8">
      <t>ネン</t>
    </rPh>
    <phoneticPr fontId="1"/>
  </si>
  <si>
    <t>補助員</t>
    <rPh sb="0" eb="3">
      <t>ホジョイン</t>
    </rPh>
    <phoneticPr fontId="1"/>
  </si>
  <si>
    <t>常勤</t>
    <rPh sb="0" eb="2">
      <t>ジョウキン</t>
    </rPh>
    <phoneticPr fontId="1"/>
  </si>
  <si>
    <t>非常勤</t>
    <rPh sb="0" eb="3">
      <t>ヒジョウキン</t>
    </rPh>
    <phoneticPr fontId="1"/>
  </si>
  <si>
    <t>月給</t>
    <rPh sb="0" eb="2">
      <t>ゲッキュウ</t>
    </rPh>
    <phoneticPr fontId="1"/>
  </si>
  <si>
    <t>時給</t>
    <rPh sb="0" eb="2">
      <t>ジキュウ</t>
    </rPh>
    <phoneticPr fontId="1"/>
  </si>
  <si>
    <t>対象</t>
    <rPh sb="0" eb="2">
      <t>タイショウ</t>
    </rPh>
    <phoneticPr fontId="1"/>
  </si>
  <si>
    <t>H20</t>
  </si>
  <si>
    <t>H21</t>
  </si>
  <si>
    <t>H22</t>
  </si>
  <si>
    <t>H23</t>
  </si>
  <si>
    <t>H24</t>
  </si>
  <si>
    <t>H25</t>
    <phoneticPr fontId="1"/>
  </si>
  <si>
    <t>H26</t>
  </si>
  <si>
    <t>H27</t>
  </si>
  <si>
    <t>H28</t>
  </si>
  <si>
    <t>H29</t>
  </si>
  <si>
    <t>H30</t>
  </si>
  <si>
    <t>給与形態がその他の場合の支給方法</t>
    <rPh sb="0" eb="2">
      <t>キュウヨ</t>
    </rPh>
    <rPh sb="2" eb="4">
      <t>ケイタイ</t>
    </rPh>
    <rPh sb="7" eb="8">
      <t>タ</t>
    </rPh>
    <rPh sb="9" eb="11">
      <t>バアイ</t>
    </rPh>
    <rPh sb="12" eb="14">
      <t>シキュウ</t>
    </rPh>
    <rPh sb="14" eb="16">
      <t>ホウホウ</t>
    </rPh>
    <phoneticPr fontId="1"/>
  </si>
  <si>
    <t>●放課後児童支援員等処遇改善等事業４（２）・(３)の事業の従事内容</t>
    <rPh sb="29" eb="31">
      <t>ジュウジ</t>
    </rPh>
    <rPh sb="31" eb="33">
      <t>ナイヨウ</t>
    </rPh>
    <phoneticPr fontId="1"/>
  </si>
  <si>
    <t>対象職員が従事する項目</t>
    <rPh sb="0" eb="2">
      <t>タイショウ</t>
    </rPh>
    <rPh sb="2" eb="4">
      <t>ショクイン</t>
    </rPh>
    <rPh sb="5" eb="7">
      <t>ジュウジ</t>
    </rPh>
    <rPh sb="9" eb="11">
      <t>コウモク</t>
    </rPh>
    <phoneticPr fontId="1"/>
  </si>
  <si>
    <t>(2)
処遇改善（A）（B）対象</t>
    <rPh sb="6" eb="8">
      <t>ショグウ</t>
    </rPh>
    <rPh sb="8" eb="10">
      <t>カイゼン</t>
    </rPh>
    <rPh sb="16" eb="18">
      <t>タイショウ</t>
    </rPh>
    <phoneticPr fontId="1"/>
  </si>
  <si>
    <t>①学校との連携</t>
  </si>
  <si>
    <t>　子どもの生活の連続性を保障するために、来所や帰宅の状況、学校施設の利用、災害等が発生した際の対応の仕方や緊急時の連絡体制などについて、日常的、定期的な情報交換や情報共有、職員同士の交流等によって学校との連携を積極的に図ること。</t>
  </si>
  <si>
    <t>②保護者との連携</t>
  </si>
  <si>
    <t>　子どもの来所や帰宅の状況、遊びや生活の様子について、連絡帳、迎えの際、保護者会等の方法を活用して、日常的に保護者に伝え、情報を共有し、信頼関係を築くことに努めるとともに、保護者から相談がある場合には、気持ちを受け止め、自己決定を尊重して対応する。また、事故や怪我が発生した場合には、子どもの状況等について速やかに保護者に連絡すること。</t>
  </si>
  <si>
    <t>③防災及び防犯対策</t>
  </si>
  <si>
    <t>　市町村との連携のもとに災害等の発生に備えて具体的な計画及びマニュアルを作成し、必要な施設設備を設けるとともに、定期的に（少なくとも年２回以上）訓練を行うなどして迅速に対応できるようにしておく。また、外部からの不審者等の侵入防止のための措置や訓練など不測の事態に備えて必要な対応を図ること。</t>
  </si>
  <si>
    <t>④要望及び苦情への対応</t>
    <phoneticPr fontId="1"/>
  </si>
  <si>
    <t>　子どもや保護者等からの要望や苦情に対して、迅速かつ適切に、誠意を持って対応するため、要望や苦情を受け付ける窓口を設置し、周知するとともに、その対応に当たっては、市町村と連携して、苦情解決責任者、苦情受付担当者、第三者委員の設置や、解決に向けた手順の整理等を行い、その仕組みについて子どもや保護者等にあらかじめ周知すること。</t>
  </si>
  <si>
    <t>⑤児童虐待への対応</t>
  </si>
  <si>
    <t>　児童虐待の早期発見の努力義務が課されていることを踏まえ、子どもの発達や養育環境の状況等を把握し、固有の援助を必要としている場合は、適切に行うとともに、児童虐待が疑われる場合には、各自の判断だけで対応することは避け、運営主体の責任者との協議の上で、市町村又は児童相談所に速やかに通告すること。</t>
  </si>
  <si>
    <t>(3)
処遇改善（B）対象</t>
    <rPh sb="6" eb="8">
      <t>ショグウ</t>
    </rPh>
    <rPh sb="8" eb="10">
      <t>カイゼン</t>
    </rPh>
    <rPh sb="13" eb="15">
      <t>タイショウ</t>
    </rPh>
    <phoneticPr fontId="1"/>
  </si>
  <si>
    <t>①地域との情報共有</t>
    <phoneticPr fontId="1"/>
  </si>
  <si>
    <t>②地域との交流</t>
    <phoneticPr fontId="1"/>
  </si>
  <si>
    <t>　地域住民の理解を得ながら、地域の子どもの健全育成の拠点である児童館やその他地域の公共施設等を積極的に活用し、放課後児童クラブの子どもの活動と交流の場を広げること。</t>
    <phoneticPr fontId="1"/>
  </si>
  <si>
    <t>③地域における防災及び防犯対策</t>
    <phoneticPr fontId="1"/>
  </si>
  <si>
    <t>　事故、犯罪、災害等から子どもを守るため、地域住民と連携、協力して子どもの安全を確保する取り組みを行うこと。</t>
    <phoneticPr fontId="1"/>
  </si>
  <si>
    <t>④地域の医療機関との連携</t>
    <phoneticPr fontId="1"/>
  </si>
  <si>
    <t>子どもの病気やケガ、事故等に備えて、日常から地域の保健医療機関等と連携を図ること。</t>
    <phoneticPr fontId="1"/>
  </si>
  <si>
    <t>⑤児童虐待への地域との対応</t>
    <phoneticPr fontId="1"/>
  </si>
  <si>
    <t>　子どもの状態や家庭の状況の把握により、保護者に不適切な養育等が疑われる場合には、要保護児童対策地域協議会に情報提供を行い、個別ケース検討会議に参加し、具体的な支援の内容等を関係機関と検討・協議して適切に対応すること。</t>
    <phoneticPr fontId="1"/>
  </si>
  <si>
    <t>⑥放課後子ども教室との連携</t>
    <phoneticPr fontId="1"/>
  </si>
  <si>
    <t>「新・放課後子ども総合プラン」に基づき、放課後子ども教室と一体的に又は連携して実施する場合は、放課後子ども教室の企画内容や準備等について、円滑な協力ができるように放課後子ども教室との打合せを定期的に行い、学校区ごとに設置する協議会に参加するなど関係者間の連携を図ること。</t>
    <phoneticPr fontId="1"/>
  </si>
  <si>
    <t>放課後児童クラブに係る人件費の総額（習い事など他事業分は入れない）</t>
    <rPh sb="18" eb="19">
      <t>ナラ</t>
    </rPh>
    <rPh sb="20" eb="21">
      <t>ゴト</t>
    </rPh>
    <rPh sb="23" eb="24">
      <t>タ</t>
    </rPh>
    <rPh sb="24" eb="26">
      <t>ジギョウ</t>
    </rPh>
    <rPh sb="26" eb="27">
      <t>ブン</t>
    </rPh>
    <rPh sb="28" eb="29">
      <t>イ</t>
    </rPh>
    <phoneticPr fontId="1"/>
  </si>
  <si>
    <t>(5)-①障害児受入加算</t>
    <rPh sb="5" eb="8">
      <t>ショウガイジ</t>
    </rPh>
    <rPh sb="8" eb="10">
      <t>ウケイレ</t>
    </rPh>
    <rPh sb="10" eb="12">
      <t>カサン</t>
    </rPh>
    <phoneticPr fontId="32"/>
  </si>
  <si>
    <t>(5)-②障害児受入特別加算</t>
    <rPh sb="5" eb="8">
      <t>ショウガイジ</t>
    </rPh>
    <rPh sb="8" eb="10">
      <t>ウケイレ</t>
    </rPh>
    <rPh sb="10" eb="12">
      <t>トクベツ</t>
    </rPh>
    <rPh sb="12" eb="14">
      <t>カサン</t>
    </rPh>
    <phoneticPr fontId="32"/>
  </si>
  <si>
    <t>(5)-③障害児受入強化加算</t>
    <rPh sb="5" eb="8">
      <t>ショウガイジ</t>
    </rPh>
    <rPh sb="8" eb="10">
      <t>ウケイレ</t>
    </rPh>
    <rPh sb="10" eb="12">
      <t>キョウカ</t>
    </rPh>
    <rPh sb="12" eb="14">
      <t>カサン</t>
    </rPh>
    <phoneticPr fontId="32"/>
  </si>
  <si>
    <t>(6)-②放課後児童支援員キャリアアップ処遇改善加算</t>
    <rPh sb="5" eb="8">
      <t>ホウカゴ</t>
    </rPh>
    <rPh sb="8" eb="10">
      <t>ジドウ</t>
    </rPh>
    <rPh sb="10" eb="12">
      <t>シエン</t>
    </rPh>
    <rPh sb="12" eb="13">
      <t>イン</t>
    </rPh>
    <rPh sb="20" eb="22">
      <t>ショグウ</t>
    </rPh>
    <rPh sb="22" eb="24">
      <t>カイゼン</t>
    </rPh>
    <rPh sb="24" eb="26">
      <t>カサン</t>
    </rPh>
    <phoneticPr fontId="32"/>
  </si>
  <si>
    <t>合計</t>
    <rPh sb="0" eb="2">
      <t>ゴウケイヒキアイ</t>
    </rPh>
    <phoneticPr fontId="1"/>
  </si>
  <si>
    <t>チェック欄</t>
    <rPh sb="4" eb="5">
      <t>ラン</t>
    </rPh>
    <phoneticPr fontId="1"/>
  </si>
  <si>
    <t>平均閉所時間</t>
    <rPh sb="0" eb="2">
      <t>ヘイキン</t>
    </rPh>
    <rPh sb="2" eb="4">
      <t>ヘイショ</t>
    </rPh>
    <rPh sb="4" eb="6">
      <t>ジカン</t>
    </rPh>
    <phoneticPr fontId="1"/>
  </si>
  <si>
    <t>送迎支援加算</t>
    <rPh sb="0" eb="2">
      <t>ソウゲイ</t>
    </rPh>
    <rPh sb="2" eb="4">
      <t>シエン</t>
    </rPh>
    <rPh sb="4" eb="6">
      <t>カサン</t>
    </rPh>
    <phoneticPr fontId="1"/>
  </si>
  <si>
    <t>処遇改善</t>
    <rPh sb="0" eb="2">
      <t>ショグウ</t>
    </rPh>
    <rPh sb="2" eb="4">
      <t>カイゼン</t>
    </rPh>
    <phoneticPr fontId="1"/>
  </si>
  <si>
    <t>キャリアアップ</t>
    <phoneticPr fontId="1"/>
  </si>
  <si>
    <t>送迎支援</t>
    <rPh sb="0" eb="2">
      <t>ソウゲイ</t>
    </rPh>
    <rPh sb="2" eb="4">
      <t>シエン</t>
    </rPh>
    <phoneticPr fontId="1"/>
  </si>
  <si>
    <t>育成支援</t>
    <rPh sb="0" eb="2">
      <t>イクセイ</t>
    </rPh>
    <rPh sb="2" eb="4">
      <t>シエン</t>
    </rPh>
    <phoneticPr fontId="1"/>
  </si>
  <si>
    <t>合計</t>
    <rPh sb="0" eb="2">
      <t>ゴウケイ</t>
    </rPh>
    <phoneticPr fontId="1"/>
  </si>
  <si>
    <t>実施した
業務</t>
    <rPh sb="0" eb="2">
      <t>ジッシ</t>
    </rPh>
    <rPh sb="5" eb="7">
      <t>ギョウム</t>
    </rPh>
    <phoneticPr fontId="1"/>
  </si>
  <si>
    <t>（A）すべて</t>
  </si>
  <si>
    <t>（A）すべて</t>
    <phoneticPr fontId="1"/>
  </si>
  <si>
    <t>（B）すべて</t>
  </si>
  <si>
    <t>（B）すべて</t>
    <phoneticPr fontId="1"/>
  </si>
  <si>
    <t>（A）（B）すべて</t>
  </si>
  <si>
    <t>（A）（B）すべて</t>
    <phoneticPr fontId="1"/>
  </si>
  <si>
    <t>④要望及び苦情への対応</t>
  </si>
  <si>
    <t>①地域との情報共有</t>
  </si>
  <si>
    <t>②地域との交流</t>
  </si>
  <si>
    <t>③地域における防災及び防犯対策</t>
  </si>
  <si>
    <t>④地域の医療機関との連携</t>
  </si>
  <si>
    <t>⑤児童虐待への地域との対応</t>
  </si>
  <si>
    <t>⑥放課後子ども教室との連携</t>
  </si>
  <si>
    <t>処遇改善の種類</t>
    <rPh sb="0" eb="2">
      <t>ショグウ</t>
    </rPh>
    <rPh sb="2" eb="4">
      <t>カイゼン</t>
    </rPh>
    <rPh sb="5" eb="7">
      <t>シュルイ</t>
    </rPh>
    <phoneticPr fontId="1"/>
  </si>
  <si>
    <t>チェック欄</t>
    <rPh sb="4" eb="5">
      <t>ラン</t>
    </rPh>
    <phoneticPr fontId="1"/>
  </si>
  <si>
    <t>法定福利費</t>
    <rPh sb="0" eb="2">
      <t>ホウテイ</t>
    </rPh>
    <rPh sb="2" eb="4">
      <t>フクリ</t>
    </rPh>
    <rPh sb="4" eb="5">
      <t>ヒ</t>
    </rPh>
    <phoneticPr fontId="1"/>
  </si>
  <si>
    <t>総合計</t>
    <rPh sb="0" eb="1">
      <t>ソウ</t>
    </rPh>
    <rPh sb="1" eb="3">
      <t>ゴウケイ</t>
    </rPh>
    <phoneticPr fontId="1"/>
  </si>
  <si>
    <t>〇</t>
    <phoneticPr fontId="1"/>
  </si>
  <si>
    <t>主な取り組み内容（直接入力）</t>
    <phoneticPr fontId="1"/>
  </si>
  <si>
    <t>週５</t>
    <rPh sb="0" eb="1">
      <t>シュウ</t>
    </rPh>
    <phoneticPr fontId="1"/>
  </si>
  <si>
    <t>人数</t>
    <rPh sb="0" eb="2">
      <t>ニンズウ</t>
    </rPh>
    <phoneticPr fontId="1"/>
  </si>
  <si>
    <t>週４</t>
    <rPh sb="0" eb="1">
      <t>シュウ</t>
    </rPh>
    <phoneticPr fontId="1"/>
  </si>
  <si>
    <t>週３</t>
    <rPh sb="0" eb="1">
      <t>シュウ</t>
    </rPh>
    <phoneticPr fontId="1"/>
  </si>
  <si>
    <t>週２</t>
    <rPh sb="0" eb="1">
      <t>シュウ</t>
    </rPh>
    <phoneticPr fontId="1"/>
  </si>
  <si>
    <t>週１</t>
    <rPh sb="0" eb="1">
      <t>シュウ</t>
    </rPh>
    <phoneticPr fontId="1"/>
  </si>
  <si>
    <t>延べ人数</t>
    <rPh sb="0" eb="1">
      <t>ノ</t>
    </rPh>
    <rPh sb="2" eb="4">
      <t>ニンズウ</t>
    </rPh>
    <phoneticPr fontId="1"/>
  </si>
  <si>
    <t>障</t>
    <rPh sb="0" eb="1">
      <t>ショウ</t>
    </rPh>
    <phoneticPr fontId="1"/>
  </si>
  <si>
    <t>育成支援体制強化加算</t>
    <rPh sb="0" eb="2">
      <t>イクセイ</t>
    </rPh>
    <rPh sb="2" eb="10">
      <t>シエンタイセイキョウカカサン</t>
    </rPh>
    <phoneticPr fontId="1"/>
  </si>
  <si>
    <t>送迎支援加算</t>
    <phoneticPr fontId="1"/>
  </si>
  <si>
    <t>事務局欄</t>
    <phoneticPr fontId="1"/>
  </si>
  <si>
    <t>常勤処遇上限</t>
    <rPh sb="0" eb="2">
      <t>ジョウキン</t>
    </rPh>
    <rPh sb="2" eb="4">
      <t>ショグウ</t>
    </rPh>
    <rPh sb="4" eb="6">
      <t>ジョウゲン</t>
    </rPh>
    <phoneticPr fontId="1"/>
  </si>
  <si>
    <t>250日以上</t>
    <rPh sb="3" eb="4">
      <t>ニチ</t>
    </rPh>
    <rPh sb="4" eb="6">
      <t>イジョウ</t>
    </rPh>
    <phoneticPr fontId="1"/>
  </si>
  <si>
    <t>18：30以降</t>
    <rPh sb="5" eb="7">
      <t>イコウ</t>
    </rPh>
    <phoneticPr fontId="1"/>
  </si>
  <si>
    <t>市町村名</t>
    <rPh sb="0" eb="3">
      <t>シチョウソン</t>
    </rPh>
    <rPh sb="3" eb="4">
      <t>メイ</t>
    </rPh>
    <phoneticPr fontId="1"/>
  </si>
  <si>
    <t>：</t>
    <phoneticPr fontId="1"/>
  </si>
  <si>
    <t>放課後児童クラブ名（支援の単位名）</t>
    <rPh sb="0" eb="3">
      <t>ホウカゴ</t>
    </rPh>
    <rPh sb="3" eb="5">
      <t>ジドウ</t>
    </rPh>
    <rPh sb="8" eb="9">
      <t>メイ</t>
    </rPh>
    <rPh sb="10" eb="12">
      <t>シエン</t>
    </rPh>
    <rPh sb="13" eb="15">
      <t>タンイ</t>
    </rPh>
    <rPh sb="15" eb="16">
      <t>メイ</t>
    </rPh>
    <phoneticPr fontId="1"/>
  </si>
  <si>
    <t>１．補助額</t>
    <rPh sb="2" eb="4">
      <t>ホジョ</t>
    </rPh>
    <rPh sb="4" eb="5">
      <t>ガク</t>
    </rPh>
    <phoneticPr fontId="1"/>
  </si>
  <si>
    <t>①　事業実施期間</t>
    <rPh sb="2" eb="4">
      <t>ジギョウ</t>
    </rPh>
    <rPh sb="4" eb="6">
      <t>ジッシ</t>
    </rPh>
    <rPh sb="6" eb="8">
      <t>キカン</t>
    </rPh>
    <phoneticPr fontId="1"/>
  </si>
  <si>
    <t>令和</t>
    <rPh sb="0" eb="2">
      <t>レイワ</t>
    </rPh>
    <phoneticPr fontId="1"/>
  </si>
  <si>
    <t>年</t>
    <rPh sb="0" eb="1">
      <t>ネン</t>
    </rPh>
    <phoneticPr fontId="1"/>
  </si>
  <si>
    <t>月</t>
    <rPh sb="0" eb="1">
      <t>ガツ</t>
    </rPh>
    <phoneticPr fontId="1"/>
  </si>
  <si>
    <t>～</t>
    <phoneticPr fontId="1"/>
  </si>
  <si>
    <t>２．賃金改善額</t>
    <rPh sb="2" eb="4">
      <t>チンギン</t>
    </rPh>
    <rPh sb="4" eb="6">
      <t>カイゼン</t>
    </rPh>
    <rPh sb="6" eb="7">
      <t>ガク</t>
    </rPh>
    <phoneticPr fontId="1"/>
  </si>
  <si>
    <t>賃金改善額の2/3以上が基本給又は決まって毎月支払う手当による改善の判定（④≧③×2/3）</t>
    <rPh sb="0" eb="2">
      <t>チンギン</t>
    </rPh>
    <rPh sb="2" eb="4">
      <t>カイゼン</t>
    </rPh>
    <rPh sb="4" eb="5">
      <t>ガク</t>
    </rPh>
    <rPh sb="9" eb="11">
      <t>イジョウ</t>
    </rPh>
    <rPh sb="12" eb="14">
      <t>キホン</t>
    </rPh>
    <rPh sb="14" eb="15">
      <t>キュウ</t>
    </rPh>
    <rPh sb="15" eb="16">
      <t>マタ</t>
    </rPh>
    <rPh sb="17" eb="18">
      <t>キ</t>
    </rPh>
    <rPh sb="21" eb="23">
      <t>マイツキ</t>
    </rPh>
    <rPh sb="23" eb="25">
      <t>シハラ</t>
    </rPh>
    <rPh sb="26" eb="28">
      <t>テアテ</t>
    </rPh>
    <rPh sb="31" eb="33">
      <t>カイゼン</t>
    </rPh>
    <rPh sb="34" eb="36">
      <t>ハンテイ</t>
    </rPh>
    <phoneticPr fontId="1"/>
  </si>
  <si>
    <t>　※「×」の場合は事業の対象外</t>
    <rPh sb="6" eb="8">
      <t>バアイ</t>
    </rPh>
    <rPh sb="9" eb="11">
      <t>ジギョウ</t>
    </rPh>
    <rPh sb="12" eb="15">
      <t>タイショウガイ</t>
    </rPh>
    <phoneticPr fontId="1"/>
  </si>
  <si>
    <t>⑤　賃金改善に伴い増加する法定福利費
　　等の事業主負担分</t>
    <rPh sb="2" eb="4">
      <t>チンギン</t>
    </rPh>
    <rPh sb="4" eb="6">
      <t>カイゼン</t>
    </rPh>
    <rPh sb="7" eb="8">
      <t>トモナ</t>
    </rPh>
    <rPh sb="9" eb="11">
      <t>ゾウカ</t>
    </rPh>
    <rPh sb="13" eb="15">
      <t>ホウテイ</t>
    </rPh>
    <rPh sb="15" eb="18">
      <t>フクリヒ</t>
    </rPh>
    <rPh sb="21" eb="22">
      <t>トウ</t>
    </rPh>
    <rPh sb="23" eb="26">
      <t>ジギョウヌシ</t>
    </rPh>
    <rPh sb="26" eb="29">
      <t>フタンブン</t>
    </rPh>
    <phoneticPr fontId="1"/>
  </si>
  <si>
    <t>⑥　本事業による賃金改善に係る計画の
　　具体的内容を職員に周知していること</t>
    <rPh sb="2" eb="3">
      <t>ホン</t>
    </rPh>
    <rPh sb="3" eb="5">
      <t>ジギョウ</t>
    </rPh>
    <rPh sb="8" eb="10">
      <t>チンギン</t>
    </rPh>
    <rPh sb="10" eb="12">
      <t>カイゼン</t>
    </rPh>
    <rPh sb="13" eb="14">
      <t>カカ</t>
    </rPh>
    <rPh sb="15" eb="17">
      <t>ケイカク</t>
    </rPh>
    <rPh sb="21" eb="24">
      <t>グタイテキ</t>
    </rPh>
    <rPh sb="24" eb="26">
      <t>ナイヨウ</t>
    </rPh>
    <rPh sb="27" eb="29">
      <t>ショクイン</t>
    </rPh>
    <rPh sb="30" eb="32">
      <t>シュウチ</t>
    </rPh>
    <phoneticPr fontId="1"/>
  </si>
  <si>
    <t>⑦　本事業による賃金改善の継続の有無</t>
    <rPh sb="2" eb="3">
      <t>ホン</t>
    </rPh>
    <rPh sb="3" eb="5">
      <t>ジギョウ</t>
    </rPh>
    <rPh sb="8" eb="10">
      <t>チンギン</t>
    </rPh>
    <rPh sb="10" eb="12">
      <t>カイゼン</t>
    </rPh>
    <rPh sb="13" eb="15">
      <t>ケイゾク</t>
    </rPh>
    <rPh sb="16" eb="18">
      <t>ウム</t>
    </rPh>
    <phoneticPr fontId="1"/>
  </si>
  <si>
    <t>※黄色のセルについて記入をお願いいたします。</t>
    <rPh sb="1" eb="3">
      <t>キイロ</t>
    </rPh>
    <rPh sb="10" eb="12">
      <t>キニュウ</t>
    </rPh>
    <rPh sb="14" eb="15">
      <t>ネガ</t>
    </rPh>
    <phoneticPr fontId="1"/>
  </si>
  <si>
    <t>上記の内容について、全ての職員に対し周知をした上で、提出していることを証明いたします。</t>
    <rPh sb="0" eb="2">
      <t>ジョウキ</t>
    </rPh>
    <rPh sb="3" eb="5">
      <t>ナイヨウ</t>
    </rPh>
    <rPh sb="10" eb="11">
      <t>スベ</t>
    </rPh>
    <rPh sb="13" eb="15">
      <t>ショクイン</t>
    </rPh>
    <rPh sb="16" eb="17">
      <t>タイ</t>
    </rPh>
    <rPh sb="18" eb="20">
      <t>シュウチ</t>
    </rPh>
    <rPh sb="23" eb="24">
      <t>ウエ</t>
    </rPh>
    <rPh sb="26" eb="28">
      <t>テイシュツ</t>
    </rPh>
    <rPh sb="35" eb="37">
      <t>ショウメイ</t>
    </rPh>
    <phoneticPr fontId="1"/>
  </si>
  <si>
    <t>放課後児童クラブ名（支援単位名）</t>
    <rPh sb="0" eb="3">
      <t>ホウカゴ</t>
    </rPh>
    <rPh sb="3" eb="5">
      <t>ジドウ</t>
    </rPh>
    <rPh sb="8" eb="9">
      <t>メイ</t>
    </rPh>
    <rPh sb="10" eb="12">
      <t>シエン</t>
    </rPh>
    <rPh sb="12" eb="14">
      <t>タンイ</t>
    </rPh>
    <rPh sb="14" eb="15">
      <t>メイ</t>
    </rPh>
    <phoneticPr fontId="1"/>
  </si>
  <si>
    <t>代表者名</t>
    <rPh sb="0" eb="3">
      <t>ダイヒョウシャ</t>
    </rPh>
    <rPh sb="3" eb="4">
      <t>メイ</t>
    </rPh>
    <phoneticPr fontId="1"/>
  </si>
  <si>
    <t>賃金改善内訳（職員別内訳）</t>
    <rPh sb="0" eb="2">
      <t>チンギン</t>
    </rPh>
    <rPh sb="2" eb="4">
      <t>カイゼン</t>
    </rPh>
    <rPh sb="4" eb="6">
      <t>ウチワケ</t>
    </rPh>
    <rPh sb="7" eb="9">
      <t>ショクイン</t>
    </rPh>
    <rPh sb="9" eb="10">
      <t>ベツ</t>
    </rPh>
    <rPh sb="10" eb="12">
      <t>ウチワケ</t>
    </rPh>
    <phoneticPr fontId="1"/>
  </si>
  <si>
    <t>NO.</t>
    <phoneticPr fontId="1"/>
  </si>
  <si>
    <t>職員名</t>
    <rPh sb="0" eb="2">
      <t>ショクイン</t>
    </rPh>
    <rPh sb="2" eb="3">
      <t>メイ</t>
    </rPh>
    <phoneticPr fontId="1"/>
  </si>
  <si>
    <t>①職種</t>
    <rPh sb="1" eb="3">
      <t>ショクシュ</t>
    </rPh>
    <phoneticPr fontId="1"/>
  </si>
  <si>
    <t>②常勤・非常勤の別</t>
    <rPh sb="1" eb="3">
      <t>ジョウキン</t>
    </rPh>
    <rPh sb="4" eb="7">
      <t>ヒジョウキン</t>
    </rPh>
    <rPh sb="8" eb="9">
      <t>ベツ</t>
    </rPh>
    <phoneticPr fontId="1"/>
  </si>
  <si>
    <t>③補助単価
（月額）</t>
    <rPh sb="1" eb="3">
      <t>ホジョ</t>
    </rPh>
    <rPh sb="3" eb="5">
      <t>タンカ</t>
    </rPh>
    <rPh sb="7" eb="9">
      <t>ゲツガク</t>
    </rPh>
    <phoneticPr fontId="1"/>
  </si>
  <si>
    <t>④常勤職員数</t>
    <rPh sb="1" eb="3">
      <t>ジョウキン</t>
    </rPh>
    <rPh sb="3" eb="5">
      <t>ショクイン</t>
    </rPh>
    <rPh sb="5" eb="6">
      <t>スウ</t>
    </rPh>
    <phoneticPr fontId="1"/>
  </si>
  <si>
    <t>非常勤職員数
（常勤換算）</t>
    <rPh sb="0" eb="3">
      <t>ヒジョウキン</t>
    </rPh>
    <rPh sb="3" eb="5">
      <t>ショクイン</t>
    </rPh>
    <rPh sb="5" eb="6">
      <t>カズ</t>
    </rPh>
    <rPh sb="8" eb="10">
      <t>ジョウキン</t>
    </rPh>
    <rPh sb="10" eb="12">
      <t>カンサン</t>
    </rPh>
    <phoneticPr fontId="1"/>
  </si>
  <si>
    <t>⑧賃金改善実施月数</t>
    <rPh sb="1" eb="3">
      <t>チンギン</t>
    </rPh>
    <rPh sb="3" eb="5">
      <t>カイゼン</t>
    </rPh>
    <rPh sb="5" eb="7">
      <t>ジッシ</t>
    </rPh>
    <rPh sb="7" eb="9">
      <t>ツキスウ</t>
    </rPh>
    <phoneticPr fontId="1"/>
  </si>
  <si>
    <t>⑨補助基準額
（③×④or⑦×⑧）</t>
    <rPh sb="1" eb="3">
      <t>ホジョ</t>
    </rPh>
    <rPh sb="3" eb="5">
      <t>キジュン</t>
    </rPh>
    <rPh sb="5" eb="6">
      <t>ガク</t>
    </rPh>
    <phoneticPr fontId="1"/>
  </si>
  <si>
    <t>⑬賃金改善に伴う法定福利費等の事業主負担分の増分</t>
    <phoneticPr fontId="1"/>
  </si>
  <si>
    <t>⑮備考</t>
    <rPh sb="1" eb="3">
      <t>ビコウ</t>
    </rPh>
    <phoneticPr fontId="1"/>
  </si>
  <si>
    <t>⑦常勤換算値</t>
    <rPh sb="1" eb="3">
      <t>ジョウキン</t>
    </rPh>
    <rPh sb="3" eb="5">
      <t>カンザン</t>
    </rPh>
    <rPh sb="5" eb="6">
      <t>チ</t>
    </rPh>
    <phoneticPr fontId="1"/>
  </si>
  <si>
    <t>⑪基本給又は決まって毎月支払う手当</t>
    <phoneticPr fontId="1"/>
  </si>
  <si>
    <t>⑫その他</t>
    <rPh sb="3" eb="4">
      <t>タ</t>
    </rPh>
    <phoneticPr fontId="1"/>
  </si>
  <si>
    <t>※黄色のセルについて記入をお願いします。</t>
    <rPh sb="1" eb="3">
      <t>キイロ</t>
    </rPh>
    <rPh sb="10" eb="12">
      <t>キニュウ</t>
    </rPh>
    <rPh sb="14" eb="15">
      <t>ネガ</t>
    </rPh>
    <phoneticPr fontId="1"/>
  </si>
  <si>
    <t>別紙様式２</t>
    <rPh sb="0" eb="2">
      <t>ベッシ</t>
    </rPh>
    <rPh sb="2" eb="4">
      <t>ヨウシキ</t>
    </rPh>
    <phoneticPr fontId="1"/>
  </si>
  <si>
    <t>放課後児童支援員等処遇改善事業（月額9,000円相当賃金改善）　賃金改善実績報告書</t>
    <rPh sb="32" eb="34">
      <t>チンギン</t>
    </rPh>
    <rPh sb="34" eb="36">
      <t>カイゼン</t>
    </rPh>
    <rPh sb="36" eb="38">
      <t>ジッセキ</t>
    </rPh>
    <rPh sb="38" eb="41">
      <t>ホウコクショ</t>
    </rPh>
    <phoneticPr fontId="1"/>
  </si>
  <si>
    <t>③　賃金改善額</t>
    <rPh sb="2" eb="4">
      <t>チンギン</t>
    </rPh>
    <rPh sb="4" eb="6">
      <t>カイゼン</t>
    </rPh>
    <rPh sb="6" eb="7">
      <t>ガク</t>
    </rPh>
    <phoneticPr fontId="1"/>
  </si>
  <si>
    <t>④　うち、基本給又は決まって毎月
　　支払う手当による賃金改善額</t>
    <phoneticPr fontId="1"/>
  </si>
  <si>
    <t>賃金改善等額合計（③＋⑤）が補助額（②）以上</t>
    <rPh sb="0" eb="2">
      <t>チンギン</t>
    </rPh>
    <rPh sb="2" eb="4">
      <t>カイゼン</t>
    </rPh>
    <rPh sb="4" eb="5">
      <t>トウ</t>
    </rPh>
    <rPh sb="5" eb="6">
      <t>ガク</t>
    </rPh>
    <rPh sb="6" eb="8">
      <t>ゴウケイ</t>
    </rPh>
    <rPh sb="14" eb="17">
      <t>ホジョガク</t>
    </rPh>
    <rPh sb="20" eb="22">
      <t>イジョウ</t>
    </rPh>
    <phoneticPr fontId="1"/>
  </si>
  <si>
    <t>※賃金改善前後の賃金を定める規定等、必要な書類を添付すること。</t>
    <phoneticPr fontId="1"/>
  </si>
  <si>
    <t>別紙様式２別添１</t>
    <rPh sb="0" eb="2">
      <t>ベッシ</t>
    </rPh>
    <rPh sb="2" eb="4">
      <t>ヨウシキ</t>
    </rPh>
    <rPh sb="5" eb="7">
      <t>ベッテン</t>
    </rPh>
    <phoneticPr fontId="1"/>
  </si>
  <si>
    <t>⑭１月当たりの平均賃金改善額</t>
    <rPh sb="2" eb="3">
      <t>ガツ</t>
    </rPh>
    <rPh sb="3" eb="4">
      <t>ア</t>
    </rPh>
    <rPh sb="7" eb="9">
      <t>ヘイキン</t>
    </rPh>
    <rPh sb="9" eb="11">
      <t>チンギン</t>
    </rPh>
    <rPh sb="11" eb="13">
      <t>カイゼン</t>
    </rPh>
    <rPh sb="13" eb="14">
      <t>ガク</t>
    </rPh>
    <phoneticPr fontId="1"/>
  </si>
  <si>
    <t>＜参考＞</t>
    <rPh sb="1" eb="3">
      <t>サンコウ</t>
    </rPh>
    <phoneticPr fontId="1"/>
  </si>
  <si>
    <t>事業実施期間</t>
    <rPh sb="0" eb="2">
      <t>ジギョウ</t>
    </rPh>
    <rPh sb="2" eb="4">
      <t>ジッシ</t>
    </rPh>
    <rPh sb="4" eb="6">
      <t>キカン</t>
    </rPh>
    <phoneticPr fontId="1"/>
  </si>
  <si>
    <t>○放課後児童支援員等処遇改善事業（月額9,000円相当賃金改善）を実施する期間</t>
    <phoneticPr fontId="1"/>
  </si>
  <si>
    <t>補助単価</t>
    <rPh sb="0" eb="2">
      <t>ホジョ</t>
    </rPh>
    <rPh sb="2" eb="4">
      <t>タンカ</t>
    </rPh>
    <phoneticPr fontId="1"/>
  </si>
  <si>
    <t>○子ども・子育て支援交付金交付要綱に定める職員１人当たりの単価をいう。</t>
    <rPh sb="1" eb="2">
      <t>コ</t>
    </rPh>
    <rPh sb="5" eb="7">
      <t>コソダ</t>
    </rPh>
    <rPh sb="8" eb="10">
      <t>シエン</t>
    </rPh>
    <rPh sb="10" eb="13">
      <t>コウフキン</t>
    </rPh>
    <rPh sb="13" eb="15">
      <t>コウフ</t>
    </rPh>
    <rPh sb="18" eb="19">
      <t>サダ</t>
    </rPh>
    <phoneticPr fontId="1"/>
  </si>
  <si>
    <t>賃金改善対象者数</t>
    <rPh sb="0" eb="2">
      <t>チンギン</t>
    </rPh>
    <rPh sb="2" eb="4">
      <t>カイゼン</t>
    </rPh>
    <rPh sb="4" eb="7">
      <t>タイショウシャ</t>
    </rPh>
    <rPh sb="7" eb="8">
      <t>スウ</t>
    </rPh>
    <phoneticPr fontId="1"/>
  </si>
  <si>
    <t>○放課後児童支援員等処遇改善事業（月額9,000円相当賃金改善）により賃金改善を行う職員数をいう（常勤職員数と非常勤職員数の合計）。
○ただし、経営に携わる法人の役員である職員を除く。</t>
    <rPh sb="49" eb="51">
      <t>ジョウキン</t>
    </rPh>
    <rPh sb="51" eb="53">
      <t>ショクイン</t>
    </rPh>
    <rPh sb="53" eb="54">
      <t>スウ</t>
    </rPh>
    <rPh sb="55" eb="58">
      <t>ヒジョウキン</t>
    </rPh>
    <rPh sb="58" eb="60">
      <t>ショクイン</t>
    </rPh>
    <rPh sb="60" eb="61">
      <t>スウ</t>
    </rPh>
    <rPh sb="62" eb="64">
      <t>ゴウケイ</t>
    </rPh>
    <phoneticPr fontId="1"/>
  </si>
  <si>
    <t>常勤職員</t>
    <rPh sb="0" eb="2">
      <t>ジョウキン</t>
    </rPh>
    <rPh sb="2" eb="4">
      <t>ショクイン</t>
    </rPh>
    <phoneticPr fontId="1"/>
  </si>
  <si>
    <t>○施設で定めた勤務時間（所定労働時間）の全てを勤務する者をいう。
○ただし、１日６時間以上かつ月20日以上勤務している者は、これを常勤職員とみなして含める。
○なお、常勤換算値は「1.0人」となる。</t>
    <rPh sb="83" eb="85">
      <t>ジョウキン</t>
    </rPh>
    <rPh sb="85" eb="87">
      <t>カンザン</t>
    </rPh>
    <rPh sb="87" eb="88">
      <t>チ</t>
    </rPh>
    <rPh sb="93" eb="94">
      <t>ニン</t>
    </rPh>
    <phoneticPr fontId="1"/>
  </si>
  <si>
    <t>非常勤職員</t>
    <rPh sb="0" eb="3">
      <t>ヒジョウキン</t>
    </rPh>
    <rPh sb="3" eb="5">
      <t>ショクイン</t>
    </rPh>
    <phoneticPr fontId="1"/>
  </si>
  <si>
    <t>○常勤職員以外の職員をいう。
○なお、常勤換算値は、１ヶ月当たりの勤務時間数を就業規則等で定めた常勤の１ヶ月当たりの勤務時間数で除して算出する（小数点第２位を四捨五入する。）。</t>
    <rPh sb="1" eb="3">
      <t>ジョウキン</t>
    </rPh>
    <rPh sb="3" eb="5">
      <t>ショクイン</t>
    </rPh>
    <rPh sb="5" eb="7">
      <t>イガイ</t>
    </rPh>
    <rPh sb="8" eb="10">
      <t>ショクイン</t>
    </rPh>
    <rPh sb="19" eb="21">
      <t>ジョウキン</t>
    </rPh>
    <rPh sb="21" eb="23">
      <t>カンザン</t>
    </rPh>
    <rPh sb="23" eb="24">
      <t>チ</t>
    </rPh>
    <rPh sb="67" eb="69">
      <t>サンシュツ</t>
    </rPh>
    <rPh sb="72" eb="75">
      <t>ショウスウテン</t>
    </rPh>
    <rPh sb="75" eb="76">
      <t>ダイ</t>
    </rPh>
    <rPh sb="77" eb="78">
      <t>イ</t>
    </rPh>
    <rPh sb="79" eb="83">
      <t>シシャゴニュウ</t>
    </rPh>
    <phoneticPr fontId="1"/>
  </si>
  <si>
    <t>賃金改善実施月数</t>
    <rPh sb="0" eb="2">
      <t>チンギン</t>
    </rPh>
    <rPh sb="2" eb="4">
      <t>カイゼン</t>
    </rPh>
    <rPh sb="4" eb="6">
      <t>ジッシ</t>
    </rPh>
    <rPh sb="6" eb="7">
      <t>ツキ</t>
    </rPh>
    <rPh sb="7" eb="8">
      <t>スウ</t>
    </rPh>
    <phoneticPr fontId="1"/>
  </si>
  <si>
    <t>○放課後児童支援員等処遇改善事業（月額9,000円相当賃金改善）を実施する月数</t>
    <rPh sb="37" eb="38">
      <t>ツキ</t>
    </rPh>
    <rPh sb="38" eb="39">
      <t>スウ</t>
    </rPh>
    <phoneticPr fontId="1"/>
  </si>
  <si>
    <t>賃金改善（見込）額</t>
    <rPh sb="0" eb="2">
      <t>チンギン</t>
    </rPh>
    <rPh sb="2" eb="4">
      <t>カイゼン</t>
    </rPh>
    <rPh sb="5" eb="7">
      <t>ミコミ</t>
    </rPh>
    <rPh sb="8" eb="9">
      <t>ガク</t>
    </rPh>
    <phoneticPr fontId="1"/>
  </si>
  <si>
    <t>○放課後児童支援員等処遇改善事業（月額9,000円相当賃金改善）の実施により、職員について、雇用形態、職種、勤続年数、職責等が事業実施年度と同等の条件の下で、本事業実施前に適用されていた算定方法に基づく賃金水準を超えて、賃金を引き上げた合計額をいう。</t>
    <rPh sb="118" eb="121">
      <t>ゴウケイガク</t>
    </rPh>
    <phoneticPr fontId="1"/>
  </si>
  <si>
    <t>うち、基本給又は決まって毎月支払う手当による賃金改善額</t>
    <rPh sb="3" eb="6">
      <t>キホンキュウ</t>
    </rPh>
    <rPh sb="6" eb="7">
      <t>マタ</t>
    </rPh>
    <rPh sb="8" eb="9">
      <t>キ</t>
    </rPh>
    <rPh sb="12" eb="14">
      <t>マイツキ</t>
    </rPh>
    <rPh sb="14" eb="16">
      <t>シハラ</t>
    </rPh>
    <rPh sb="17" eb="19">
      <t>テアテ</t>
    </rPh>
    <rPh sb="22" eb="24">
      <t>チンギン</t>
    </rPh>
    <rPh sb="24" eb="26">
      <t>カイゼン</t>
    </rPh>
    <rPh sb="26" eb="27">
      <t>ガク</t>
    </rPh>
    <phoneticPr fontId="1"/>
  </si>
  <si>
    <t>○職員の賃金改善（見込）額のうち、基本給又は決まって毎月支払う手当による賃金改善の合計額をいう。</t>
    <rPh sb="1" eb="3">
      <t>ショクイン</t>
    </rPh>
    <rPh sb="4" eb="6">
      <t>チンギン</t>
    </rPh>
    <rPh sb="6" eb="8">
      <t>カイゼン</t>
    </rPh>
    <rPh sb="9" eb="11">
      <t>ミコミ</t>
    </rPh>
    <rPh sb="12" eb="13">
      <t>ガク</t>
    </rPh>
    <rPh sb="17" eb="20">
      <t>キホンキュウ</t>
    </rPh>
    <rPh sb="20" eb="21">
      <t>マタ</t>
    </rPh>
    <rPh sb="22" eb="23">
      <t>キ</t>
    </rPh>
    <rPh sb="26" eb="28">
      <t>マイツキ</t>
    </rPh>
    <rPh sb="28" eb="30">
      <t>シハラ</t>
    </rPh>
    <rPh sb="31" eb="33">
      <t>テアテ</t>
    </rPh>
    <rPh sb="36" eb="38">
      <t>チンギン</t>
    </rPh>
    <rPh sb="38" eb="40">
      <t>カイゼン</t>
    </rPh>
    <rPh sb="41" eb="43">
      <t>ゴウケイ</t>
    </rPh>
    <rPh sb="43" eb="44">
      <t>ガク</t>
    </rPh>
    <phoneticPr fontId="1"/>
  </si>
  <si>
    <t>賃金改善に伴う社会保険料事業主負担分等の法定福利費の増分</t>
    <rPh sb="0" eb="2">
      <t>チンギン</t>
    </rPh>
    <rPh sb="2" eb="4">
      <t>カイゼン</t>
    </rPh>
    <rPh sb="5" eb="6">
      <t>トモナ</t>
    </rPh>
    <rPh sb="7" eb="9">
      <t>シャカイ</t>
    </rPh>
    <rPh sb="9" eb="11">
      <t>ホケン</t>
    </rPh>
    <rPh sb="11" eb="12">
      <t>リョウ</t>
    </rPh>
    <rPh sb="12" eb="15">
      <t>ジギョウヌシ</t>
    </rPh>
    <rPh sb="15" eb="18">
      <t>フタンブン</t>
    </rPh>
    <rPh sb="18" eb="19">
      <t>トウ</t>
    </rPh>
    <rPh sb="20" eb="22">
      <t>ホウテイ</t>
    </rPh>
    <rPh sb="22" eb="25">
      <t>フクリヒ</t>
    </rPh>
    <rPh sb="26" eb="28">
      <t>ゾウブン</t>
    </rPh>
    <phoneticPr fontId="1"/>
  </si>
  <si>
    <t>○職員の賃金改善に伴い増加する法定福利費等の事業主負担分の合計額をいう。
○なお、法定福利費等の事業主負担分については、
「前年度における法定福利費等の事業主負担分の総額」÷「前年度における賃金の総額」×「賃金改善額」
により算出すること。</t>
    <rPh sb="1" eb="3">
      <t>ショクイン</t>
    </rPh>
    <rPh sb="4" eb="6">
      <t>チンギン</t>
    </rPh>
    <rPh sb="6" eb="8">
      <t>カイゼン</t>
    </rPh>
    <rPh sb="9" eb="10">
      <t>トモナ</t>
    </rPh>
    <rPh sb="11" eb="13">
      <t>ゾウカ</t>
    </rPh>
    <rPh sb="15" eb="17">
      <t>ホウテイ</t>
    </rPh>
    <rPh sb="17" eb="20">
      <t>フクリヒ</t>
    </rPh>
    <rPh sb="20" eb="21">
      <t>トウ</t>
    </rPh>
    <rPh sb="22" eb="25">
      <t>ジギョウヌシ</t>
    </rPh>
    <rPh sb="25" eb="28">
      <t>フタンブン</t>
    </rPh>
    <rPh sb="29" eb="32">
      <t>ゴウケイガク</t>
    </rPh>
    <rPh sb="63" eb="66">
      <t>ゼンネンド</t>
    </rPh>
    <rPh sb="89" eb="92">
      <t>ゼンネンド</t>
    </rPh>
    <phoneticPr fontId="1"/>
  </si>
  <si>
    <t>本事業による賃金改善に係る計画の具体的内容を職員に周知</t>
    <phoneticPr fontId="1"/>
  </si>
  <si>
    <t>○放課後児童支援員等処遇改善事業（月額9,000円相当賃金改善）による賃金改善に係る計画の具体的な内容について職員に周知している場合は「周知している」を選択すること。
※「周知していない」を選択した場合は放課後児童支援員等処遇改善事業（月額9,000円相当賃金改善）の対象外となる。</t>
    <rPh sb="35" eb="37">
      <t>チンギン</t>
    </rPh>
    <rPh sb="37" eb="39">
      <t>カイゼン</t>
    </rPh>
    <rPh sb="40" eb="41">
      <t>カカ</t>
    </rPh>
    <rPh sb="42" eb="44">
      <t>ケイカク</t>
    </rPh>
    <rPh sb="45" eb="48">
      <t>グタイテキ</t>
    </rPh>
    <rPh sb="49" eb="51">
      <t>ナイヨウ</t>
    </rPh>
    <rPh sb="55" eb="57">
      <t>ショクイン</t>
    </rPh>
    <rPh sb="58" eb="60">
      <t>シュウチ</t>
    </rPh>
    <rPh sb="64" eb="66">
      <t>バアイ</t>
    </rPh>
    <rPh sb="68" eb="70">
      <t>シュウチ</t>
    </rPh>
    <rPh sb="87" eb="89">
      <t>シュウチ</t>
    </rPh>
    <rPh sb="96" eb="98">
      <t>センタク</t>
    </rPh>
    <rPh sb="100" eb="102">
      <t>バアイ</t>
    </rPh>
    <rPh sb="135" eb="138">
      <t>タイショウガイ</t>
    </rPh>
    <phoneticPr fontId="1"/>
  </si>
  <si>
    <t>本事業による賃金改善の継続の有無</t>
    <rPh sb="0" eb="1">
      <t>ホン</t>
    </rPh>
    <rPh sb="1" eb="3">
      <t>ジギョウ</t>
    </rPh>
    <rPh sb="6" eb="8">
      <t>チンギン</t>
    </rPh>
    <rPh sb="8" eb="10">
      <t>カイゼン</t>
    </rPh>
    <rPh sb="11" eb="13">
      <t>ケイゾク</t>
    </rPh>
    <rPh sb="14" eb="16">
      <t>ウム</t>
    </rPh>
    <phoneticPr fontId="1"/>
  </si>
  <si>
    <t>○放課後児童支援員等処遇改善事業（月額9,000円相当賃金改善）による賃金改善について、継続する場合は「継続する」を選択すること。
※「継続しない」を選択した場合は放課後児童支援員等処遇改善事業（月額9,000円相当賃金改善）の対象外となる。</t>
    <rPh sb="35" eb="37">
      <t>チンギン</t>
    </rPh>
    <rPh sb="37" eb="39">
      <t>カイゼン</t>
    </rPh>
    <rPh sb="44" eb="46">
      <t>ケイゾク</t>
    </rPh>
    <rPh sb="48" eb="50">
      <t>バアイ</t>
    </rPh>
    <rPh sb="52" eb="54">
      <t>ケイゾク</t>
    </rPh>
    <rPh sb="58" eb="60">
      <t>センタク</t>
    </rPh>
    <rPh sb="69" eb="71">
      <t>ケイゾク</t>
    </rPh>
    <rPh sb="115" eb="118">
      <t>タイショウガイ</t>
    </rPh>
    <phoneticPr fontId="1"/>
  </si>
  <si>
    <t>○年度途中の採用や退職がある場合にはその旨、また、賃金改善額が他の職員と比較して高額（低額、賃金改善を実施しない場合も含む）である場合についてはその理由を記載すること。</t>
    <phoneticPr fontId="1"/>
  </si>
  <si>
    <t>(7)育成支援体制強化加算</t>
    <rPh sb="3" eb="5">
      <t>イクセイ</t>
    </rPh>
    <rPh sb="5" eb="7">
      <t>シエン</t>
    </rPh>
    <rPh sb="7" eb="13">
      <t>タイセイキョウカカサン</t>
    </rPh>
    <phoneticPr fontId="1"/>
  </si>
  <si>
    <t>計算値</t>
    <rPh sb="0" eb="3">
      <t>ケイサンチ</t>
    </rPh>
    <phoneticPr fontId="1"/>
  </si>
  <si>
    <t>法人名・団体名</t>
    <rPh sb="0" eb="2">
      <t>ホウジン</t>
    </rPh>
    <rPh sb="2" eb="3">
      <t>メイ</t>
    </rPh>
    <rPh sb="4" eb="6">
      <t>ダンタイ</t>
    </rPh>
    <rPh sb="6" eb="7">
      <t>メイ</t>
    </rPh>
    <phoneticPr fontId="1"/>
  </si>
  <si>
    <t>R1</t>
    <phoneticPr fontId="1"/>
  </si>
  <si>
    <t>R2</t>
    <phoneticPr fontId="1"/>
  </si>
  <si>
    <t>R3</t>
    <phoneticPr fontId="1"/>
  </si>
  <si>
    <t>R4</t>
    <phoneticPr fontId="1"/>
  </si>
  <si>
    <t>団体名</t>
    <rPh sb="0" eb="2">
      <t>ダンタイ</t>
    </rPh>
    <rPh sb="2" eb="3">
      <t>メイ</t>
    </rPh>
    <phoneticPr fontId="1"/>
  </si>
  <si>
    <t>放課後児童支援員等で、処遇改善を行った場合に加算</t>
    <phoneticPr fontId="1"/>
  </si>
  <si>
    <t>育成支援体制強化加算</t>
  </si>
  <si>
    <t>育成支援の周辺業務を行う職員の配置や、業務委託にかかった費用を加算</t>
    <phoneticPr fontId="1"/>
  </si>
  <si>
    <t>学校敷地外にあるクラブが学校からクラブへの移動等に送迎をした場合の費用を加算</t>
    <phoneticPr fontId="1"/>
  </si>
  <si>
    <t>(8)送迎支援加算（燃料費は除く）</t>
    <rPh sb="3" eb="5">
      <t>ソウゲイ</t>
    </rPh>
    <rPh sb="5" eb="7">
      <t>シエン</t>
    </rPh>
    <rPh sb="7" eb="9">
      <t>カサン</t>
    </rPh>
    <rPh sb="10" eb="13">
      <t>ネンリョウヒ</t>
    </rPh>
    <rPh sb="14" eb="15">
      <t>ノゾ</t>
    </rPh>
    <phoneticPr fontId="1"/>
  </si>
  <si>
    <t>(6)‐③放課後児童支援員等処遇改善（月9,000円）</t>
    <rPh sb="5" eb="10">
      <t>ホウカゴジドウ</t>
    </rPh>
    <rPh sb="10" eb="12">
      <t>シエン</t>
    </rPh>
    <rPh sb="12" eb="14">
      <t>インナド</t>
    </rPh>
    <rPh sb="14" eb="16">
      <t>ショグウ</t>
    </rPh>
    <rPh sb="16" eb="18">
      <t>カイゼン</t>
    </rPh>
    <rPh sb="19" eb="20">
      <t>ツキ</t>
    </rPh>
    <rPh sb="21" eb="26">
      <t>０００エン</t>
    </rPh>
    <phoneticPr fontId="32"/>
  </si>
  <si>
    <t>横須賀市</t>
    <rPh sb="0" eb="4">
      <t>ヨコスカシ</t>
    </rPh>
    <phoneticPr fontId="1"/>
  </si>
  <si>
    <t>割引額（月額上限5,000円）×在籍月数×人数</t>
    <rPh sb="0" eb="3">
      <t>ワリビキガク</t>
    </rPh>
    <rPh sb="4" eb="5">
      <t>ツキ</t>
    </rPh>
    <rPh sb="5" eb="6">
      <t>ガク</t>
    </rPh>
    <rPh sb="6" eb="8">
      <t>ジョウゲン</t>
    </rPh>
    <rPh sb="13" eb="14">
      <t>エン</t>
    </rPh>
    <rPh sb="16" eb="18">
      <t>ザイセキ</t>
    </rPh>
    <rPh sb="18" eb="20">
      <t>ツキスウ</t>
    </rPh>
    <rPh sb="21" eb="23">
      <t>ニンズウ</t>
    </rPh>
    <phoneticPr fontId="1"/>
  </si>
  <si>
    <t>交付申請額</t>
    <rPh sb="0" eb="2">
      <t>コウフ</t>
    </rPh>
    <rPh sb="2" eb="4">
      <t>シンセイ</t>
    </rPh>
    <rPh sb="4" eb="5">
      <t>ガク</t>
    </rPh>
    <phoneticPr fontId="1"/>
  </si>
  <si>
    <t>誤りがないことを確認した。
対象額ではないものを入力していたら、返金となることを了承している。</t>
    <rPh sb="0" eb="1">
      <t>アヤマ</t>
    </rPh>
    <rPh sb="8" eb="10">
      <t>カクニン</t>
    </rPh>
    <rPh sb="14" eb="16">
      <t>タイショウ</t>
    </rPh>
    <rPh sb="16" eb="17">
      <t>ガク</t>
    </rPh>
    <rPh sb="24" eb="26">
      <t>ニュウリョク</t>
    </rPh>
    <rPh sb="32" eb="34">
      <t>ヘンキン</t>
    </rPh>
    <rPh sb="40" eb="42">
      <t>リョウショウ</t>
    </rPh>
    <phoneticPr fontId="1"/>
  </si>
  <si>
    <t>加配
人数</t>
    <rPh sb="0" eb="2">
      <t>カハイ</t>
    </rPh>
    <rPh sb="3" eb="5">
      <t>ニンズウ</t>
    </rPh>
    <phoneticPr fontId="1"/>
  </si>
  <si>
    <t>支給した額（年額）</t>
    <rPh sb="0" eb="2">
      <t>シキュウ</t>
    </rPh>
    <rPh sb="4" eb="5">
      <t>ガク</t>
    </rPh>
    <rPh sb="6" eb="8">
      <t>ネンガク</t>
    </rPh>
    <phoneticPr fontId="1"/>
  </si>
  <si>
    <t>委託・燃料・謝礼</t>
    <rPh sb="0" eb="2">
      <t>イタク</t>
    </rPh>
    <rPh sb="3" eb="5">
      <t>ネンリョウ</t>
    </rPh>
    <rPh sb="6" eb="8">
      <t>シャレイ</t>
    </rPh>
    <phoneticPr fontId="1"/>
  </si>
  <si>
    <t>（A）家庭、学校等との連絡および情報交換等の育成支援に従事する職員を配置</t>
    <rPh sb="3" eb="5">
      <t>カテイ</t>
    </rPh>
    <rPh sb="6" eb="8">
      <t>ガッコウ</t>
    </rPh>
    <rPh sb="8" eb="9">
      <t>トウ</t>
    </rPh>
    <rPh sb="11" eb="13">
      <t>レンラク</t>
    </rPh>
    <rPh sb="16" eb="18">
      <t>ジョウホウ</t>
    </rPh>
    <rPh sb="18" eb="20">
      <t>コウカン</t>
    </rPh>
    <rPh sb="20" eb="21">
      <t>トウ</t>
    </rPh>
    <rPh sb="22" eb="24">
      <t>イクセイ</t>
    </rPh>
    <rPh sb="24" eb="26">
      <t>シエン</t>
    </rPh>
    <rPh sb="27" eb="29">
      <t>ジュウジ</t>
    </rPh>
    <rPh sb="31" eb="33">
      <t>ショクイン</t>
    </rPh>
    <rPh sb="34" eb="36">
      <t>ハイチ</t>
    </rPh>
    <phoneticPr fontId="1"/>
  </si>
  <si>
    <t>（B）（A）に加え、地域等との連絡・協力等の育成支援に従事する常勤職員を配置</t>
    <rPh sb="7" eb="8">
      <t>クワ</t>
    </rPh>
    <rPh sb="10" eb="12">
      <t>チイキ</t>
    </rPh>
    <rPh sb="12" eb="13">
      <t>トウ</t>
    </rPh>
    <rPh sb="15" eb="17">
      <t>レンラク</t>
    </rPh>
    <rPh sb="18" eb="20">
      <t>キョウリョク</t>
    </rPh>
    <rPh sb="20" eb="21">
      <t>トウ</t>
    </rPh>
    <rPh sb="22" eb="24">
      <t>イクセイ</t>
    </rPh>
    <rPh sb="24" eb="26">
      <t>シエン</t>
    </rPh>
    <rPh sb="27" eb="29">
      <t>ジュウジ</t>
    </rPh>
    <rPh sb="31" eb="33">
      <t>ジョウキン</t>
    </rPh>
    <rPh sb="33" eb="35">
      <t>ショクイン</t>
    </rPh>
    <rPh sb="36" eb="38">
      <t>ハイチ</t>
    </rPh>
    <phoneticPr fontId="1"/>
  </si>
  <si>
    <t>連絡先(電話(必須)・メール)</t>
    <rPh sb="0" eb="3">
      <t>レンラクサキ</t>
    </rPh>
    <rPh sb="4" eb="6">
      <t>デンワ</t>
    </rPh>
    <rPh sb="7" eb="9">
      <t>ヒッス</t>
    </rPh>
    <phoneticPr fontId="1"/>
  </si>
  <si>
    <t>連絡先(電話（必須）・メール)</t>
    <rPh sb="0" eb="3">
      <t>レンラクサキ</t>
    </rPh>
    <rPh sb="4" eb="6">
      <t>デンワ</t>
    </rPh>
    <rPh sb="7" eb="9">
      <t>ヒッス</t>
    </rPh>
    <phoneticPr fontId="1"/>
  </si>
  <si>
    <t>　子どもの遊びや生活の環境及び帰宅時の安全等について地域の協力が得られるように、自治会・町内会や民生委員・児童委員（主任児童委員）等の地域組織や子どもに関わる関係機関等と情報交換や情報共有、相互交流を図ること。</t>
    <phoneticPr fontId="1"/>
  </si>
  <si>
    <t>開所とみなす
閉所の日付
及び理由</t>
    <rPh sb="0" eb="2">
      <t>カイショ</t>
    </rPh>
    <rPh sb="7" eb="9">
      <t>ヘイショ</t>
    </rPh>
    <rPh sb="10" eb="12">
      <t>ヒヅケ</t>
    </rPh>
    <rPh sb="13" eb="14">
      <t>オヨ</t>
    </rPh>
    <rPh sb="15" eb="17">
      <t>リユウ</t>
    </rPh>
    <phoneticPr fontId="1"/>
  </si>
  <si>
    <t>○</t>
    <phoneticPr fontId="1"/>
  </si>
  <si>
    <r>
      <t>※交付済額（Ｂ）は</t>
    </r>
    <r>
      <rPr>
        <b/>
        <sz val="13"/>
        <color theme="1"/>
        <rFont val="BIZ UDPゴシック"/>
        <family val="3"/>
        <charset val="128"/>
      </rPr>
      <t>「すでに交付決定された金額」</t>
    </r>
    <r>
      <rPr>
        <sz val="13"/>
        <color theme="1"/>
        <rFont val="BIZ UDPゴシック"/>
        <family val="3"/>
        <charset val="128"/>
      </rPr>
      <t>です。</t>
    </r>
    <phoneticPr fontId="1"/>
  </si>
  <si>
    <t>放課後児童支援員等処遇改善
（月額9,000円相当賃金改善）加算</t>
    <phoneticPr fontId="1"/>
  </si>
  <si>
    <t>補助金算出シート（通常分）</t>
    <rPh sb="0" eb="3">
      <t>ホジョキン</t>
    </rPh>
    <rPh sb="3" eb="5">
      <t>サンシュツ</t>
    </rPh>
    <rPh sb="9" eb="11">
      <t>ツウジョウ</t>
    </rPh>
    <rPh sb="11" eb="12">
      <t>ブン</t>
    </rPh>
    <phoneticPr fontId="1"/>
  </si>
  <si>
    <t>(様式３)
●職員名簿および各種加算等一覧</t>
    <rPh sb="1" eb="3">
      <t>ヨウシキ</t>
    </rPh>
    <rPh sb="7" eb="9">
      <t>ショクイン</t>
    </rPh>
    <rPh sb="9" eb="11">
      <t>メイボ</t>
    </rPh>
    <rPh sb="14" eb="16">
      <t>カクシュ</t>
    </rPh>
    <rPh sb="16" eb="18">
      <t>カサン</t>
    </rPh>
    <rPh sb="18" eb="19">
      <t>トウ</t>
    </rPh>
    <rPh sb="19" eb="21">
      <t>イチラン</t>
    </rPh>
    <phoneticPr fontId="1"/>
  </si>
  <si>
    <t>(様式４)年間開所カレンダー</t>
    <rPh sb="1" eb="3">
      <t>ヨウシキ</t>
    </rPh>
    <rPh sb="5" eb="7">
      <t>ネンカン</t>
    </rPh>
    <rPh sb="7" eb="9">
      <t>カイショ</t>
    </rPh>
    <phoneticPr fontId="1"/>
  </si>
  <si>
    <t>（様式５）</t>
    <rPh sb="1" eb="3">
      <t>ヨウシキ</t>
    </rPh>
    <phoneticPr fontId="1"/>
  </si>
  <si>
    <t>（様式６）</t>
    <rPh sb="1" eb="3">
      <t>ヨウシキ</t>
    </rPh>
    <phoneticPr fontId="1"/>
  </si>
  <si>
    <t>（様式１）</t>
    <rPh sb="1" eb="3">
      <t>ヨウシキ</t>
    </rPh>
    <phoneticPr fontId="1"/>
  </si>
  <si>
    <t>キャリアアップ
区分</t>
    <rPh sb="8" eb="10">
      <t>クブン</t>
    </rPh>
    <phoneticPr fontId="1"/>
  </si>
  <si>
    <t>放課後児童支援員等処遇改善（月額9,000円相当賃金改善）加算）</t>
    <rPh sb="29" eb="31">
      <t>カサン</t>
    </rPh>
    <phoneticPr fontId="1"/>
  </si>
  <si>
    <t>事務員等</t>
    <rPh sb="0" eb="3">
      <t>ジムイン</t>
    </rPh>
    <rPh sb="3" eb="4">
      <t>ナド</t>
    </rPh>
    <phoneticPr fontId="1"/>
  </si>
  <si>
    <t>R5</t>
    <phoneticPr fontId="1"/>
  </si>
  <si>
    <t>障害児６名以上で、障害児受入加算の職員配置に加え２名加配</t>
    <rPh sb="0" eb="3">
      <t>ショウガイジ</t>
    </rPh>
    <rPh sb="4" eb="7">
      <t>メイイジョウ</t>
    </rPh>
    <rPh sb="9" eb="12">
      <t>ショウガイジ</t>
    </rPh>
    <rPh sb="12" eb="14">
      <t>ウケイレ</t>
    </rPh>
    <rPh sb="14" eb="16">
      <t>カサン</t>
    </rPh>
    <rPh sb="17" eb="19">
      <t>ショクイン</t>
    </rPh>
    <rPh sb="19" eb="21">
      <t>ハイチ</t>
    </rPh>
    <rPh sb="22" eb="23">
      <t>クワ</t>
    </rPh>
    <rPh sb="25" eb="26">
      <t>メイ</t>
    </rPh>
    <rPh sb="26" eb="28">
      <t>カハイ</t>
    </rPh>
    <phoneticPr fontId="1"/>
  </si>
  <si>
    <t>障害児９名以上で、障害児受入加算の職員配置に加え３名加配</t>
    <rPh sb="0" eb="3">
      <t>ショウガイジ</t>
    </rPh>
    <rPh sb="4" eb="7">
      <t>メイイジョウ</t>
    </rPh>
    <rPh sb="9" eb="12">
      <t>ショウガイジ</t>
    </rPh>
    <rPh sb="12" eb="14">
      <t>ウケイレ</t>
    </rPh>
    <rPh sb="14" eb="16">
      <t>カサン</t>
    </rPh>
    <rPh sb="17" eb="19">
      <t>ショクイン</t>
    </rPh>
    <rPh sb="19" eb="21">
      <t>ハイチ</t>
    </rPh>
    <rPh sb="22" eb="23">
      <t>クワ</t>
    </rPh>
    <rPh sb="25" eb="26">
      <t>メイ</t>
    </rPh>
    <rPh sb="26" eb="28">
      <t>カハイ</t>
    </rPh>
    <phoneticPr fontId="1"/>
  </si>
  <si>
    <t>障害児１名以上で、２名以上の支援員等に１名加配</t>
    <rPh sb="0" eb="3">
      <t>ショウガイジ</t>
    </rPh>
    <rPh sb="4" eb="7">
      <t>メイイジョウ</t>
    </rPh>
    <rPh sb="10" eb="13">
      <t>メイイジョウ</t>
    </rPh>
    <rPh sb="14" eb="16">
      <t>シエン</t>
    </rPh>
    <rPh sb="16" eb="18">
      <t>イントウ</t>
    </rPh>
    <rPh sb="20" eb="21">
      <t>メイ</t>
    </rPh>
    <rPh sb="21" eb="23">
      <t>カハイ</t>
    </rPh>
    <phoneticPr fontId="1"/>
  </si>
  <si>
    <t>年額上限10,000円</t>
    <rPh sb="0" eb="2">
      <t>ネンガク</t>
    </rPh>
    <rPh sb="2" eb="4">
      <t>ジョウゲン</t>
    </rPh>
    <rPh sb="10" eb="11">
      <t>エン</t>
    </rPh>
    <phoneticPr fontId="1"/>
  </si>
  <si>
    <t>障害児２名で、２名以上の支援員等に１名加配（放課後児童支援員等の職員配置は受入加算時と同様）</t>
    <rPh sb="0" eb="3">
      <t>ショウガイジ</t>
    </rPh>
    <rPh sb="4" eb="5">
      <t>メイ</t>
    </rPh>
    <rPh sb="22" eb="25">
      <t>ホウカゴ</t>
    </rPh>
    <rPh sb="25" eb="27">
      <t>ジドウ</t>
    </rPh>
    <rPh sb="27" eb="29">
      <t>シエン</t>
    </rPh>
    <rPh sb="29" eb="30">
      <t>イン</t>
    </rPh>
    <rPh sb="30" eb="31">
      <t>トウ</t>
    </rPh>
    <rPh sb="32" eb="34">
      <t>ショクイン</t>
    </rPh>
    <rPh sb="34" eb="36">
      <t>ハイチ</t>
    </rPh>
    <rPh sb="37" eb="38">
      <t>ウ</t>
    </rPh>
    <rPh sb="38" eb="39">
      <t>イ</t>
    </rPh>
    <rPh sb="39" eb="41">
      <t>カサン</t>
    </rPh>
    <rPh sb="41" eb="42">
      <t>ジ</t>
    </rPh>
    <rPh sb="43" eb="45">
      <t>ドウヨウ</t>
    </rPh>
    <phoneticPr fontId="1"/>
  </si>
  <si>
    <t>※各補助項目千円未満切り捨てです（11は除く）。</t>
    <rPh sb="1" eb="2">
      <t>カク</t>
    </rPh>
    <rPh sb="2" eb="4">
      <t>ホジョ</t>
    </rPh>
    <rPh sb="4" eb="6">
      <t>コウモク</t>
    </rPh>
    <rPh sb="6" eb="8">
      <t>センエン</t>
    </rPh>
    <rPh sb="8" eb="10">
      <t>ミマン</t>
    </rPh>
    <rPh sb="10" eb="11">
      <t>キ</t>
    </rPh>
    <rPh sb="12" eb="13">
      <t>ス</t>
    </rPh>
    <rPh sb="20" eb="21">
      <t>ノゾ</t>
    </rPh>
    <phoneticPr fontId="1"/>
  </si>
  <si>
    <t>※行が足りない場合は適宜追加してください。</t>
    <rPh sb="1" eb="2">
      <t>ギョウ</t>
    </rPh>
    <rPh sb="3" eb="4">
      <t>タ</t>
    </rPh>
    <rPh sb="7" eb="9">
      <t>バアイ</t>
    </rPh>
    <rPh sb="10" eb="12">
      <t>テキギ</t>
    </rPh>
    <rPh sb="12" eb="14">
      <t>ツイカ</t>
    </rPh>
    <phoneticPr fontId="1"/>
  </si>
  <si>
    <t>※放課後児童クラブで勤務する職員のうち、賃金改善を行う者（職種問わず、非常勤を含み、経営に携わる法人の役員を除く。）を記載してください。</t>
    <rPh sb="1" eb="4">
      <t>ホウカゴ</t>
    </rPh>
    <rPh sb="4" eb="6">
      <t>ジドウ</t>
    </rPh>
    <rPh sb="10" eb="12">
      <t>キンム</t>
    </rPh>
    <rPh sb="14" eb="16">
      <t>ショクイン</t>
    </rPh>
    <rPh sb="20" eb="22">
      <t>チンギン</t>
    </rPh>
    <rPh sb="22" eb="24">
      <t>カイゼン</t>
    </rPh>
    <rPh sb="25" eb="26">
      <t>オコナ</t>
    </rPh>
    <rPh sb="27" eb="28">
      <t>シャ</t>
    </rPh>
    <rPh sb="29" eb="31">
      <t>ショクシュ</t>
    </rPh>
    <rPh sb="31" eb="32">
      <t>ト</t>
    </rPh>
    <rPh sb="35" eb="38">
      <t>ヒジョウキン</t>
    </rPh>
    <rPh sb="39" eb="40">
      <t>フク</t>
    </rPh>
    <rPh sb="42" eb="44">
      <t>ケイエイ</t>
    </rPh>
    <rPh sb="45" eb="46">
      <t>タズサ</t>
    </rPh>
    <rPh sb="48" eb="50">
      <t>ホウジン</t>
    </rPh>
    <rPh sb="51" eb="53">
      <t>ヤクイン</t>
    </rPh>
    <rPh sb="54" eb="55">
      <t>ノゾ</t>
    </rPh>
    <rPh sb="59" eb="61">
      <t>キサイ</t>
    </rPh>
    <phoneticPr fontId="1"/>
  </si>
  <si>
    <t>令和６年放課後児童健全育成事業補助金</t>
    <rPh sb="0" eb="1">
      <t>レイ</t>
    </rPh>
    <rPh sb="1" eb="2">
      <t>ワ</t>
    </rPh>
    <rPh sb="3" eb="4">
      <t>ネン</t>
    </rPh>
    <rPh sb="4" eb="7">
      <t>ホウカゴ</t>
    </rPh>
    <rPh sb="7" eb="9">
      <t>ジドウ</t>
    </rPh>
    <rPh sb="9" eb="11">
      <t>ケンゼン</t>
    </rPh>
    <rPh sb="11" eb="13">
      <t>イクセイ</t>
    </rPh>
    <rPh sb="13" eb="15">
      <t>ジギョウ</t>
    </rPh>
    <rPh sb="15" eb="18">
      <t>ホジョキン</t>
    </rPh>
    <phoneticPr fontId="1"/>
  </si>
  <si>
    <t>⑤１か月当たりの勤務時間数</t>
    <rPh sb="3" eb="4">
      <t>ゲツ</t>
    </rPh>
    <rPh sb="4" eb="5">
      <t>ア</t>
    </rPh>
    <rPh sb="8" eb="10">
      <t>キンム</t>
    </rPh>
    <rPh sb="10" eb="13">
      <t>ジカンスウ</t>
    </rPh>
    <phoneticPr fontId="1"/>
  </si>
  <si>
    <t>⑥就業規則等で定めた常勤の１か月当たりの勤務時間数</t>
    <rPh sb="1" eb="3">
      <t>シュウギョウ</t>
    </rPh>
    <rPh sb="3" eb="5">
      <t>キソク</t>
    </rPh>
    <rPh sb="5" eb="6">
      <t>トウ</t>
    </rPh>
    <rPh sb="7" eb="8">
      <t>サダ</t>
    </rPh>
    <rPh sb="10" eb="12">
      <t>ジョウキン</t>
    </rPh>
    <rPh sb="15" eb="16">
      <t>ゲツ</t>
    </rPh>
    <rPh sb="16" eb="17">
      <t>ア</t>
    </rPh>
    <rPh sb="20" eb="22">
      <t>キンム</t>
    </rPh>
    <rPh sb="22" eb="25">
      <t>ジカンスウ</t>
    </rPh>
    <phoneticPr fontId="1"/>
  </si>
  <si>
    <t>障害児加配</t>
    <rPh sb="0" eb="2">
      <t>ショウガイ</t>
    </rPh>
    <rPh sb="2" eb="3">
      <t>ジ</t>
    </rPh>
    <rPh sb="3" eb="5">
      <t>カハイ</t>
    </rPh>
    <phoneticPr fontId="1"/>
  </si>
  <si>
    <t>研修
受講</t>
    <rPh sb="0" eb="2">
      <t>ケンシュウ</t>
    </rPh>
    <rPh sb="3" eb="5">
      <t>ジュコウ</t>
    </rPh>
    <phoneticPr fontId="1"/>
  </si>
  <si>
    <t>障害児加配
配置</t>
    <rPh sb="0" eb="2">
      <t>ショウガイ</t>
    </rPh>
    <rPh sb="2" eb="3">
      <t>ジ</t>
    </rPh>
    <rPh sb="3" eb="5">
      <t>カハイ</t>
    </rPh>
    <rPh sb="6" eb="8">
      <t>ハイチ</t>
    </rPh>
    <phoneticPr fontId="1"/>
  </si>
  <si>
    <t>市等が主催する研修
受講年度</t>
    <rPh sb="0" eb="1">
      <t>シ</t>
    </rPh>
    <rPh sb="1" eb="2">
      <t>ナド</t>
    </rPh>
    <rPh sb="3" eb="5">
      <t>シュサイ</t>
    </rPh>
    <rPh sb="7" eb="9">
      <t>ケンシュウ</t>
    </rPh>
    <rPh sb="10" eb="12">
      <t>ジュコウ</t>
    </rPh>
    <rPh sb="12" eb="14">
      <t>ネンド</t>
    </rPh>
    <phoneticPr fontId="1"/>
  </si>
  <si>
    <t>給与
形態</t>
    <rPh sb="0" eb="2">
      <t>キュウヨ</t>
    </rPh>
    <rPh sb="3" eb="5">
      <t>ケイタイ</t>
    </rPh>
    <phoneticPr fontId="1"/>
  </si>
  <si>
    <t>雇用
形態</t>
    <rPh sb="0" eb="2">
      <t>コヨウ</t>
    </rPh>
    <rPh sb="3" eb="5">
      <t>ケイタイ</t>
    </rPh>
    <phoneticPr fontId="1"/>
  </si>
  <si>
    <t>支援員
資格研修
修了年度</t>
    <rPh sb="0" eb="2">
      <t>シエン</t>
    </rPh>
    <rPh sb="2" eb="3">
      <t>イン</t>
    </rPh>
    <rPh sb="4" eb="6">
      <t>シカク</t>
    </rPh>
    <rPh sb="6" eb="8">
      <t>ケンシュウ</t>
    </rPh>
    <rPh sb="9" eb="11">
      <t>シュウリョウ</t>
    </rPh>
    <rPh sb="11" eb="13">
      <t>ネンド</t>
    </rPh>
    <phoneticPr fontId="1"/>
  </si>
  <si>
    <t>出勤職員名簿</t>
    <rPh sb="0" eb="2">
      <t>シュッキン</t>
    </rPh>
    <rPh sb="2" eb="4">
      <t>ショクイン</t>
    </rPh>
    <rPh sb="4" eb="6">
      <t>メイボ</t>
    </rPh>
    <phoneticPr fontId="1"/>
  </si>
  <si>
    <t>R6</t>
    <phoneticPr fontId="1"/>
  </si>
  <si>
    <t>水</t>
    <phoneticPr fontId="1"/>
  </si>
  <si>
    <t>放課後児童支援員等処遇改善事業（月額9,000円相当賃金改善）　賃金改善計画書</t>
    <rPh sb="32" eb="34">
      <t>チンギン</t>
    </rPh>
    <rPh sb="34" eb="36">
      <t>カイゼン</t>
    </rPh>
    <rPh sb="36" eb="39">
      <t>ケイカクショ</t>
    </rPh>
    <phoneticPr fontId="1"/>
  </si>
  <si>
    <t>別紙様式１</t>
    <rPh sb="0" eb="2">
      <t>ベッシ</t>
    </rPh>
    <rPh sb="2" eb="4">
      <t>ヨウシキ</t>
    </rPh>
    <phoneticPr fontId="1"/>
  </si>
  <si>
    <t>別紙様式１別添１</t>
    <rPh sb="0" eb="2">
      <t>ベッシ</t>
    </rPh>
    <rPh sb="2" eb="4">
      <t>ヨウシキ</t>
    </rPh>
    <rPh sb="5" eb="7">
      <t>ベッテン</t>
    </rPh>
    <phoneticPr fontId="1"/>
  </si>
  <si>
    <t>職員配置の区別</t>
    <rPh sb="0" eb="2">
      <t>ショクイン</t>
    </rPh>
    <rPh sb="2" eb="4">
      <t>ハイチ</t>
    </rPh>
    <rPh sb="5" eb="7">
      <t>クベツ</t>
    </rPh>
    <phoneticPr fontId="1"/>
  </si>
  <si>
    <t>原則、設備運営基準どおり支援員等を配置している。</t>
    <rPh sb="0" eb="2">
      <t>ゲンソク</t>
    </rPh>
    <rPh sb="3" eb="5">
      <t>セツビ</t>
    </rPh>
    <rPh sb="5" eb="7">
      <t>ウンエイ</t>
    </rPh>
    <rPh sb="7" eb="9">
      <t>キジュン</t>
    </rPh>
    <rPh sb="12" eb="14">
      <t>シエン</t>
    </rPh>
    <rPh sb="14" eb="15">
      <t>イン</t>
    </rPh>
    <rPh sb="15" eb="16">
      <t>トウ</t>
    </rPh>
    <rPh sb="17" eb="19">
      <t>ハイチ</t>
    </rPh>
    <phoneticPr fontId="1"/>
  </si>
  <si>
    <t>常勤２名の対象月数</t>
    <rPh sb="0" eb="2">
      <t>ジョウキン</t>
    </rPh>
    <rPh sb="3" eb="4">
      <t>メイ</t>
    </rPh>
    <rPh sb="5" eb="7">
      <t>タイショウ</t>
    </rPh>
    <rPh sb="7" eb="8">
      <t>ツキ</t>
    </rPh>
    <rPh sb="8" eb="9">
      <t>スウ</t>
    </rPh>
    <phoneticPr fontId="1"/>
  </si>
  <si>
    <t>常勤２名配置を開始した月</t>
    <rPh sb="0" eb="2">
      <t>ジョウキン</t>
    </rPh>
    <rPh sb="3" eb="4">
      <t>メイ</t>
    </rPh>
    <rPh sb="4" eb="6">
      <t>ハイチ</t>
    </rPh>
    <rPh sb="7" eb="9">
      <t>カイシ</t>
    </rPh>
    <rPh sb="11" eb="12">
      <t>ツキ</t>
    </rPh>
    <phoneticPr fontId="1"/>
  </si>
  <si>
    <t>4月</t>
    <rPh sb="1" eb="2">
      <t>ガツ</t>
    </rPh>
    <phoneticPr fontId="1"/>
  </si>
  <si>
    <t>R7.1月</t>
    <phoneticPr fontId="1"/>
  </si>
  <si>
    <t>R7.2月</t>
    <phoneticPr fontId="1"/>
  </si>
  <si>
    <t>R7.3月</t>
    <phoneticPr fontId="1"/>
  </si>
  <si>
    <t>補助上限額（通常）</t>
    <rPh sb="0" eb="2">
      <t>ホジョ</t>
    </rPh>
    <rPh sb="2" eb="5">
      <t>ジョウゲンガク</t>
    </rPh>
    <rPh sb="6" eb="8">
      <t>ツウジョウ</t>
    </rPh>
    <phoneticPr fontId="1"/>
  </si>
  <si>
    <t>補助上限額（常勤２名）</t>
    <rPh sb="0" eb="2">
      <t>ホジョ</t>
    </rPh>
    <rPh sb="2" eb="5">
      <t>ジョウゲンガク</t>
    </rPh>
    <rPh sb="6" eb="8">
      <t>ジョウキン</t>
    </rPh>
    <rPh sb="9" eb="10">
      <t>メイ</t>
    </rPh>
    <phoneticPr fontId="1"/>
  </si>
  <si>
    <t>開所時
補助</t>
    <rPh sb="0" eb="2">
      <t>カイショ</t>
    </rPh>
    <rPh sb="2" eb="3">
      <t>ジ</t>
    </rPh>
    <rPh sb="4" eb="6">
      <t>ホジョ</t>
    </rPh>
    <phoneticPr fontId="1"/>
  </si>
  <si>
    <t>開所時備品補助</t>
    <rPh sb="0" eb="2">
      <t>カイショ</t>
    </rPh>
    <rPh sb="2" eb="3">
      <t>ジ</t>
    </rPh>
    <rPh sb="3" eb="5">
      <t>ビヒン</t>
    </rPh>
    <rPh sb="5" eb="7">
      <t>ホジョ</t>
    </rPh>
    <phoneticPr fontId="1"/>
  </si>
  <si>
    <t>開所時防災用備品補助</t>
    <rPh sb="0" eb="2">
      <t>カイショ</t>
    </rPh>
    <rPh sb="2" eb="3">
      <t>ジ</t>
    </rPh>
    <rPh sb="3" eb="6">
      <t>ボウサイヨウ</t>
    </rPh>
    <rPh sb="6" eb="8">
      <t>ビヒン</t>
    </rPh>
    <rPh sb="8" eb="10">
      <t>ホジョ</t>
    </rPh>
    <phoneticPr fontId="1"/>
  </si>
  <si>
    <t>児童数：</t>
    <rPh sb="0" eb="2">
      <t>ジドウ</t>
    </rPh>
    <rPh sb="2" eb="3">
      <t>スウ</t>
    </rPh>
    <phoneticPr fontId="1"/>
  </si>
  <si>
    <t>開所日数：</t>
    <rPh sb="0" eb="2">
      <t>カイショ</t>
    </rPh>
    <rPh sb="2" eb="4">
      <t>ニッスウ</t>
    </rPh>
    <phoneticPr fontId="1"/>
  </si>
  <si>
    <t>按分</t>
    <rPh sb="0" eb="2">
      <t>アンブン</t>
    </rPh>
    <phoneticPr fontId="1"/>
  </si>
  <si>
    <t>【常勤２名】原則、設備運営基準どおり放課後児童支援員（常勤職員）を２名以上配置している。</t>
    <phoneticPr fontId="1"/>
  </si>
  <si>
    <t>うち、以下を除く</t>
    <rPh sb="3" eb="5">
      <t>イカ</t>
    </rPh>
    <rPh sb="6" eb="7">
      <t>ノゾ</t>
    </rPh>
    <phoneticPr fontId="1"/>
  </si>
  <si>
    <t>除く額（常勤２名配置）</t>
    <rPh sb="0" eb="1">
      <t>ノゾ</t>
    </rPh>
    <rPh sb="2" eb="3">
      <t>ガク</t>
    </rPh>
    <rPh sb="4" eb="6">
      <t>ジョウキン</t>
    </rPh>
    <rPh sb="7" eb="8">
      <t>メイ</t>
    </rPh>
    <rPh sb="8" eb="10">
      <t>ハイチ</t>
    </rPh>
    <phoneticPr fontId="1"/>
  </si>
  <si>
    <t>一の支援の単位を構成する児童の数が19人以下の場合</t>
    <phoneticPr fontId="1"/>
  </si>
  <si>
    <t>小規模放課後児童クラブ支援事業（実施要綱の別添８）を実施している場合</t>
    <phoneticPr fontId="1"/>
  </si>
  <si>
    <t>一の支援の単位を構成する児童の数が20人以上の場合</t>
    <phoneticPr fontId="1"/>
  </si>
  <si>
    <t>開所日数加算の対象となる場合（年間開所日数－250日）</t>
    <phoneticPr fontId="1"/>
  </si>
  <si>
    <t>（平日）「１日６時間を超え、かつ18時を超える時間」の年間平均時間数</t>
    <rPh sb="1" eb="3">
      <t>ヘイジツ</t>
    </rPh>
    <phoneticPr fontId="1"/>
  </si>
  <si>
    <t>（長期休暇等）「１日８時間を超える時間」の年間平均時間数</t>
    <rPh sb="1" eb="3">
      <t>チョウキ</t>
    </rPh>
    <rPh sb="3" eb="5">
      <t>キュウカ</t>
    </rPh>
    <rPh sb="5" eb="6">
      <t>トウ</t>
    </rPh>
    <phoneticPr fontId="1"/>
  </si>
  <si>
    <t>常勤２名の計算に使用します（削除しないでください）</t>
    <rPh sb="0" eb="2">
      <t>ジョウキン</t>
    </rPh>
    <rPh sb="3" eb="4">
      <t>メイ</t>
    </rPh>
    <rPh sb="5" eb="7">
      <t>ケイサン</t>
    </rPh>
    <rPh sb="8" eb="10">
      <t>シヨウ</t>
    </rPh>
    <rPh sb="14" eb="16">
      <t>サクジョ</t>
    </rPh>
    <phoneticPr fontId="1"/>
  </si>
  <si>
    <t>通常配置</t>
    <rPh sb="0" eb="2">
      <t>ツウジョウ</t>
    </rPh>
    <rPh sb="2" eb="4">
      <t>ハイチ</t>
    </rPh>
    <phoneticPr fontId="1"/>
  </si>
  <si>
    <t>常勤２名</t>
    <rPh sb="0" eb="2">
      <t>ジョウキン</t>
    </rPh>
    <rPh sb="3" eb="4">
      <t>メイ</t>
    </rPh>
    <phoneticPr fontId="1"/>
  </si>
  <si>
    <t>職員配置の区別：</t>
    <rPh sb="0" eb="2">
      <t>ショクイン</t>
    </rPh>
    <rPh sb="2" eb="4">
      <t>ハイチ</t>
    </rPh>
    <rPh sb="5" eb="7">
      <t>クベツ</t>
    </rPh>
    <phoneticPr fontId="1"/>
  </si>
  <si>
    <t>土・日・祝・長期休暇　開所日</t>
    <rPh sb="0" eb="1">
      <t>ツチ</t>
    </rPh>
    <rPh sb="2" eb="3">
      <t>ヒ</t>
    </rPh>
    <rPh sb="4" eb="5">
      <t>シュク</t>
    </rPh>
    <rPh sb="6" eb="8">
      <t>チョウキ</t>
    </rPh>
    <rPh sb="8" eb="10">
      <t>キュウカ</t>
    </rPh>
    <rPh sb="11" eb="13">
      <t>カイショ</t>
    </rPh>
    <rPh sb="13" eb="14">
      <t>ビ</t>
    </rPh>
    <phoneticPr fontId="1"/>
  </si>
  <si>
    <t>常勤２名の計算に使用します（削除しないでください）</t>
    <rPh sb="0" eb="2">
      <t>ジョウキン</t>
    </rPh>
    <rPh sb="3" eb="4">
      <t>メイ</t>
    </rPh>
    <rPh sb="5" eb="7">
      <t>ケイサン</t>
    </rPh>
    <rPh sb="8" eb="10">
      <t>シヨウ</t>
    </rPh>
    <rPh sb="14" eb="16">
      <t>サクジョ</t>
    </rPh>
    <phoneticPr fontId="1"/>
  </si>
  <si>
    <t>クラブ従事年数
（R6.4.1時点）</t>
    <rPh sb="5" eb="7">
      <t>ネンスウ</t>
    </rPh>
    <rPh sb="6" eb="7">
      <t>ケイネン</t>
    </rPh>
    <rPh sb="15" eb="17">
      <t>ジテン</t>
    </rPh>
    <phoneticPr fontId="1"/>
  </si>
  <si>
    <t>基本額【通常の２名配置】</t>
    <rPh sb="0" eb="2">
      <t>キホン</t>
    </rPh>
    <rPh sb="2" eb="3">
      <t>ガク</t>
    </rPh>
    <rPh sb="4" eb="6">
      <t>ツウジョウ</t>
    </rPh>
    <rPh sb="8" eb="9">
      <t>メイ</t>
    </rPh>
    <rPh sb="9" eb="11">
      <t>ハイチ</t>
    </rPh>
    <phoneticPr fontId="1"/>
  </si>
  <si>
    <t>開所日数加算【通常の２名配置】</t>
    <rPh sb="0" eb="2">
      <t>カイショ</t>
    </rPh>
    <rPh sb="2" eb="4">
      <t>ニッスウ</t>
    </rPh>
    <rPh sb="4" eb="6">
      <t>カサン</t>
    </rPh>
    <rPh sb="7" eb="9">
      <t>ツウジョウ</t>
    </rPh>
    <rPh sb="11" eb="12">
      <t>メイ</t>
    </rPh>
    <rPh sb="12" eb="14">
      <t>ハイチ</t>
    </rPh>
    <phoneticPr fontId="1"/>
  </si>
  <si>
    <t>長時間開所加算（平日分）【常勤２名】</t>
    <rPh sb="0" eb="3">
      <t>チョウジカン</t>
    </rPh>
    <rPh sb="3" eb="5">
      <t>カイショ</t>
    </rPh>
    <rPh sb="5" eb="7">
      <t>カサン</t>
    </rPh>
    <rPh sb="8" eb="10">
      <t>ヘイジツ</t>
    </rPh>
    <rPh sb="10" eb="11">
      <t>ブン</t>
    </rPh>
    <rPh sb="13" eb="15">
      <t>ジョウキン</t>
    </rPh>
    <rPh sb="16" eb="17">
      <t>メイ</t>
    </rPh>
    <phoneticPr fontId="1"/>
  </si>
  <si>
    <t>長時間開所加算（平日分）【通常の２名配置】</t>
    <rPh sb="0" eb="3">
      <t>チョウジカン</t>
    </rPh>
    <rPh sb="3" eb="5">
      <t>カイショ</t>
    </rPh>
    <rPh sb="5" eb="7">
      <t>カサン</t>
    </rPh>
    <rPh sb="8" eb="10">
      <t>ヘイジツ</t>
    </rPh>
    <rPh sb="10" eb="11">
      <t>ブン</t>
    </rPh>
    <rPh sb="13" eb="15">
      <t>ツウジョウ</t>
    </rPh>
    <rPh sb="17" eb="18">
      <t>メイ</t>
    </rPh>
    <rPh sb="18" eb="20">
      <t>ハイチ</t>
    </rPh>
    <phoneticPr fontId="1"/>
  </si>
  <si>
    <t>長時間開所加算（長期休暇等分）【通常の２名配置】</t>
    <rPh sb="0" eb="3">
      <t>チョウジカン</t>
    </rPh>
    <rPh sb="3" eb="5">
      <t>カイショ</t>
    </rPh>
    <rPh sb="5" eb="7">
      <t>カサン</t>
    </rPh>
    <rPh sb="8" eb="10">
      <t>チョウキ</t>
    </rPh>
    <rPh sb="10" eb="13">
      <t>キュウカトウ</t>
    </rPh>
    <rPh sb="13" eb="14">
      <t>ブン</t>
    </rPh>
    <rPh sb="16" eb="18">
      <t>ツウジョウ</t>
    </rPh>
    <rPh sb="20" eb="21">
      <t>メイ</t>
    </rPh>
    <rPh sb="21" eb="23">
      <t>ハイチ</t>
    </rPh>
    <phoneticPr fontId="1"/>
  </si>
  <si>
    <t>長時間開所加算（長期休暇等分）【常勤２名】</t>
    <rPh sb="0" eb="3">
      <t>チョウジカン</t>
    </rPh>
    <rPh sb="3" eb="5">
      <t>カイショ</t>
    </rPh>
    <rPh sb="5" eb="7">
      <t>カサン</t>
    </rPh>
    <rPh sb="8" eb="10">
      <t>チョウキ</t>
    </rPh>
    <rPh sb="10" eb="13">
      <t>キュウカトウ</t>
    </rPh>
    <rPh sb="13" eb="14">
      <t>ブン</t>
    </rPh>
    <rPh sb="16" eb="18">
      <t>ジョウキン</t>
    </rPh>
    <rPh sb="19" eb="20">
      <t>メイ</t>
    </rPh>
    <phoneticPr fontId="1"/>
  </si>
  <si>
    <t xml:space="preserve">①放課後児童支援員　　　　　　　　　　　　　　　　　　（１人当たり年額上限131,000円） </t>
    <rPh sb="1" eb="4">
      <t>ホウカゴ</t>
    </rPh>
    <phoneticPr fontId="1"/>
  </si>
  <si>
    <t>②経験年数概ね５年以上の放課後児童支援員で、市が指定する研修を受講した者
　　　　　　　　　　　　　　　　　　　　　　　　　　　　　　 　（１人当たり年額上限263,000円）</t>
    <rPh sb="1" eb="3">
      <t>ケイケン</t>
    </rPh>
    <rPh sb="3" eb="5">
      <t>ネンスウ</t>
    </rPh>
    <rPh sb="5" eb="6">
      <t>オオム</t>
    </rPh>
    <rPh sb="8" eb="11">
      <t>ネンイジョウ</t>
    </rPh>
    <rPh sb="12" eb="15">
      <t>ホウカゴ</t>
    </rPh>
    <rPh sb="15" eb="17">
      <t>ジドウ</t>
    </rPh>
    <rPh sb="17" eb="19">
      <t>シエン</t>
    </rPh>
    <rPh sb="19" eb="20">
      <t>イン</t>
    </rPh>
    <rPh sb="22" eb="23">
      <t>シ</t>
    </rPh>
    <rPh sb="24" eb="26">
      <t>シテイ</t>
    </rPh>
    <rPh sb="28" eb="30">
      <t>ケンシュウ</t>
    </rPh>
    <rPh sb="31" eb="33">
      <t>ジュコウ</t>
    </rPh>
    <rPh sb="35" eb="36">
      <t>モノ</t>
    </rPh>
    <rPh sb="71" eb="72">
      <t>ニン</t>
    </rPh>
    <rPh sb="72" eb="73">
      <t>ア</t>
    </rPh>
    <rPh sb="75" eb="76">
      <t>ドシ</t>
    </rPh>
    <rPh sb="76" eb="77">
      <t>ガク</t>
    </rPh>
    <rPh sb="77" eb="79">
      <t>ジョウゲン</t>
    </rPh>
    <rPh sb="86" eb="87">
      <t>エン</t>
    </rPh>
    <phoneticPr fontId="1"/>
  </si>
  <si>
    <t>除く額（通常の配置）</t>
    <rPh sb="0" eb="1">
      <t>ノゾ</t>
    </rPh>
    <rPh sb="2" eb="3">
      <t>ガク</t>
    </rPh>
    <rPh sb="4" eb="6">
      <t>ツウジョウ</t>
    </rPh>
    <rPh sb="7" eb="9">
      <t>ハイチ</t>
    </rPh>
    <phoneticPr fontId="1"/>
  </si>
  <si>
    <t>変更交付申請用</t>
    <rPh sb="0" eb="2">
      <t>ヘンコウ</t>
    </rPh>
    <rPh sb="2" eb="4">
      <t>コウフ</t>
    </rPh>
    <rPh sb="4" eb="6">
      <t>シンセイ</t>
    </rPh>
    <rPh sb="6" eb="7">
      <t>ヨウ</t>
    </rPh>
    <phoneticPr fontId="1"/>
  </si>
  <si>
    <t>Ｉ Ｃ Ｔ 化推進事業補助</t>
    <phoneticPr fontId="1"/>
  </si>
  <si>
    <t>児童の入退室の記録に必要なICT機器の導入に要する費用を補助（過去に同様の補助を受けている場合を除く）</t>
    <rPh sb="0" eb="2">
      <t>ジドウ</t>
    </rPh>
    <rPh sb="3" eb="6">
      <t>ニュウタイシツ</t>
    </rPh>
    <rPh sb="7" eb="9">
      <t>キロク</t>
    </rPh>
    <rPh sb="10" eb="12">
      <t>ヒツヨウ</t>
    </rPh>
    <rPh sb="16" eb="18">
      <t>キキ</t>
    </rPh>
    <rPh sb="19" eb="21">
      <t>ドウニュウ</t>
    </rPh>
    <rPh sb="22" eb="23">
      <t>ヨウ</t>
    </rPh>
    <rPh sb="25" eb="27">
      <t>ヒヨウ</t>
    </rPh>
    <rPh sb="28" eb="30">
      <t>ホジョ</t>
    </rPh>
    <rPh sb="31" eb="33">
      <t>カコ</t>
    </rPh>
    <rPh sb="34" eb="36">
      <t>ドウヨウ</t>
    </rPh>
    <rPh sb="37" eb="39">
      <t>ホジョ</t>
    </rPh>
    <rPh sb="40" eb="41">
      <t>ウ</t>
    </rPh>
    <rPh sb="45" eb="47">
      <t>バアイ</t>
    </rPh>
    <rPh sb="48" eb="49">
      <t>ノゾ</t>
    </rPh>
    <phoneticPr fontId="1"/>
  </si>
  <si>
    <t>年額上限500,000円</t>
    <rPh sb="0" eb="2">
      <t>ネンガク</t>
    </rPh>
    <rPh sb="2" eb="4">
      <t>ジョウゲン</t>
    </rPh>
    <rPh sb="11" eb="12">
      <t>エン</t>
    </rPh>
    <phoneticPr fontId="1"/>
  </si>
  <si>
    <t>性被害防止対策補助</t>
    <rPh sb="0" eb="1">
      <t>セイ</t>
    </rPh>
    <rPh sb="1" eb="3">
      <t>ヒガイ</t>
    </rPh>
    <rPh sb="3" eb="5">
      <t>ボウシ</t>
    </rPh>
    <rPh sb="5" eb="7">
      <t>タイサク</t>
    </rPh>
    <rPh sb="7" eb="9">
      <t>ホジョ</t>
    </rPh>
    <phoneticPr fontId="1"/>
  </si>
  <si>
    <t>性被害防止対策を図るために行う、パーテーション等の設備の購入若しくは更新の実施に直接要する経費</t>
    <rPh sb="23" eb="24">
      <t>ナド</t>
    </rPh>
    <phoneticPr fontId="1"/>
  </si>
  <si>
    <t>③経験年数概ね10年以上の放課後児童支援員で、市が指定する研修を受講した事
　 業所長的立場にある者    　　　　（原則１名とし、１人当たり年額上限　394,000円）</t>
  </si>
  <si>
    <t>はぐくみ学童クラブ</t>
    <rPh sb="4" eb="6">
      <t>ガクドウ</t>
    </rPh>
    <phoneticPr fontId="1"/>
  </si>
  <si>
    <t>同じ</t>
    <rPh sb="0" eb="1">
      <t>オナ</t>
    </rPh>
    <phoneticPr fontId="1"/>
  </si>
  <si>
    <t>諏訪</t>
    <rPh sb="0" eb="2">
      <t>スワ</t>
    </rPh>
    <phoneticPr fontId="1"/>
  </si>
  <si>
    <t>①</t>
  </si>
  <si>
    <t>横須賀市小川町…</t>
    <rPh sb="0" eb="4">
      <t>ヨコスカシ</t>
    </rPh>
    <rPh sb="4" eb="7">
      <t>オガワチョウ</t>
    </rPh>
    <phoneticPr fontId="1"/>
  </si>
  <si>
    <t>○</t>
  </si>
  <si>
    <t>・・　・・</t>
    <phoneticPr fontId="1"/>
  </si>
  <si>
    <t>AA AA</t>
    <phoneticPr fontId="1"/>
  </si>
  <si>
    <t>BB　BB</t>
  </si>
  <si>
    <t>BB　BB</t>
    <phoneticPr fontId="1"/>
  </si>
  <si>
    <t>８２２－＊＊＊＊</t>
    <phoneticPr fontId="1"/>
  </si>
  <si>
    <t>13時～17時</t>
    <rPh sb="2" eb="3">
      <t>ジ</t>
    </rPh>
    <rPh sb="6" eb="7">
      <t>ジ</t>
    </rPh>
    <phoneticPr fontId="1"/>
  </si>
  <si>
    <t>AA　AA</t>
  </si>
  <si>
    <t>AA　AA</t>
    <phoneticPr fontId="1"/>
  </si>
  <si>
    <t>BB　BB</t>
    <phoneticPr fontId="1"/>
  </si>
  <si>
    <t>CC　CC</t>
  </si>
  <si>
    <t>CC　CC</t>
    <phoneticPr fontId="1"/>
  </si>
  <si>
    <t>DD DD</t>
    <phoneticPr fontId="1"/>
  </si>
  <si>
    <t>EE EE（４～６月）</t>
  </si>
  <si>
    <t>EE EE（４～６月）</t>
    <rPh sb="9" eb="10">
      <t>ガツ</t>
    </rPh>
    <phoneticPr fontId="1"/>
  </si>
  <si>
    <t>EE EE（７～３月）</t>
    <rPh sb="9" eb="10">
      <t>ガツ</t>
    </rPh>
    <phoneticPr fontId="1"/>
  </si>
  <si>
    <t>FF FF</t>
    <phoneticPr fontId="1"/>
  </si>
  <si>
    <t>GG GG</t>
    <phoneticPr fontId="1"/>
  </si>
  <si>
    <t>HH HH</t>
    <phoneticPr fontId="1"/>
  </si>
  <si>
    <t>R2</t>
  </si>
  <si>
    <t>R5</t>
  </si>
  <si>
    <t>R4</t>
  </si>
  <si>
    <t>R6</t>
  </si>
  <si>
    <t>４年</t>
    <rPh sb="1" eb="2">
      <t>ネン</t>
    </rPh>
    <phoneticPr fontId="1"/>
  </si>
  <si>
    <t>７年</t>
    <rPh sb="1" eb="2">
      <t>ネン</t>
    </rPh>
    <phoneticPr fontId="1"/>
  </si>
  <si>
    <t>３年</t>
    <rPh sb="1" eb="2">
      <t>ネン</t>
    </rPh>
    <phoneticPr fontId="1"/>
  </si>
  <si>
    <t>２年</t>
    <rPh sb="1" eb="2">
      <t>ネン</t>
    </rPh>
    <phoneticPr fontId="1"/>
  </si>
  <si>
    <t>６か月</t>
    <rPh sb="2" eb="3">
      <t>ゲツ</t>
    </rPh>
    <phoneticPr fontId="1"/>
  </si>
  <si>
    <t>１年４か月</t>
    <rPh sb="1" eb="2">
      <t>ネン</t>
    </rPh>
    <rPh sb="4" eb="5">
      <t>ゲツ</t>
    </rPh>
    <phoneticPr fontId="1"/>
  </si>
  <si>
    <t>２か月</t>
    <rPh sb="2" eb="3">
      <t>ゲツ</t>
    </rPh>
    <phoneticPr fontId="1"/>
  </si>
  <si>
    <t>③</t>
  </si>
  <si>
    <t>②</t>
  </si>
  <si>
    <t>〇</t>
  </si>
  <si>
    <t>・・・・・・</t>
    <phoneticPr fontId="1"/>
  </si>
  <si>
    <t>横須賀市小川町１１</t>
    <rPh sb="0" eb="4">
      <t>ヨコスカシ</t>
    </rPh>
    <rPh sb="4" eb="7">
      <t>オガワチョウ</t>
    </rPh>
    <phoneticPr fontId="1"/>
  </si>
  <si>
    <t>運営委員長</t>
    <rPh sb="0" eb="2">
      <t>ウンエイ</t>
    </rPh>
    <rPh sb="2" eb="5">
      <t>イインチョウ</t>
    </rPh>
    <phoneticPr fontId="1"/>
  </si>
  <si>
    <t>横須賀　花子</t>
    <rPh sb="0" eb="3">
      <t>ヨコスカ</t>
    </rPh>
    <rPh sb="4" eb="6">
      <t>ハナコ</t>
    </rPh>
    <phoneticPr fontId="1"/>
  </si>
  <si>
    <t>横須賀</t>
    <rPh sb="0" eb="3">
      <t>ヨコスカ</t>
    </rPh>
    <phoneticPr fontId="1"/>
  </si>
  <si>
    <t>小川町</t>
    <rPh sb="0" eb="3">
      <t>オガワチョウ</t>
    </rPh>
    <phoneticPr fontId="1"/>
  </si>
  <si>
    <t>＊</t>
    <phoneticPr fontId="1"/>
  </si>
  <si>
    <t>ﾊｸﾞｸﾐｶﾞｸﾄﾞｳｸﾗﾌﾞ ｳﾝｴｲｲｲﾝﾁﾖｳ ﾖｺｽｶ ﾊﾅｺ</t>
    <phoneticPr fontId="1"/>
  </si>
  <si>
    <t>はぐくみ学童クラブ　運営委員長　横須賀　花子</t>
    <rPh sb="4" eb="6">
      <t>ガクドウ</t>
    </rPh>
    <rPh sb="10" eb="12">
      <t>ウンエイ</t>
    </rPh>
    <rPh sb="12" eb="15">
      <t>イインチョウ</t>
    </rPh>
    <rPh sb="16" eb="19">
      <t>ヨコスカ</t>
    </rPh>
    <rPh sb="20" eb="22">
      <t>ハナコ</t>
    </rPh>
    <phoneticPr fontId="1"/>
  </si>
  <si>
    <t>【常勤２名】原則、設備運営基準どおり放課後児童支援員（常勤職員）を２名以上配置している。</t>
  </si>
  <si>
    <t>（B）常勤職員の処遇改善交付額⇒</t>
    <rPh sb="12" eb="15">
      <t>コウフガク</t>
    </rPh>
    <phoneticPr fontId="1"/>
  </si>
  <si>
    <t>周知している</t>
  </si>
  <si>
    <t>継続する</t>
  </si>
  <si>
    <t>DD　DD</t>
  </si>
  <si>
    <t>EE　EE</t>
  </si>
  <si>
    <t>FF　FF</t>
  </si>
  <si>
    <t>放課後児童支援員</t>
  </si>
  <si>
    <t>育成支援の周辺業務を行う職員</t>
  </si>
  <si>
    <t>補助員</t>
  </si>
  <si>
    <t>GG　GG</t>
    <phoneticPr fontId="1"/>
  </si>
  <si>
    <t>HH　HH</t>
    <phoneticPr fontId="1"/>
  </si>
  <si>
    <t>常勤職員</t>
  </si>
  <si>
    <t>非常勤職員</t>
  </si>
  <si>
    <t>　                                                             　　　  １クラブ当たり年額 上限919,000円</t>
    <rPh sb="74" eb="76">
      <t>ネンガク</t>
    </rPh>
    <phoneticPr fontId="1"/>
  </si>
  <si>
    <t>GG GG</t>
  </si>
  <si>
    <t>DD DD</t>
  </si>
  <si>
    <t>基本額【常勤支援員２名配置】</t>
    <rPh sb="0" eb="2">
      <t>キホン</t>
    </rPh>
    <rPh sb="2" eb="3">
      <t>ガク</t>
    </rPh>
    <rPh sb="4" eb="6">
      <t>ジョウキン</t>
    </rPh>
    <rPh sb="6" eb="8">
      <t>シエン</t>
    </rPh>
    <rPh sb="8" eb="9">
      <t>イン</t>
    </rPh>
    <rPh sb="10" eb="11">
      <t>メイ</t>
    </rPh>
    <rPh sb="11" eb="13">
      <t>ハイチ</t>
    </rPh>
    <phoneticPr fontId="1"/>
  </si>
  <si>
    <t>開所日数加算【常勤支援員２名配置】</t>
    <rPh sb="0" eb="2">
      <t>カイショ</t>
    </rPh>
    <rPh sb="2" eb="4">
      <t>ニッスウ</t>
    </rPh>
    <rPh sb="4" eb="6">
      <t>カサン</t>
    </rPh>
    <rPh sb="7" eb="9">
      <t>ジョウキン</t>
    </rPh>
    <rPh sb="9" eb="11">
      <t>シエン</t>
    </rPh>
    <rPh sb="11" eb="12">
      <t>イン</t>
    </rPh>
    <rPh sb="13" eb="14">
      <t>メイ</t>
    </rPh>
    <rPh sb="14" eb="16">
      <t>ハイチ</t>
    </rPh>
    <phoneticPr fontId="1"/>
  </si>
  <si>
    <t>年額上限3,374,000円×在籍月数÷12月</t>
    <rPh sb="0" eb="2">
      <t>ネンガク</t>
    </rPh>
    <rPh sb="2" eb="4">
      <t>ジョウゲン</t>
    </rPh>
    <rPh sb="13" eb="14">
      <t>エン</t>
    </rPh>
    <rPh sb="15" eb="17">
      <t>ザイセキ</t>
    </rPh>
    <rPh sb="17" eb="19">
      <t>ツキスウ</t>
    </rPh>
    <rPh sb="22" eb="23">
      <t>ツキ</t>
    </rPh>
    <phoneticPr fontId="1"/>
  </si>
  <si>
    <t>本申請に係る</t>
    <phoneticPr fontId="1"/>
  </si>
  <si>
    <t>年額上限100,000円（うち１/４は事業者負担）</t>
    <rPh sb="0" eb="2">
      <t>ネンガク</t>
    </rPh>
    <rPh sb="2" eb="4">
      <t>ジョウゲン</t>
    </rPh>
    <rPh sb="11" eb="12">
      <t>エン</t>
    </rPh>
    <rPh sb="19" eb="22">
      <t>ジギョウシャ</t>
    </rPh>
    <rPh sb="22" eb="24">
      <t>フタン</t>
    </rPh>
    <phoneticPr fontId="1"/>
  </si>
  <si>
    <t>令和７年度　放課後児童健全育成事業補助金</t>
    <rPh sb="0" eb="2">
      <t>レイワ</t>
    </rPh>
    <rPh sb="3" eb="5">
      <t>ネンド</t>
    </rPh>
    <rPh sb="6" eb="9">
      <t>ホウカゴ</t>
    </rPh>
    <rPh sb="9" eb="11">
      <t>ジドウ</t>
    </rPh>
    <rPh sb="11" eb="13">
      <t>ケンゼン</t>
    </rPh>
    <rPh sb="13" eb="15">
      <t>イクセイ</t>
    </rPh>
    <rPh sb="15" eb="17">
      <t>ジギョウ</t>
    </rPh>
    <rPh sb="17" eb="20">
      <t>ホジョキン</t>
    </rPh>
    <phoneticPr fontId="1"/>
  </si>
  <si>
    <t>令和７年度放課後児童名簿・利用料割引者名簿</t>
    <rPh sb="0" eb="1">
      <t>レイ</t>
    </rPh>
    <rPh sb="1" eb="2">
      <t>ワ</t>
    </rPh>
    <rPh sb="3" eb="5">
      <t>ネンド</t>
    </rPh>
    <rPh sb="4" eb="5">
      <t>ド</t>
    </rPh>
    <rPh sb="5" eb="8">
      <t>ホウカゴ</t>
    </rPh>
    <rPh sb="8" eb="10">
      <t>ジドウ</t>
    </rPh>
    <rPh sb="10" eb="12">
      <t>メイボ</t>
    </rPh>
    <rPh sb="13" eb="16">
      <t>リヨウリョウ</t>
    </rPh>
    <rPh sb="16" eb="18">
      <t>ワリビキ</t>
    </rPh>
    <rPh sb="18" eb="19">
      <t>シャ</t>
    </rPh>
    <rPh sb="19" eb="21">
      <t>メイボ</t>
    </rPh>
    <phoneticPr fontId="1"/>
  </si>
  <si>
    <t>横須賀　太郎</t>
    <rPh sb="0" eb="3">
      <t>ヨコスカ</t>
    </rPh>
    <rPh sb="4" eb="6">
      <t>タロウ</t>
    </rPh>
    <phoneticPr fontId="1"/>
  </si>
  <si>
    <t>（様式２）令和７年度クラブ児童数等報告書</t>
    <rPh sb="1" eb="3">
      <t>ヨウシキ</t>
    </rPh>
    <rPh sb="5" eb="7">
      <t>レイワ</t>
    </rPh>
    <rPh sb="8" eb="10">
      <t>ネンド</t>
    </rPh>
    <rPh sb="15" eb="16">
      <t>スウ</t>
    </rPh>
    <rPh sb="16" eb="17">
      <t>トウ</t>
    </rPh>
    <rPh sb="17" eb="20">
      <t>ホウコクショ</t>
    </rPh>
    <phoneticPr fontId="1"/>
  </si>
  <si>
    <t>火</t>
    <rPh sb="0" eb="1">
      <t>ヒ</t>
    </rPh>
    <phoneticPr fontId="1"/>
  </si>
  <si>
    <t>木</t>
    <phoneticPr fontId="1"/>
  </si>
  <si>
    <t>支援員</t>
  </si>
  <si>
    <t>対象</t>
  </si>
  <si>
    <t>令和７年放課後児童健全育成事業補助金</t>
    <rPh sb="0" eb="1">
      <t>レイ</t>
    </rPh>
    <rPh sb="1" eb="2">
      <t>ワ</t>
    </rPh>
    <rPh sb="3" eb="4">
      <t>ネン</t>
    </rPh>
    <rPh sb="4" eb="7">
      <t>ホウカゴ</t>
    </rPh>
    <rPh sb="7" eb="9">
      <t>ジドウ</t>
    </rPh>
    <rPh sb="9" eb="11">
      <t>ケンゼン</t>
    </rPh>
    <rPh sb="11" eb="13">
      <t>イクセイ</t>
    </rPh>
    <rPh sb="13" eb="15">
      <t>ジギョウ</t>
    </rPh>
    <rPh sb="15" eb="18">
      <t>ホジョキン</t>
    </rPh>
    <phoneticPr fontId="1"/>
  </si>
  <si>
    <t>申請する</t>
    <rPh sb="0" eb="2">
      <t>シンセイ</t>
    </rPh>
    <phoneticPr fontId="1"/>
  </si>
  <si>
    <t>申請しない</t>
    <rPh sb="0" eb="2">
      <t>シンセイ</t>
    </rPh>
    <phoneticPr fontId="1"/>
  </si>
  <si>
    <t>●常勤職員の処遇改善の交付額計算シート（R07基準）</t>
    <rPh sb="1" eb="3">
      <t>ジョウキン</t>
    </rPh>
    <rPh sb="3" eb="5">
      <t>ショクイン</t>
    </rPh>
    <rPh sb="6" eb="8">
      <t>ショグウ</t>
    </rPh>
    <rPh sb="8" eb="10">
      <t>カイゼン</t>
    </rPh>
    <rPh sb="11" eb="14">
      <t>コウフガク</t>
    </rPh>
    <rPh sb="14" eb="16">
      <t>ケイサン</t>
    </rPh>
    <rPh sb="23" eb="25">
      <t>キジュン</t>
    </rPh>
    <phoneticPr fontId="1"/>
  </si>
  <si>
    <t>4,448,000円</t>
    <rPh sb="9" eb="10">
      <t>エン</t>
    </rPh>
    <phoneticPr fontId="1"/>
  </si>
  <si>
    <t>8,091,000円</t>
    <rPh sb="9" eb="10">
      <t>エン</t>
    </rPh>
    <phoneticPr fontId="1"/>
  </si>
  <si>
    <t>1,394,000円</t>
    <rPh sb="9" eb="10">
      <t>エン</t>
    </rPh>
    <phoneticPr fontId="1"/>
  </si>
  <si>
    <t>8,066,000円</t>
    <rPh sb="9" eb="10">
      <t>エン</t>
    </rPh>
    <phoneticPr fontId="1"/>
  </si>
  <si>
    <t>11,709,000円</t>
    <rPh sb="10" eb="11">
      <t>エン</t>
    </rPh>
    <phoneticPr fontId="1"/>
  </si>
  <si>
    <t>×22,000円</t>
    <rPh sb="7" eb="8">
      <t>エン</t>
    </rPh>
    <phoneticPr fontId="1"/>
  </si>
  <si>
    <t>×36,000円</t>
    <rPh sb="7" eb="8">
      <t>エン</t>
    </rPh>
    <phoneticPr fontId="1"/>
  </si>
  <si>
    <t>×844,000円</t>
    <rPh sb="8" eb="9">
      <t>エン</t>
    </rPh>
    <phoneticPr fontId="1"/>
  </si>
  <si>
    <t>×1,386,000円</t>
    <rPh sb="10" eb="11">
      <t>エン</t>
    </rPh>
    <phoneticPr fontId="1"/>
  </si>
  <si>
    <t>×380,000円</t>
    <rPh sb="8" eb="9">
      <t>エン</t>
    </rPh>
    <phoneticPr fontId="1"/>
  </si>
  <si>
    <t>×624,000円</t>
    <rPh sb="8" eb="9">
      <t>エン</t>
    </rPh>
    <phoneticPr fontId="1"/>
  </si>
  <si>
    <t>⑩賃金改善額（令和７年度の４-３月分）</t>
    <phoneticPr fontId="1"/>
  </si>
  <si>
    <t>②　補助基準額（令和７年度）</t>
    <rPh sb="2" eb="4">
      <t>ホジョ</t>
    </rPh>
    <rPh sb="4" eb="6">
      <t>キジュン</t>
    </rPh>
    <rPh sb="6" eb="7">
      <t>ガク</t>
    </rPh>
    <rPh sb="8" eb="10">
      <t>レイワ</t>
    </rPh>
    <rPh sb="11" eb="13">
      <t>ネンド</t>
    </rPh>
    <phoneticPr fontId="1"/>
  </si>
  <si>
    <t>2,794,000円－（19人－児童数）×30,000円</t>
    <rPh sb="9" eb="10">
      <t>エン</t>
    </rPh>
    <rPh sb="14" eb="15">
      <t>ニン</t>
    </rPh>
    <rPh sb="16" eb="18">
      <t>ジドウ</t>
    </rPh>
    <rPh sb="18" eb="19">
      <t>スウ</t>
    </rPh>
    <rPh sb="27" eb="28">
      <t>エン</t>
    </rPh>
    <phoneticPr fontId="2"/>
  </si>
  <si>
    <t>5,117,000円－（36人－児童数）×27,000円</t>
    <rPh sb="9" eb="10">
      <t>エン</t>
    </rPh>
    <rPh sb="14" eb="15">
      <t>ニン</t>
    </rPh>
    <rPh sb="16" eb="18">
      <t>ジドウ</t>
    </rPh>
    <rPh sb="18" eb="19">
      <t>スウ</t>
    </rPh>
    <rPh sb="27" eb="28">
      <t>エン</t>
    </rPh>
    <phoneticPr fontId="2"/>
  </si>
  <si>
    <t>5,117,000円</t>
    <rPh sb="9" eb="10">
      <t>エン</t>
    </rPh>
    <phoneticPr fontId="2"/>
  </si>
  <si>
    <t>5,117,000円－（児童数－45人）×85,000円</t>
    <phoneticPr fontId="1"/>
  </si>
  <si>
    <t>3,356,000円</t>
    <rPh sb="9" eb="10">
      <t>エン</t>
    </rPh>
    <phoneticPr fontId="2"/>
  </si>
  <si>
    <t>1,881,000円</t>
    <rPh sb="9" eb="10">
      <t>エン</t>
    </rPh>
    <phoneticPr fontId="2"/>
  </si>
  <si>
    <t>4,615,000円－（19人－児童数）×30,000円</t>
    <rPh sb="9" eb="10">
      <t>エン</t>
    </rPh>
    <rPh sb="14" eb="15">
      <t>ニン</t>
    </rPh>
    <rPh sb="16" eb="18">
      <t>ジドウ</t>
    </rPh>
    <rPh sb="18" eb="19">
      <t>スウ</t>
    </rPh>
    <rPh sb="27" eb="28">
      <t>エン</t>
    </rPh>
    <phoneticPr fontId="2"/>
  </si>
  <si>
    <t>6,936,000－（36人－児童数）×27,000円</t>
    <rPh sb="13" eb="14">
      <t>ニン</t>
    </rPh>
    <rPh sb="15" eb="17">
      <t>ジドウ</t>
    </rPh>
    <rPh sb="17" eb="18">
      <t>スウ</t>
    </rPh>
    <rPh sb="26" eb="27">
      <t>エン</t>
    </rPh>
    <phoneticPr fontId="2"/>
  </si>
  <si>
    <t>6,936,000円</t>
    <rPh sb="9" eb="10">
      <t>エン</t>
    </rPh>
    <phoneticPr fontId="2"/>
  </si>
  <si>
    <t>6,936,000円－（児童数－45人）×85,000円</t>
    <rPh sb="9" eb="10">
      <t>エン</t>
    </rPh>
    <rPh sb="12" eb="14">
      <t>ジドウ</t>
    </rPh>
    <rPh sb="14" eb="15">
      <t>スウ</t>
    </rPh>
    <rPh sb="18" eb="19">
      <t>ニン</t>
    </rPh>
    <rPh sb="27" eb="28">
      <t>エン</t>
    </rPh>
    <phoneticPr fontId="2"/>
  </si>
  <si>
    <t>4,802,000円</t>
    <rPh sb="9" eb="10">
      <t>エン</t>
    </rPh>
    <phoneticPr fontId="2"/>
  </si>
  <si>
    <t>3,327,000円</t>
    <rPh sb="9" eb="10">
      <t>エン</t>
    </rPh>
    <phoneticPr fontId="2"/>
  </si>
  <si>
    <t>697,000円</t>
    <rPh sb="7" eb="8">
      <t>エン</t>
    </rPh>
    <phoneticPr fontId="1"/>
  </si>
  <si>
    <t>（年間開所日数－250日）×21.000円</t>
    <rPh sb="1" eb="3">
      <t>ネンカン</t>
    </rPh>
    <rPh sb="3" eb="5">
      <t>カイショ</t>
    </rPh>
    <rPh sb="5" eb="7">
      <t>ニッスウ</t>
    </rPh>
    <rPh sb="11" eb="12">
      <t>ニチ</t>
    </rPh>
    <rPh sb="20" eb="21">
      <t>エン</t>
    </rPh>
    <phoneticPr fontId="1"/>
  </si>
  <si>
    <t>（年間開所日数－250日）×28,000円</t>
    <rPh sb="1" eb="3">
      <t>ネンカン</t>
    </rPh>
    <rPh sb="3" eb="5">
      <t>カイショ</t>
    </rPh>
    <rPh sb="5" eb="7">
      <t>ニッスウ</t>
    </rPh>
    <rPh sb="11" eb="12">
      <t>ニチ</t>
    </rPh>
    <rPh sb="20" eb="21">
      <t>エン</t>
    </rPh>
    <phoneticPr fontId="1"/>
  </si>
  <si>
    <t>「１日８時間を超える時間」の年間平均時間×202,000円</t>
    <rPh sb="2" eb="3">
      <t>ニチ</t>
    </rPh>
    <rPh sb="4" eb="6">
      <t>ジカン</t>
    </rPh>
    <rPh sb="7" eb="8">
      <t>コ</t>
    </rPh>
    <rPh sb="10" eb="12">
      <t>ジカン</t>
    </rPh>
    <rPh sb="14" eb="16">
      <t>ネンカン</t>
    </rPh>
    <rPh sb="16" eb="18">
      <t>ヘイキン</t>
    </rPh>
    <rPh sb="18" eb="20">
      <t>ジカン</t>
    </rPh>
    <rPh sb="28" eb="29">
      <t>エン</t>
    </rPh>
    <phoneticPr fontId="1"/>
  </si>
  <si>
    <t>「１日８時間を超える時間」の年間平均時間×324,000円</t>
    <rPh sb="2" eb="3">
      <t>ニチ</t>
    </rPh>
    <rPh sb="4" eb="6">
      <t>ジカン</t>
    </rPh>
    <rPh sb="7" eb="8">
      <t>コ</t>
    </rPh>
    <rPh sb="10" eb="12">
      <t>ジカン</t>
    </rPh>
    <rPh sb="14" eb="16">
      <t>ネンカン</t>
    </rPh>
    <rPh sb="16" eb="18">
      <t>ヘイキン</t>
    </rPh>
    <rPh sb="18" eb="20">
      <t>ジカン</t>
    </rPh>
    <phoneticPr fontId="1"/>
  </si>
  <si>
    <t>年額上限2,232,000円×在籍月数÷12月</t>
    <rPh sb="0" eb="2">
      <t>ネンガク</t>
    </rPh>
    <rPh sb="2" eb="3">
      <t>ジョウ</t>
    </rPh>
    <rPh sb="13" eb="14">
      <t>ツキ</t>
    </rPh>
    <phoneticPr fontId="1"/>
  </si>
  <si>
    <t>年額上限446,000円×在籍月数÷12月</t>
    <rPh sb="0" eb="2">
      <t>ネンガク</t>
    </rPh>
    <rPh sb="2" eb="4">
      <t>ジョウゲン</t>
    </rPh>
    <rPh sb="11" eb="12">
      <t>エン</t>
    </rPh>
    <rPh sb="13" eb="15">
      <t>ザイセキ</t>
    </rPh>
    <rPh sb="15" eb="17">
      <t>ツキスウ</t>
    </rPh>
    <rPh sb="20" eb="21">
      <t>ツキ</t>
    </rPh>
    <phoneticPr fontId="1"/>
  </si>
  <si>
    <t>年額上限2,232,000円×在籍月数÷12月</t>
    <rPh sb="0" eb="2">
      <t>ネンガク</t>
    </rPh>
    <rPh sb="2" eb="4">
      <t>ジョウゲン</t>
    </rPh>
    <rPh sb="13" eb="14">
      <t>エン</t>
    </rPh>
    <rPh sb="15" eb="17">
      <t>ザイセキ</t>
    </rPh>
    <rPh sb="17" eb="19">
      <t>ツキスウ</t>
    </rPh>
    <rPh sb="22" eb="23">
      <t>ツキ</t>
    </rPh>
    <phoneticPr fontId="1"/>
  </si>
  <si>
    <t>年額上限4,464,000円×在籍月数÷12月</t>
    <rPh sb="0" eb="2">
      <t>ネンガク</t>
    </rPh>
    <rPh sb="2" eb="4">
      <t>ジョウゲン</t>
    </rPh>
    <rPh sb="13" eb="14">
      <t>エン</t>
    </rPh>
    <rPh sb="15" eb="17">
      <t>ザイセキ</t>
    </rPh>
    <rPh sb="17" eb="19">
      <t>ツキスウ</t>
    </rPh>
    <rPh sb="22" eb="23">
      <t>ツキ</t>
    </rPh>
    <phoneticPr fontId="1"/>
  </si>
  <si>
    <t>年額上限6,696,000円×在籍月数÷12月</t>
    <rPh sb="0" eb="2">
      <t>ネンガク</t>
    </rPh>
    <rPh sb="2" eb="4">
      <t>ジョウゲン</t>
    </rPh>
    <rPh sb="13" eb="14">
      <t>エン</t>
    </rPh>
    <rPh sb="15" eb="17">
      <t>ザイセキ</t>
    </rPh>
    <rPh sb="17" eb="19">
      <t>ツキスウ</t>
    </rPh>
    <rPh sb="22" eb="23">
      <t>ツキ</t>
    </rPh>
    <phoneticPr fontId="1"/>
  </si>
  <si>
    <t>年額上限1,829,000円or3,330,000円</t>
    <rPh sb="0" eb="2">
      <t>ネンガク</t>
    </rPh>
    <rPh sb="2" eb="4">
      <t>ジョウゲン</t>
    </rPh>
    <rPh sb="13" eb="14">
      <t>エン</t>
    </rPh>
    <rPh sb="25" eb="26">
      <t>エン</t>
    </rPh>
    <phoneticPr fontId="1"/>
  </si>
  <si>
    <t>月額上限11,000円×月数×職員数（常勤換算）</t>
    <rPh sb="0" eb="2">
      <t>ゲツガク</t>
    </rPh>
    <rPh sb="2" eb="4">
      <t>ジョウゲン</t>
    </rPh>
    <rPh sb="10" eb="11">
      <t>エン</t>
    </rPh>
    <rPh sb="12" eb="14">
      <t>ツキスウ</t>
    </rPh>
    <rPh sb="15" eb="18">
      <t>ショクインスウ</t>
    </rPh>
    <rPh sb="19" eb="21">
      <t>ジョウキン</t>
    </rPh>
    <rPh sb="21" eb="23">
      <t>カンサン</t>
    </rPh>
    <phoneticPr fontId="1"/>
  </si>
  <si>
    <t>年額上限1,568,000円</t>
    <rPh sb="0" eb="2">
      <t>ネンガク</t>
    </rPh>
    <rPh sb="2" eb="4">
      <t>ジョウゲン</t>
    </rPh>
    <rPh sb="13" eb="14">
      <t>エン</t>
    </rPh>
    <phoneticPr fontId="1"/>
  </si>
  <si>
    <t>年額上限581,000円×実施月数÷12月</t>
    <rPh sb="0" eb="2">
      <t>ネンガク</t>
    </rPh>
    <rPh sb="2" eb="4">
      <t>ジョウゲン</t>
    </rPh>
    <rPh sb="11" eb="12">
      <t>エン</t>
    </rPh>
    <rPh sb="13" eb="15">
      <t>ジッシ</t>
    </rPh>
    <rPh sb="15" eb="17">
      <t>ツキスウ</t>
    </rPh>
    <rPh sb="20" eb="21">
      <t>ツキ</t>
    </rPh>
    <phoneticPr fontId="1"/>
  </si>
  <si>
    <t>令和７年度</t>
    <rPh sb="0" eb="2">
      <t>レイワ</t>
    </rPh>
    <rPh sb="3" eb="5">
      <t>ネンド</t>
    </rPh>
    <phoneticPr fontId="1"/>
  </si>
  <si>
    <t>（令和７年度）</t>
    <rPh sb="1" eb="3">
      <t>レイワ</t>
    </rPh>
    <rPh sb="4" eb="6">
      <t>ネンド</t>
    </rPh>
    <phoneticPr fontId="1"/>
  </si>
  <si>
    <t>ただし、令和７年度放課後児童健全育成事業補助金として。</t>
    <rPh sb="4" eb="5">
      <t>レイ</t>
    </rPh>
    <rPh sb="5" eb="6">
      <t>ワ</t>
    </rPh>
    <rPh sb="7" eb="9">
      <t>ネンド</t>
    </rPh>
    <rPh sb="8" eb="9">
      <t>ド</t>
    </rPh>
    <rPh sb="9" eb="12">
      <t>ホウカゴ</t>
    </rPh>
    <rPh sb="12" eb="14">
      <t>ジドウ</t>
    </rPh>
    <rPh sb="14" eb="16">
      <t>ケンゼン</t>
    </rPh>
    <rPh sb="16" eb="18">
      <t>イクセイ</t>
    </rPh>
    <rPh sb="18" eb="20">
      <t>ジギョウ</t>
    </rPh>
    <rPh sb="20" eb="23">
      <t>ホジョキン</t>
    </rPh>
    <phoneticPr fontId="1"/>
  </si>
  <si>
    <t>５月12日大雨警報のため閉所</t>
    <rPh sb="1" eb="2">
      <t>ガツ</t>
    </rPh>
    <rPh sb="4" eb="5">
      <t>ニチ</t>
    </rPh>
    <rPh sb="5" eb="7">
      <t>オオアメ</t>
    </rPh>
    <rPh sb="7" eb="9">
      <t>ケイホウ</t>
    </rPh>
    <rPh sb="12" eb="14">
      <t>ヘイショ</t>
    </rPh>
    <phoneticPr fontId="1"/>
  </si>
  <si>
    <t>（提出期限：令和８年３月20日（金））</t>
    <rPh sb="1" eb="3">
      <t>テイシュツ</t>
    </rPh>
    <rPh sb="3" eb="5">
      <t>キゲン</t>
    </rPh>
    <rPh sb="6" eb="7">
      <t>レイ</t>
    </rPh>
    <rPh sb="7" eb="8">
      <t>ワ</t>
    </rPh>
    <rPh sb="9" eb="10">
      <t>ネン</t>
    </rPh>
    <rPh sb="11" eb="12">
      <t>ガツ</t>
    </rPh>
    <rPh sb="14" eb="15">
      <t>ニチ</t>
    </rPh>
    <rPh sb="16" eb="17">
      <t>キン</t>
    </rPh>
    <phoneticPr fontId="1"/>
  </si>
  <si>
    <t>電話番号</t>
    <rPh sb="0" eb="2">
      <t>デンワ</t>
    </rPh>
    <rPh sb="2" eb="4">
      <t>バンゴウ</t>
    </rPh>
    <phoneticPr fontId="1"/>
  </si>
  <si>
    <t>18時３０分を超える時間</t>
    <rPh sb="2" eb="3">
      <t>ジ</t>
    </rPh>
    <rPh sb="5" eb="6">
      <t>フン</t>
    </rPh>
    <rPh sb="7" eb="8">
      <t>コ</t>
    </rPh>
    <rPh sb="10" eb="12">
      <t>ジカン</t>
    </rPh>
    <phoneticPr fontId="1"/>
  </si>
  <si>
    <t>平日
開所日</t>
    <rPh sb="0" eb="2">
      <t>ヘイジツ</t>
    </rPh>
    <rPh sb="3" eb="5">
      <t>カイショ</t>
    </rPh>
    <rPh sb="5" eb="6">
      <t>ビ</t>
    </rPh>
    <phoneticPr fontId="1"/>
  </si>
  <si>
    <t>放課後児童支援員</t>
    <rPh sb="0" eb="3">
      <t>ホウカゴ</t>
    </rPh>
    <rPh sb="3" eb="5">
      <t>ジドウ</t>
    </rPh>
    <rPh sb="5" eb="7">
      <t>シエン</t>
    </rPh>
    <rPh sb="7" eb="8">
      <t>イン</t>
    </rPh>
    <phoneticPr fontId="1"/>
  </si>
  <si>
    <t>雇用形態</t>
    <rPh sb="0" eb="2">
      <t>コヨウ</t>
    </rPh>
    <rPh sb="2" eb="4">
      <t>ケイタイ</t>
    </rPh>
    <phoneticPr fontId="1"/>
  </si>
  <si>
    <t>理由確認</t>
    <rPh sb="0" eb="2">
      <t>リユウ</t>
    </rPh>
    <rPh sb="2" eb="4">
      <t>カクニン</t>
    </rPh>
    <phoneticPr fontId="1"/>
  </si>
  <si>
    <t>251日以降に１日８時間以上開所するクラブ</t>
    <rPh sb="3" eb="4">
      <t>ニチ</t>
    </rPh>
    <rPh sb="4" eb="6">
      <t>イコウ</t>
    </rPh>
    <rPh sb="8" eb="9">
      <t>ニチ</t>
    </rPh>
    <rPh sb="10" eb="12">
      <t>ジカン</t>
    </rPh>
    <rPh sb="12" eb="14">
      <t>イジョウ</t>
    </rPh>
    <rPh sb="14" eb="16">
      <t>カイショ</t>
    </rPh>
    <phoneticPr fontId="1"/>
  </si>
  <si>
    <t>18時30分を超えて開所</t>
    <rPh sb="2" eb="3">
      <t>ジ</t>
    </rPh>
    <rPh sb="5" eb="6">
      <t>フン</t>
    </rPh>
    <rPh sb="7" eb="8">
      <t>コ</t>
    </rPh>
    <rPh sb="10" eb="12">
      <t>カイショ</t>
    </rPh>
    <phoneticPr fontId="1"/>
  </si>
  <si>
    <t>「18時30分を超える時間」の年間平均時間数×449,000円</t>
    <rPh sb="3" eb="4">
      <t>ジ</t>
    </rPh>
    <rPh sb="6" eb="7">
      <t>フン</t>
    </rPh>
    <rPh sb="8" eb="9">
      <t>コ</t>
    </rPh>
    <rPh sb="11" eb="13">
      <t>ジカン</t>
    </rPh>
    <rPh sb="15" eb="17">
      <t>ネンカン</t>
    </rPh>
    <rPh sb="17" eb="19">
      <t>ヘイキン</t>
    </rPh>
    <rPh sb="19" eb="21">
      <t>ジカン</t>
    </rPh>
    <rPh sb="21" eb="22">
      <t>スウ</t>
    </rPh>
    <rPh sb="30" eb="31">
      <t>エン</t>
    </rPh>
    <phoneticPr fontId="1"/>
  </si>
  <si>
    <t>「18時30分を超える時間」の年間平均時間数×720,000円</t>
    <rPh sb="3" eb="4">
      <t>ジ</t>
    </rPh>
    <rPh sb="6" eb="7">
      <t>フン</t>
    </rPh>
    <rPh sb="8" eb="9">
      <t>コ</t>
    </rPh>
    <rPh sb="11" eb="13">
      <t>ジカン</t>
    </rPh>
    <rPh sb="15" eb="17">
      <t>ネンカン</t>
    </rPh>
    <rPh sb="17" eb="19">
      <t>ヘイキン</t>
    </rPh>
    <rPh sb="19" eb="21">
      <t>ジカン</t>
    </rPh>
    <rPh sb="21" eb="22">
      <t>スウ</t>
    </rPh>
    <rPh sb="30" eb="31">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</si>
</sst>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6" formatCode="&quot;¥&quot;#,##0;[Red]&quot;¥&quot;\-#,##0"/>
    <numFmt numFmtId="176" formatCode="#&quot;年&quot;"/>
    <numFmt numFmtId="177" formatCode="#,##0&quot;円&quot;"/>
    <numFmt numFmtId="178" formatCode="#,##0&quot;月&quot;"/>
    <numFmt numFmtId="179" formatCode="h:mm;@"/>
    <numFmt numFmtId="180" formatCode="[h]:mm"/>
    <numFmt numFmtId="181" formatCode="#,##0_ "/>
    <numFmt numFmtId="182" formatCode="0&quot;月&quot;"/>
    <numFmt numFmtId="183" formatCode="#&quot;&quot;&quot;月&quot;"/>
    <numFmt numFmtId="184" formatCode="\(0.0%\)"/>
    <numFmt numFmtId="185" formatCode="0.0&quot;時間&quot;\ "/>
    <numFmt numFmtId="186" formatCode="#,##0&quot;円&quot;;[Red]\-#,##0"/>
    <numFmt numFmtId="187" formatCode="0.0&quot;人&quot;\ "/>
    <numFmt numFmtId="188" formatCode="#,##0&quot;月&quot;;[Red]\-#,##0"/>
    <numFmt numFmtId="189" formatCode="#,##0_);[Red]\(#,##0\)"/>
    <numFmt numFmtId="190" formatCode="#,##0_ ;[Red]\-#,##0\ "/>
    <numFmt numFmtId="191" formatCode="#&quot;人目&quot;"/>
    <numFmt numFmtId="192" formatCode="0.00_ "/>
    <numFmt numFmtId="193" formatCode="&quot;（&quot;#&quot;人)&quot;"/>
    <numFmt numFmtId="194" formatCode="&quot;（月額&quot;#&quot;円)&quot;"/>
    <numFmt numFmtId="195" formatCode="&quot;（&quot;#&quot;月)&quot;"/>
    <numFmt numFmtId="196" formatCode="&quot;（&quot;#&quot;円)&quot;"/>
    <numFmt numFmtId="197" formatCode="#&quot;か月&quot;"/>
    <numFmt numFmtId="198" formatCode="&quot;（&quot;#&quot;日)&quot;"/>
    <numFmt numFmtId="199" formatCode="#"/>
  </numFmts>
  <fonts count="72">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sz val="14"/>
      <color theme="1"/>
      <name val="ＭＳ Ｐゴシック"/>
      <family val="2"/>
      <charset val="128"/>
      <scheme val="minor"/>
    </font>
    <font>
      <sz val="16"/>
      <color theme="1"/>
      <name val="ＭＳ Ｐゴシック"/>
      <family val="2"/>
      <charset val="128"/>
      <scheme val="minor"/>
    </font>
    <font>
      <sz val="14"/>
      <color theme="1"/>
      <name val="ＭＳ Ｐゴシック"/>
      <family val="3"/>
      <charset val="128"/>
      <scheme val="minor"/>
    </font>
    <font>
      <sz val="18"/>
      <color theme="1"/>
      <name val="ＭＳ Ｐゴシック"/>
      <family val="2"/>
      <charset val="128"/>
      <scheme val="minor"/>
    </font>
    <font>
      <sz val="16"/>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sz val="11"/>
      <name val="ＭＳ Ｐゴシック"/>
      <family val="3"/>
      <charset val="128"/>
    </font>
    <font>
      <sz val="12"/>
      <name val="ＭＳ Ｐゴシック"/>
      <family val="3"/>
      <charset val="128"/>
      <scheme val="minor"/>
    </font>
    <font>
      <sz val="11"/>
      <color indexed="8"/>
      <name val="ＭＳ Ｐゴシック"/>
      <family val="3"/>
      <charset val="128"/>
    </font>
    <font>
      <b/>
      <sz val="12"/>
      <color theme="1"/>
      <name val="ＭＳ Ｐゴシック"/>
      <family val="3"/>
      <charset val="128"/>
      <scheme val="minor"/>
    </font>
    <font>
      <sz val="10"/>
      <color theme="1"/>
      <name val="ＭＳ Ｐゴシック"/>
      <family val="2"/>
      <charset val="128"/>
      <scheme val="minor"/>
    </font>
    <font>
      <sz val="11"/>
      <color theme="1"/>
      <name val="ＭＳ Ｐゴシック"/>
      <family val="2"/>
      <scheme val="minor"/>
    </font>
    <font>
      <sz val="6"/>
      <name val="ＭＳ Ｐゴシック"/>
      <family val="3"/>
      <charset val="128"/>
      <scheme val="minor"/>
    </font>
    <font>
      <sz val="14"/>
      <color theme="1"/>
      <name val="ＭＳ Ｐゴシック"/>
      <family val="2"/>
      <scheme val="minor"/>
    </font>
    <font>
      <sz val="8"/>
      <color theme="1"/>
      <name val="ＭＳ Ｐゴシック"/>
      <family val="3"/>
      <charset val="128"/>
      <scheme val="minor"/>
    </font>
    <font>
      <sz val="9"/>
      <color theme="1"/>
      <name val="ＭＳ Ｐゴシック"/>
      <family val="3"/>
      <charset val="128"/>
      <scheme val="minor"/>
    </font>
    <font>
      <b/>
      <sz val="11"/>
      <color theme="1"/>
      <name val="ＭＳ Ｐゴシック"/>
      <family val="3"/>
      <charset val="128"/>
      <scheme val="minor"/>
    </font>
    <font>
      <sz val="14"/>
      <name val="ＭＳ Ｐゴシック"/>
      <family val="3"/>
      <charset val="128"/>
      <scheme val="minor"/>
    </font>
    <font>
      <sz val="14"/>
      <color rgb="FFFF0000"/>
      <name val="ＭＳ Ｐゴシック"/>
      <family val="2"/>
      <charset val="128"/>
      <scheme val="minor"/>
    </font>
    <font>
      <sz val="11"/>
      <color rgb="FFFF0000"/>
      <name val="ＭＳ Ｐゴシック"/>
      <family val="2"/>
      <charset val="128"/>
      <scheme val="minor"/>
    </font>
    <font>
      <sz val="8"/>
      <color theme="1"/>
      <name val="ＭＳ Ｐゴシック"/>
      <family val="2"/>
      <charset val="128"/>
      <scheme val="minor"/>
    </font>
    <font>
      <sz val="10"/>
      <name val="ＭＳ Ｐゴシック"/>
      <family val="3"/>
      <charset val="128"/>
      <scheme val="minor"/>
    </font>
    <font>
      <sz val="10"/>
      <color rgb="FFFF0000"/>
      <name val="ＭＳ Ｐゴシック"/>
      <family val="3"/>
      <charset val="128"/>
      <scheme val="minor"/>
    </font>
    <font>
      <sz val="11"/>
      <name val="ＭＳ Ｐゴシック"/>
      <family val="3"/>
      <charset val="128"/>
      <scheme val="minor"/>
    </font>
    <font>
      <b/>
      <sz val="14"/>
      <color theme="1"/>
      <name val="BIZ UDPゴシック"/>
      <family val="3"/>
      <charset val="128"/>
    </font>
    <font>
      <sz val="14"/>
      <color theme="1"/>
      <name val="BIZ UDPゴシック"/>
      <family val="3"/>
      <charset val="128"/>
    </font>
    <font>
      <b/>
      <sz val="15"/>
      <color theme="3"/>
      <name val="ＭＳ Ｐゴシック"/>
      <family val="2"/>
      <charset val="128"/>
      <scheme val="minor"/>
    </font>
    <font>
      <sz val="11"/>
      <color theme="1"/>
      <name val="BIZ UDPゴシック"/>
      <family val="3"/>
      <charset val="128"/>
    </font>
    <font>
      <sz val="10"/>
      <color theme="1"/>
      <name val="BIZ UDPゴシック"/>
      <family val="3"/>
      <charset val="128"/>
    </font>
    <font>
      <sz val="10"/>
      <color rgb="FFFF0000"/>
      <name val="BIZ UDPゴシック"/>
      <family val="3"/>
      <charset val="128"/>
    </font>
    <font>
      <sz val="10"/>
      <name val="BIZ UDPゴシック"/>
      <family val="3"/>
      <charset val="128"/>
    </font>
    <font>
      <sz val="9"/>
      <color theme="1"/>
      <name val="BIZ UDPゴシック"/>
      <family val="3"/>
      <charset val="128"/>
    </font>
    <font>
      <sz val="11"/>
      <color rgb="FFFF0000"/>
      <name val="Arial"/>
      <family val="2"/>
    </font>
    <font>
      <b/>
      <sz val="14"/>
      <color rgb="FFFF0000"/>
      <name val="BIZ UDPゴシック"/>
      <family val="3"/>
      <charset val="128"/>
    </font>
    <font>
      <sz val="14"/>
      <name val="BIZ UDPゴシック"/>
      <family val="3"/>
      <charset val="128"/>
    </font>
    <font>
      <sz val="14"/>
      <name val="ＭＳ Ｐゴシック"/>
      <family val="2"/>
      <charset val="128"/>
      <scheme val="minor"/>
    </font>
    <font>
      <b/>
      <sz val="18"/>
      <color theme="1"/>
      <name val="ＭＳ Ｐゴシック"/>
      <family val="3"/>
      <charset val="128"/>
      <scheme val="minor"/>
    </font>
    <font>
      <sz val="11"/>
      <name val="ＭＳ Ｐゴシック"/>
      <family val="2"/>
      <charset val="128"/>
      <scheme val="minor"/>
    </font>
    <font>
      <sz val="14"/>
      <color rgb="FFFF0000"/>
      <name val="ＭＳ Ｐゴシック"/>
      <family val="3"/>
      <charset val="128"/>
      <scheme val="minor"/>
    </font>
    <font>
      <b/>
      <sz val="11"/>
      <color theme="1"/>
      <name val="HGｺﾞｼｯｸM"/>
      <family val="3"/>
      <charset val="128"/>
    </font>
    <font>
      <sz val="11"/>
      <color theme="1"/>
      <name val="HGｺﾞｼｯｸM"/>
      <family val="3"/>
      <charset val="128"/>
    </font>
    <font>
      <sz val="12"/>
      <color theme="1"/>
      <name val="ＤＦ特太ゴシック体"/>
      <family val="3"/>
      <charset val="128"/>
    </font>
    <font>
      <sz val="20"/>
      <color theme="1"/>
      <name val="ＤＦ特太ゴシック体"/>
      <family val="3"/>
      <charset val="128"/>
    </font>
    <font>
      <b/>
      <sz val="10"/>
      <color theme="1"/>
      <name val="HGｺﾞｼｯｸM"/>
      <family val="3"/>
      <charset val="128"/>
    </font>
    <font>
      <b/>
      <sz val="8"/>
      <color theme="1"/>
      <name val="HGｺﾞｼｯｸM"/>
      <family val="3"/>
      <charset val="128"/>
    </font>
    <font>
      <b/>
      <sz val="14"/>
      <color theme="1"/>
      <name val="HGｺﾞｼｯｸM"/>
      <family val="3"/>
      <charset val="128"/>
    </font>
    <font>
      <sz val="16"/>
      <color theme="1"/>
      <name val="HGSｺﾞｼｯｸM"/>
      <family val="3"/>
      <charset val="128"/>
    </font>
    <font>
      <sz val="18"/>
      <name val="ＭＳ Ｐゴシック"/>
      <family val="3"/>
      <charset val="128"/>
      <scheme val="minor"/>
    </font>
    <font>
      <sz val="18"/>
      <color rgb="FFFF0000"/>
      <name val="ＭＳ Ｐゴシック"/>
      <family val="3"/>
      <charset val="128"/>
      <scheme val="minor"/>
    </font>
    <font>
      <sz val="12"/>
      <color theme="1"/>
      <name val="HGSｺﾞｼｯｸM"/>
      <family val="3"/>
      <charset val="128"/>
    </font>
    <font>
      <sz val="13"/>
      <color theme="1"/>
      <name val="BIZ UDPゴシック"/>
      <family val="3"/>
      <charset val="128"/>
    </font>
    <font>
      <b/>
      <sz val="13"/>
      <color theme="1"/>
      <name val="BIZ UDPゴシック"/>
      <family val="3"/>
      <charset val="128"/>
    </font>
    <font>
      <sz val="12"/>
      <name val="HGSｺﾞｼｯｸM"/>
      <family val="3"/>
      <charset val="128"/>
    </font>
    <font>
      <sz val="10"/>
      <name val="ＭＳ Ｐゴシック"/>
      <family val="2"/>
      <charset val="128"/>
      <scheme val="minor"/>
    </font>
    <font>
      <sz val="11"/>
      <name val="HGｺﾞｼｯｸM"/>
      <family val="3"/>
      <charset val="128"/>
    </font>
    <font>
      <sz val="12"/>
      <color rgb="FFFF0000"/>
      <name val="ＭＳ Ｐゴシック"/>
      <family val="3"/>
      <charset val="128"/>
      <scheme val="minor"/>
    </font>
    <font>
      <b/>
      <sz val="12"/>
      <color rgb="FFFF0000"/>
      <name val="ＭＳ Ｐゴシック"/>
      <family val="3"/>
      <charset val="128"/>
      <scheme val="minor"/>
    </font>
    <font>
      <sz val="10"/>
      <color theme="1"/>
      <name val="ＭＳ Ｐゴシック"/>
      <family val="3"/>
      <charset val="128"/>
      <scheme val="major"/>
    </font>
    <font>
      <b/>
      <sz val="11"/>
      <color indexed="81"/>
      <name val="MS P ゴシック"/>
      <family val="3"/>
      <charset val="128"/>
    </font>
    <font>
      <b/>
      <sz val="12"/>
      <color indexed="81"/>
      <name val="MS P ゴシック"/>
      <family val="3"/>
      <charset val="128"/>
    </font>
    <font>
      <sz val="12"/>
      <color theme="1"/>
      <name val="BIZ UDPゴシック"/>
      <family val="3"/>
      <charset val="128"/>
    </font>
    <font>
      <sz val="13"/>
      <color indexed="81"/>
      <name val="MS P ゴシック"/>
      <family val="3"/>
      <charset val="128"/>
    </font>
    <font>
      <sz val="11"/>
      <color rgb="FFFF0000"/>
      <name val="ＭＳ Ｐゴシック"/>
      <family val="3"/>
      <charset val="128"/>
      <scheme val="minor"/>
    </font>
    <font>
      <u/>
      <sz val="11"/>
      <color theme="10"/>
      <name val="ＭＳ Ｐゴシック"/>
      <family val="2"/>
      <charset val="128"/>
      <scheme val="minor"/>
    </font>
    <font>
      <sz val="12"/>
      <color theme="1" tint="4.9989318521683403E-2"/>
      <name val="ＭＳ Ｐゴシック"/>
      <family val="3"/>
      <charset val="128"/>
      <scheme val="minor"/>
    </font>
    <font>
      <sz val="12"/>
      <color theme="1"/>
      <name val="ＭＳ Ｐゴシック"/>
      <family val="3"/>
      <charset val="128"/>
    </font>
  </fonts>
  <fills count="12">
    <fill>
      <patternFill patternType="none"/>
    </fill>
    <fill>
      <patternFill patternType="gray125"/>
    </fill>
    <fill>
      <patternFill patternType="solid">
        <fgColor rgb="FFFFFFCC"/>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499984740745262"/>
        <bgColor indexed="64"/>
      </patternFill>
    </fill>
    <fill>
      <patternFill patternType="lightGray">
        <fgColor theme="1"/>
        <bgColor theme="0"/>
      </patternFill>
    </fill>
  </fills>
  <borders count="16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top style="thin">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hair">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thin">
        <color indexed="64"/>
      </left>
      <right style="dotted">
        <color indexed="64"/>
      </right>
      <top/>
      <bottom style="thin">
        <color indexed="64"/>
      </bottom>
      <diagonal/>
    </border>
    <border>
      <left style="thin">
        <color indexed="64"/>
      </left>
      <right style="dotted">
        <color indexed="64"/>
      </right>
      <top style="medium">
        <color indexed="64"/>
      </top>
      <bottom/>
      <diagonal/>
    </border>
    <border>
      <left style="thin">
        <color indexed="64"/>
      </left>
      <right style="dotted">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bottom style="hair">
        <color indexed="64"/>
      </bottom>
      <diagonal/>
    </border>
    <border>
      <left style="hair">
        <color indexed="64"/>
      </left>
      <right/>
      <top style="hair">
        <color indexed="64"/>
      </top>
      <bottom style="hair">
        <color indexed="64"/>
      </bottom>
      <diagonal/>
    </border>
    <border>
      <left style="dotted">
        <color indexed="64"/>
      </left>
      <right style="thin">
        <color indexed="64"/>
      </right>
      <top style="medium">
        <color indexed="64"/>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bottom style="medium">
        <color indexed="64"/>
      </bottom>
      <diagonal/>
    </border>
    <border>
      <left style="dotted">
        <color indexed="64"/>
      </left>
      <right/>
      <top style="thin">
        <color indexed="64"/>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thin">
        <color indexed="64"/>
      </top>
      <bottom style="dotted">
        <color indexed="64"/>
      </bottom>
      <diagonal/>
    </border>
    <border>
      <left/>
      <right style="hair">
        <color indexed="64"/>
      </right>
      <top style="hair">
        <color indexed="64"/>
      </top>
      <bottom style="hair">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medium">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medium">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dotted">
        <color indexed="64"/>
      </left>
      <right style="thin">
        <color indexed="64"/>
      </right>
      <top style="medium">
        <color indexed="64"/>
      </top>
      <bottom/>
      <diagonal/>
    </border>
    <border>
      <left style="dotted">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style="medium">
        <color indexed="64"/>
      </left>
      <right style="thin">
        <color indexed="64"/>
      </right>
      <top/>
      <bottom style="double">
        <color indexed="64"/>
      </bottom>
      <diagonal/>
    </border>
    <border>
      <left style="dotted">
        <color indexed="64"/>
      </left>
      <right style="dotted">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diagonal/>
    </border>
    <border>
      <left/>
      <right style="dotted">
        <color indexed="64"/>
      </right>
      <top style="medium">
        <color indexed="64"/>
      </top>
      <bottom style="thin">
        <color indexed="64"/>
      </bottom>
      <diagonal/>
    </border>
    <border>
      <left style="medium">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diagonal/>
    </border>
    <border>
      <left style="medium">
        <color indexed="64"/>
      </left>
      <right style="dotted">
        <color indexed="64"/>
      </right>
      <top style="thin">
        <color indexed="64"/>
      </top>
      <bottom style="thin">
        <color indexed="64"/>
      </bottom>
      <diagonal/>
    </border>
    <border>
      <left style="dotted">
        <color indexed="64"/>
      </left>
      <right style="medium">
        <color indexed="64"/>
      </right>
      <top/>
      <bottom/>
      <diagonal/>
    </border>
    <border>
      <left style="medium">
        <color indexed="64"/>
      </left>
      <right style="dotted">
        <color indexed="64"/>
      </right>
      <top style="thin">
        <color indexed="64"/>
      </top>
      <bottom style="medium">
        <color indexed="64"/>
      </bottom>
      <diagonal/>
    </border>
    <border>
      <left style="dotted">
        <color indexed="64"/>
      </left>
      <right style="medium">
        <color indexed="64"/>
      </right>
      <top/>
      <bottom style="medium">
        <color indexed="64"/>
      </bottom>
      <diagonal/>
    </border>
    <border>
      <left style="dotted">
        <color indexed="64"/>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medium">
        <color indexed="64"/>
      </right>
      <top style="medium">
        <color indexed="64"/>
      </top>
      <bottom style="thin">
        <color indexed="64"/>
      </bottom>
      <diagonal/>
    </border>
    <border>
      <left style="thick">
        <color rgb="FFFF0000"/>
      </left>
      <right style="thick">
        <color rgb="FFFF0000"/>
      </right>
      <top style="thick">
        <color rgb="FFFF0000"/>
      </top>
      <bottom style="thick">
        <color rgb="FFFF0000"/>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bottom/>
      <diagonal/>
    </border>
    <border>
      <left style="hair">
        <color indexed="64"/>
      </left>
      <right style="medium">
        <color indexed="64"/>
      </right>
      <top/>
      <bottom/>
      <diagonal/>
    </border>
    <border>
      <left style="dotted">
        <color indexed="64"/>
      </left>
      <right style="thin">
        <color indexed="64"/>
      </right>
      <top/>
      <bottom/>
      <diagonal/>
    </border>
    <border>
      <left style="thin">
        <color indexed="64"/>
      </left>
      <right style="dotted">
        <color indexed="64"/>
      </right>
      <top style="thin">
        <color indexed="64"/>
      </top>
      <bottom/>
      <diagonal/>
    </border>
  </borders>
  <cellStyleXfs count="26">
    <xf numFmtId="0" fontId="0" fillId="0" borderId="0">
      <alignment vertical="center"/>
    </xf>
    <xf numFmtId="38" fontId="2" fillId="0" borderId="0" applyFont="0" applyFill="0" applyBorder="0" applyAlignment="0" applyProtection="0">
      <alignment vertical="center"/>
    </xf>
    <xf numFmtId="0" fontId="12" fillId="0" borderId="0"/>
    <xf numFmtId="38" fontId="12" fillId="0" borderId="0" applyFont="0" applyFill="0" applyBorder="0" applyAlignment="0" applyProtection="0"/>
    <xf numFmtId="38" fontId="12" fillId="0" borderId="0" applyFont="0" applyFill="0" applyBorder="0" applyAlignment="0" applyProtection="0"/>
    <xf numFmtId="38" fontId="12" fillId="0" borderId="0" applyFont="0" applyFill="0" applyBorder="0" applyAlignment="0" applyProtection="0"/>
    <xf numFmtId="38" fontId="12" fillId="0" borderId="0" applyFont="0" applyFill="0" applyBorder="0" applyAlignment="0" applyProtection="0"/>
    <xf numFmtId="38" fontId="10" fillId="0" borderId="0" applyFont="0" applyFill="0" applyBorder="0" applyAlignment="0" applyProtection="0">
      <alignment vertical="center"/>
    </xf>
    <xf numFmtId="6" fontId="12" fillId="0" borderId="0" applyFont="0" applyFill="0" applyBorder="0" applyAlignment="0" applyProtection="0"/>
    <xf numFmtId="0" fontId="10" fillId="0" borderId="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14" fillId="0" borderId="0"/>
    <xf numFmtId="0" fontId="12" fillId="0" borderId="0">
      <alignment vertical="center"/>
    </xf>
    <xf numFmtId="0" fontId="10" fillId="0" borderId="0">
      <alignment vertical="center"/>
    </xf>
    <xf numFmtId="0" fontId="12" fillId="0" borderId="0"/>
    <xf numFmtId="0" fontId="17" fillId="0" borderId="0"/>
    <xf numFmtId="38" fontId="17" fillId="0" borderId="0" applyFont="0" applyFill="0" applyBorder="0" applyAlignment="0" applyProtection="0">
      <alignment vertical="center"/>
    </xf>
    <xf numFmtId="0" fontId="12" fillId="0" borderId="0"/>
    <xf numFmtId="0" fontId="2" fillId="0" borderId="0">
      <alignment vertical="center"/>
    </xf>
    <xf numFmtId="0" fontId="12" fillId="0" borderId="0"/>
    <xf numFmtId="0" fontId="17" fillId="0" borderId="0"/>
    <xf numFmtId="38" fontId="17" fillId="0" borderId="0" applyFont="0" applyFill="0" applyBorder="0" applyAlignment="0" applyProtection="0">
      <alignment vertical="center"/>
    </xf>
    <xf numFmtId="0" fontId="12" fillId="0" borderId="0"/>
    <xf numFmtId="9" fontId="2" fillId="0" borderId="0" applyFont="0" applyFill="0" applyBorder="0" applyAlignment="0" applyProtection="0">
      <alignment vertical="center"/>
    </xf>
    <xf numFmtId="0" fontId="69" fillId="0" borderId="0" applyNumberFormat="0" applyFill="0" applyBorder="0" applyAlignment="0" applyProtection="0">
      <alignment vertical="center"/>
    </xf>
  </cellStyleXfs>
  <cellXfs count="1301">
    <xf numFmtId="0" fontId="0" fillId="0" borderId="0" xfId="0">
      <alignment vertical="center"/>
    </xf>
    <xf numFmtId="38" fontId="0" fillId="0" borderId="0" xfId="1" applyFont="1">
      <alignment vertical="center"/>
    </xf>
    <xf numFmtId="0" fontId="0" fillId="0" borderId="0" xfId="0" applyAlignment="1">
      <alignment vertical="center" shrinkToFit="1"/>
    </xf>
    <xf numFmtId="0" fontId="3" fillId="0" borderId="0" xfId="0" applyFont="1" applyProtection="1">
      <alignment vertical="center"/>
    </xf>
    <xf numFmtId="0" fontId="3" fillId="0" borderId="31" xfId="0" applyFont="1" applyBorder="1" applyProtection="1">
      <alignment vertical="center"/>
    </xf>
    <xf numFmtId="0" fontId="3" fillId="0" borderId="32" xfId="0" applyFont="1" applyBorder="1" applyProtection="1">
      <alignment vertical="center"/>
    </xf>
    <xf numFmtId="0" fontId="3" fillId="0" borderId="33" xfId="0" applyFont="1" applyBorder="1" applyProtection="1">
      <alignment vertical="center"/>
    </xf>
    <xf numFmtId="0" fontId="3" fillId="0" borderId="34" xfId="0" applyFont="1" applyBorder="1" applyProtection="1">
      <alignment vertical="center"/>
    </xf>
    <xf numFmtId="0" fontId="3" fillId="0" borderId="0" xfId="0" applyFont="1" applyBorder="1" applyProtection="1">
      <alignment vertical="center"/>
    </xf>
    <xf numFmtId="0" fontId="3" fillId="0" borderId="35" xfId="0" applyFont="1" applyBorder="1" applyProtection="1">
      <alignment vertical="center"/>
    </xf>
    <xf numFmtId="0" fontId="3" fillId="0" borderId="36" xfId="0" applyFont="1" applyBorder="1" applyProtection="1">
      <alignment vertical="center"/>
    </xf>
    <xf numFmtId="0" fontId="0" fillId="0" borderId="0" xfId="0" applyProtection="1">
      <alignment vertical="center"/>
    </xf>
    <xf numFmtId="0" fontId="4" fillId="0" borderId="0" xfId="0" applyFont="1" applyProtection="1">
      <alignment vertical="center"/>
    </xf>
    <xf numFmtId="0" fontId="4" fillId="0" borderId="0" xfId="0" applyFont="1" applyFill="1" applyProtection="1">
      <alignment vertical="center"/>
    </xf>
    <xf numFmtId="0" fontId="4" fillId="0" borderId="0" xfId="0" applyFont="1" applyBorder="1" applyAlignment="1" applyProtection="1">
      <alignment vertical="center"/>
    </xf>
    <xf numFmtId="0" fontId="6" fillId="0" borderId="0" xfId="0" applyFont="1" applyProtection="1">
      <alignment vertical="center"/>
    </xf>
    <xf numFmtId="0" fontId="4" fillId="0" borderId="0" xfId="0" applyFont="1" applyFill="1" applyBorder="1" applyAlignment="1" applyProtection="1">
      <alignment vertical="center" shrinkToFit="1"/>
    </xf>
    <xf numFmtId="0" fontId="9" fillId="0" borderId="0" xfId="0" applyFont="1" applyAlignment="1" applyProtection="1">
      <alignment vertical="center"/>
    </xf>
    <xf numFmtId="0" fontId="3" fillId="0" borderId="91" xfId="0" applyFont="1" applyFill="1" applyBorder="1" applyAlignment="1" applyProtection="1">
      <alignment vertical="center" textRotation="255"/>
    </xf>
    <xf numFmtId="0" fontId="10" fillId="0" borderId="0" xfId="0" applyFont="1" applyProtection="1">
      <alignment vertical="center"/>
    </xf>
    <xf numFmtId="0" fontId="6" fillId="0" borderId="0" xfId="0" applyFont="1" applyFill="1" applyBorder="1" applyAlignment="1" applyProtection="1">
      <alignment vertical="center"/>
    </xf>
    <xf numFmtId="0" fontId="0" fillId="0" borderId="0" xfId="0" applyFill="1" applyProtection="1">
      <alignment vertical="center"/>
    </xf>
    <xf numFmtId="0" fontId="28" fillId="0" borderId="0" xfId="0" applyFont="1" applyAlignment="1" applyProtection="1">
      <alignment vertical="center" shrinkToFit="1"/>
    </xf>
    <xf numFmtId="179" fontId="0" fillId="0" borderId="0" xfId="0" applyNumberFormat="1" applyFill="1" applyProtection="1">
      <alignment vertical="center"/>
    </xf>
    <xf numFmtId="0" fontId="0" fillId="0" borderId="0" xfId="0" applyNumberFormat="1" applyFill="1" applyProtection="1">
      <alignment vertical="center"/>
    </xf>
    <xf numFmtId="179" fontId="0" fillId="0" borderId="0" xfId="0" applyNumberFormat="1" applyProtection="1">
      <alignment vertical="center"/>
    </xf>
    <xf numFmtId="0" fontId="0" fillId="0" borderId="0" xfId="0" applyNumberFormat="1" applyProtection="1">
      <alignment vertical="center"/>
    </xf>
    <xf numFmtId="0" fontId="0" fillId="0" borderId="20" xfId="0" applyBorder="1" applyProtection="1">
      <alignment vertical="center"/>
    </xf>
    <xf numFmtId="0" fontId="0" fillId="0" borderId="38" xfId="0" applyFill="1" applyBorder="1" applyProtection="1">
      <alignment vertical="center"/>
    </xf>
    <xf numFmtId="0" fontId="0" fillId="0" borderId="23" xfId="0" applyNumberFormat="1" applyBorder="1" applyProtection="1">
      <alignment vertical="center"/>
    </xf>
    <xf numFmtId="0" fontId="29" fillId="0" borderId="0" xfId="0" applyFont="1" applyProtection="1">
      <alignment vertical="center"/>
    </xf>
    <xf numFmtId="0" fontId="0" fillId="0" borderId="21" xfId="0" applyBorder="1" applyProtection="1">
      <alignment vertical="center"/>
    </xf>
    <xf numFmtId="0" fontId="0" fillId="0" borderId="1" xfId="0" applyNumberFormat="1" applyBorder="1" applyProtection="1">
      <alignment vertical="center"/>
    </xf>
    <xf numFmtId="0" fontId="0" fillId="0" borderId="22" xfId="0" applyBorder="1" applyProtection="1">
      <alignment vertical="center"/>
    </xf>
    <xf numFmtId="0" fontId="0" fillId="0" borderId="24" xfId="0" applyNumberFormat="1" applyBorder="1" applyProtection="1">
      <alignment vertical="center"/>
    </xf>
    <xf numFmtId="0" fontId="28" fillId="3" borderId="0" xfId="0" applyFont="1" applyFill="1" applyAlignment="1" applyProtection="1">
      <alignment vertical="center" shrinkToFit="1"/>
    </xf>
    <xf numFmtId="180" fontId="0" fillId="0" borderId="0" xfId="0" applyNumberFormat="1" applyProtection="1">
      <alignment vertical="center"/>
    </xf>
    <xf numFmtId="180" fontId="0" fillId="5" borderId="81" xfId="0" applyNumberFormat="1" applyFill="1" applyBorder="1" applyProtection="1">
      <alignment vertical="center"/>
    </xf>
    <xf numFmtId="0" fontId="0" fillId="5" borderId="81" xfId="0" applyNumberFormat="1" applyFill="1" applyBorder="1" applyProtection="1">
      <alignment vertical="center"/>
    </xf>
    <xf numFmtId="0" fontId="0" fillId="5" borderId="79" xfId="0" applyNumberFormat="1" applyFill="1" applyBorder="1" applyProtection="1">
      <alignment vertical="center"/>
    </xf>
    <xf numFmtId="0" fontId="0" fillId="0" borderId="0" xfId="0" applyNumberFormat="1" applyFill="1" applyBorder="1" applyAlignment="1" applyProtection="1">
      <alignment vertical="center"/>
    </xf>
    <xf numFmtId="179" fontId="29" fillId="0" borderId="38" xfId="0" applyNumberFormat="1" applyFont="1" applyFill="1" applyBorder="1" applyProtection="1">
      <alignment vertical="center"/>
    </xf>
    <xf numFmtId="0" fontId="25" fillId="0" borderId="0" xfId="0" applyNumberFormat="1" applyFont="1" applyFill="1" applyAlignment="1" applyProtection="1">
      <alignment horizontal="center" vertical="center"/>
    </xf>
    <xf numFmtId="179" fontId="29" fillId="0" borderId="40" xfId="0" applyNumberFormat="1" applyFont="1" applyFill="1" applyBorder="1" applyProtection="1">
      <alignment vertical="center"/>
    </xf>
    <xf numFmtId="179" fontId="29" fillId="0" borderId="0" xfId="0" applyNumberFormat="1" applyFont="1" applyFill="1" applyBorder="1" applyProtection="1">
      <alignment vertical="center"/>
    </xf>
    <xf numFmtId="2" fontId="29" fillId="0" borderId="0" xfId="0" applyNumberFormat="1" applyFont="1" applyFill="1" applyBorder="1" applyProtection="1">
      <alignment vertical="center"/>
    </xf>
    <xf numFmtId="0" fontId="0" fillId="0" borderId="0" xfId="0" applyFill="1" applyBorder="1" applyProtection="1">
      <alignment vertical="center"/>
    </xf>
    <xf numFmtId="38" fontId="0" fillId="0" borderId="0" xfId="1" applyFont="1" applyFill="1" applyBorder="1" applyProtection="1">
      <alignment vertical="center"/>
    </xf>
    <xf numFmtId="179" fontId="0" fillId="2" borderId="23" xfId="0" applyNumberFormat="1" applyFill="1" applyBorder="1" applyProtection="1">
      <alignment vertical="center"/>
      <protection locked="0"/>
    </xf>
    <xf numFmtId="179" fontId="0" fillId="2" borderId="1" xfId="0" applyNumberFormat="1" applyFill="1" applyBorder="1" applyProtection="1">
      <alignment vertical="center"/>
      <protection locked="0"/>
    </xf>
    <xf numFmtId="179" fontId="0" fillId="2" borderId="24" xfId="0" applyNumberFormat="1" applyFill="1" applyBorder="1" applyProtection="1">
      <alignment vertical="center"/>
      <protection locked="0"/>
    </xf>
    <xf numFmtId="38" fontId="0" fillId="2" borderId="81" xfId="1" applyFont="1" applyFill="1" applyBorder="1" applyAlignment="1" applyProtection="1">
      <alignment horizontal="center" vertical="center"/>
      <protection locked="0"/>
    </xf>
    <xf numFmtId="38" fontId="0" fillId="2" borderId="79" xfId="1" applyFont="1" applyFill="1" applyBorder="1" applyAlignment="1" applyProtection="1">
      <alignment horizontal="center" vertical="center"/>
      <protection locked="0"/>
    </xf>
    <xf numFmtId="38" fontId="0" fillId="2" borderId="38" xfId="1" applyFont="1" applyFill="1" applyBorder="1" applyProtection="1">
      <alignment vertical="center"/>
      <protection locked="0"/>
    </xf>
    <xf numFmtId="38" fontId="0" fillId="2" borderId="23" xfId="1" applyFont="1" applyFill="1" applyBorder="1" applyProtection="1">
      <alignment vertical="center"/>
      <protection locked="0"/>
    </xf>
    <xf numFmtId="38" fontId="0" fillId="2" borderId="45" xfId="1" applyFont="1" applyFill="1" applyBorder="1" applyProtection="1">
      <alignment vertical="center"/>
      <protection locked="0"/>
    </xf>
    <xf numFmtId="38" fontId="0" fillId="2" borderId="1" xfId="1" applyFont="1" applyFill="1" applyBorder="1" applyProtection="1">
      <alignment vertical="center"/>
      <protection locked="0"/>
    </xf>
    <xf numFmtId="38" fontId="0" fillId="2" borderId="40" xfId="1" applyFont="1" applyFill="1" applyBorder="1" applyProtection="1">
      <alignment vertical="center"/>
      <protection locked="0"/>
    </xf>
    <xf numFmtId="38" fontId="0" fillId="2" borderId="24" xfId="1" applyFont="1" applyFill="1" applyBorder="1" applyProtection="1">
      <alignment vertical="center"/>
      <protection locked="0"/>
    </xf>
    <xf numFmtId="38" fontId="0" fillId="2" borderId="28" xfId="1" applyFont="1" applyFill="1" applyBorder="1" applyAlignment="1" applyProtection="1">
      <alignment horizontal="center" vertical="center"/>
      <protection locked="0"/>
    </xf>
    <xf numFmtId="38" fontId="0" fillId="2" borderId="29" xfId="1" applyFont="1" applyFill="1" applyBorder="1" applyAlignment="1" applyProtection="1">
      <alignment horizontal="center" vertical="center"/>
      <protection locked="0"/>
    </xf>
    <xf numFmtId="38" fontId="0" fillId="2" borderId="76" xfId="1" applyFont="1" applyFill="1" applyBorder="1" applyAlignment="1" applyProtection="1">
      <alignment horizontal="center" vertical="center"/>
      <protection locked="0"/>
    </xf>
    <xf numFmtId="38" fontId="0" fillId="2" borderId="77" xfId="1" applyFont="1" applyFill="1" applyBorder="1" applyAlignment="1" applyProtection="1">
      <alignment horizontal="center" vertical="center"/>
      <protection locked="0"/>
    </xf>
    <xf numFmtId="38" fontId="0" fillId="2" borderId="28" xfId="1" applyFont="1" applyFill="1" applyBorder="1" applyProtection="1">
      <alignment vertical="center"/>
      <protection locked="0"/>
    </xf>
    <xf numFmtId="38" fontId="0" fillId="2" borderId="78" xfId="1" applyFont="1" applyFill="1" applyBorder="1" applyProtection="1">
      <alignment vertical="center"/>
      <protection locked="0"/>
    </xf>
    <xf numFmtId="38" fontId="0" fillId="2" borderId="81" xfId="1" applyFont="1" applyFill="1" applyBorder="1" applyProtection="1">
      <alignment vertical="center"/>
      <protection locked="0"/>
    </xf>
    <xf numFmtId="38" fontId="0" fillId="2" borderId="79" xfId="1" applyFont="1" applyFill="1" applyBorder="1" applyProtection="1">
      <alignment vertical="center"/>
      <protection locked="0"/>
    </xf>
    <xf numFmtId="0" fontId="0" fillId="0" borderId="0" xfId="0" applyAlignment="1" applyProtection="1">
      <alignment vertical="center"/>
    </xf>
    <xf numFmtId="0" fontId="0" fillId="0" borderId="32" xfId="0" applyFill="1" applyBorder="1" applyAlignment="1" applyProtection="1">
      <alignment vertical="center"/>
    </xf>
    <xf numFmtId="0" fontId="0" fillId="0" borderId="33" xfId="0" applyFill="1" applyBorder="1" applyAlignment="1" applyProtection="1">
      <alignment vertical="center"/>
    </xf>
    <xf numFmtId="0" fontId="0" fillId="0" borderId="0" xfId="0" applyFill="1" applyBorder="1" applyAlignment="1" applyProtection="1">
      <alignment vertical="center"/>
    </xf>
    <xf numFmtId="0" fontId="0" fillId="0" borderId="35" xfId="0" applyFill="1" applyBorder="1" applyAlignment="1" applyProtection="1">
      <alignment vertical="center"/>
    </xf>
    <xf numFmtId="0" fontId="0" fillId="0" borderId="30" xfId="0" applyFill="1" applyBorder="1" applyAlignment="1" applyProtection="1">
      <alignment vertical="center"/>
    </xf>
    <xf numFmtId="0" fontId="0" fillId="0" borderId="37" xfId="0" applyFill="1" applyBorder="1" applyAlignment="1" applyProtection="1">
      <alignment vertical="center"/>
    </xf>
    <xf numFmtId="0" fontId="0" fillId="0" borderId="0" xfId="0" applyAlignment="1" applyProtection="1">
      <alignment horizontal="center" vertical="center"/>
    </xf>
    <xf numFmtId="0" fontId="0" fillId="0" borderId="0" xfId="0" applyNumberFormat="1" applyAlignment="1" applyProtection="1">
      <alignment vertical="center" shrinkToFit="1"/>
    </xf>
    <xf numFmtId="0" fontId="16" fillId="0" borderId="0" xfId="0" applyFont="1" applyAlignment="1" applyProtection="1">
      <alignment vertical="center" shrinkToFit="1"/>
    </xf>
    <xf numFmtId="0" fontId="16" fillId="0" borderId="0" xfId="0" applyFont="1" applyFill="1" applyAlignment="1" applyProtection="1">
      <alignment vertical="center" shrinkToFit="1"/>
    </xf>
    <xf numFmtId="0" fontId="16" fillId="0" borderId="0" xfId="0" applyFont="1" applyBorder="1" applyAlignment="1" applyProtection="1">
      <alignment vertical="center" shrinkToFit="1"/>
    </xf>
    <xf numFmtId="0" fontId="0" fillId="0" borderId="0" xfId="0" applyFill="1" applyBorder="1" applyAlignment="1" applyProtection="1">
      <alignment horizontal="center" vertical="center" shrinkToFit="1"/>
    </xf>
    <xf numFmtId="0" fontId="0" fillId="0" borderId="0" xfId="0" applyFill="1" applyAlignment="1" applyProtection="1">
      <alignment vertical="center" shrinkToFit="1"/>
    </xf>
    <xf numFmtId="179" fontId="33" fillId="0" borderId="39" xfId="0" applyNumberFormat="1" applyFont="1" applyFill="1" applyBorder="1" applyAlignment="1" applyProtection="1">
      <alignment vertical="center" shrinkToFit="1"/>
    </xf>
    <xf numFmtId="0" fontId="34" fillId="0" borderId="0" xfId="0" applyFont="1" applyAlignment="1" applyProtection="1">
      <alignment horizontal="left" vertical="center" wrapText="1" shrinkToFit="1"/>
    </xf>
    <xf numFmtId="0" fontId="36" fillId="0" borderId="0" xfId="0" applyFont="1" applyAlignment="1" applyProtection="1">
      <alignment vertical="center" shrinkToFit="1"/>
    </xf>
    <xf numFmtId="0" fontId="34" fillId="0" borderId="0" xfId="0" applyFont="1" applyAlignment="1" applyProtection="1">
      <alignment vertical="center" shrinkToFit="1"/>
    </xf>
    <xf numFmtId="179" fontId="0" fillId="0" borderId="20" xfId="0" applyNumberFormat="1" applyBorder="1" applyProtection="1">
      <alignment vertical="center"/>
    </xf>
    <xf numFmtId="179" fontId="0" fillId="0" borderId="38" xfId="0" applyNumberFormat="1" applyBorder="1" applyProtection="1">
      <alignment vertical="center"/>
    </xf>
    <xf numFmtId="0" fontId="0" fillId="0" borderId="39" xfId="0" applyNumberFormat="1" applyBorder="1" applyAlignment="1" applyProtection="1">
      <alignment vertical="center" shrinkToFit="1"/>
    </xf>
    <xf numFmtId="0" fontId="0" fillId="0" borderId="61" xfId="0" applyBorder="1" applyProtection="1">
      <alignment vertical="center"/>
    </xf>
    <xf numFmtId="0" fontId="25" fillId="0" borderId="20" xfId="0" applyFont="1" applyBorder="1" applyProtection="1">
      <alignment vertical="center"/>
    </xf>
    <xf numFmtId="0" fontId="0" fillId="7" borderId="5" xfId="0" applyFill="1" applyBorder="1" applyProtection="1">
      <alignment vertical="center"/>
    </xf>
    <xf numFmtId="0" fontId="16" fillId="0" borderId="102" xfId="0" applyFont="1" applyFill="1" applyBorder="1" applyAlignment="1" applyProtection="1">
      <alignment vertical="center" shrinkToFit="1"/>
    </xf>
    <xf numFmtId="0" fontId="16" fillId="0" borderId="12" xfId="0" applyFont="1" applyFill="1" applyBorder="1" applyAlignment="1" applyProtection="1">
      <alignment vertical="center" shrinkToFit="1"/>
    </xf>
    <xf numFmtId="179" fontId="0" fillId="0" borderId="21" xfId="0" applyNumberFormat="1" applyBorder="1" applyProtection="1">
      <alignment vertical="center"/>
    </xf>
    <xf numFmtId="179" fontId="0" fillId="0" borderId="45" xfId="0" applyNumberFormat="1" applyBorder="1" applyProtection="1">
      <alignment vertical="center"/>
    </xf>
    <xf numFmtId="0" fontId="0" fillId="0" borderId="44" xfId="0" applyNumberFormat="1" applyBorder="1" applyAlignment="1" applyProtection="1">
      <alignment vertical="center" shrinkToFit="1"/>
    </xf>
    <xf numFmtId="0" fontId="0" fillId="0" borderId="47" xfId="0" applyBorder="1" applyProtection="1">
      <alignment vertical="center"/>
    </xf>
    <xf numFmtId="0" fontId="25" fillId="0" borderId="21" xfId="0" applyFont="1" applyBorder="1" applyProtection="1">
      <alignment vertical="center"/>
    </xf>
    <xf numFmtId="0" fontId="0" fillId="7" borderId="7" xfId="0" applyFill="1" applyBorder="1" applyProtection="1">
      <alignment vertical="center"/>
    </xf>
    <xf numFmtId="0" fontId="16" fillId="0" borderId="103" xfId="0" applyFont="1" applyFill="1" applyBorder="1" applyAlignment="1" applyProtection="1">
      <alignment vertical="center" shrinkToFit="1"/>
    </xf>
    <xf numFmtId="0" fontId="16" fillId="0" borderId="30" xfId="0" applyFont="1" applyFill="1" applyBorder="1" applyAlignment="1" applyProtection="1">
      <alignment vertical="center" shrinkToFit="1"/>
    </xf>
    <xf numFmtId="179" fontId="0" fillId="0" borderId="22" xfId="0" applyNumberFormat="1" applyBorder="1" applyProtection="1">
      <alignment vertical="center"/>
    </xf>
    <xf numFmtId="179" fontId="0" fillId="0" borderId="40" xfId="0" applyNumberFormat="1" applyBorder="1" applyProtection="1">
      <alignment vertical="center"/>
    </xf>
    <xf numFmtId="0" fontId="0" fillId="0" borderId="75" xfId="0" applyNumberFormat="1" applyBorder="1" applyAlignment="1" applyProtection="1">
      <alignment vertical="center" shrinkToFit="1"/>
    </xf>
    <xf numFmtId="0" fontId="0" fillId="0" borderId="62" xfId="0" applyBorder="1" applyProtection="1">
      <alignment vertical="center"/>
    </xf>
    <xf numFmtId="0" fontId="25" fillId="0" borderId="22" xfId="0" applyFont="1" applyBorder="1" applyProtection="1">
      <alignment vertical="center"/>
    </xf>
    <xf numFmtId="0" fontId="0" fillId="0" borderId="41" xfId="0" applyBorder="1" applyProtection="1">
      <alignment vertical="center"/>
    </xf>
    <xf numFmtId="0" fontId="16" fillId="0" borderId="9" xfId="0" applyFont="1" applyFill="1" applyBorder="1" applyAlignment="1" applyProtection="1">
      <alignment vertical="center" shrinkToFit="1"/>
    </xf>
    <xf numFmtId="0" fontId="0" fillId="0" borderId="19" xfId="0" applyBorder="1" applyProtection="1">
      <alignment vertical="center"/>
    </xf>
    <xf numFmtId="179" fontId="39" fillId="5" borderId="0" xfId="0" applyNumberFormat="1" applyFont="1" applyFill="1" applyProtection="1">
      <alignment vertical="center"/>
    </xf>
    <xf numFmtId="179" fontId="0" fillId="5" borderId="0" xfId="0" applyNumberFormat="1" applyFill="1" applyProtection="1">
      <alignment vertical="center"/>
    </xf>
    <xf numFmtId="0" fontId="0" fillId="5" borderId="81" xfId="0" applyNumberFormat="1" applyFill="1" applyBorder="1" applyAlignment="1" applyProtection="1">
      <alignment vertical="center" shrinkToFit="1"/>
    </xf>
    <xf numFmtId="180" fontId="16" fillId="0" borderId="0" xfId="0" applyNumberFormat="1" applyFont="1" applyAlignment="1" applyProtection="1">
      <alignment vertical="center" shrinkToFit="1"/>
    </xf>
    <xf numFmtId="180" fontId="16" fillId="0" borderId="0" xfId="0" applyNumberFormat="1" applyFont="1" applyFill="1" applyAlignment="1" applyProtection="1">
      <alignment vertical="center" shrinkToFit="1"/>
    </xf>
    <xf numFmtId="180" fontId="0" fillId="0" borderId="0" xfId="0" applyNumberFormat="1" applyFill="1" applyAlignment="1" applyProtection="1">
      <alignment vertical="center" shrinkToFit="1"/>
    </xf>
    <xf numFmtId="176" fontId="9" fillId="2" borderId="1" xfId="23" applyNumberFormat="1" applyFont="1" applyFill="1" applyBorder="1" applyAlignment="1" applyProtection="1">
      <alignment horizontal="center" vertical="center" shrinkToFit="1"/>
      <protection locked="0"/>
    </xf>
    <xf numFmtId="0" fontId="9" fillId="0" borderId="0" xfId="23" applyFont="1" applyAlignment="1" applyProtection="1">
      <alignment vertical="center" shrinkToFit="1"/>
    </xf>
    <xf numFmtId="0" fontId="7" fillId="0" borderId="0" xfId="0" applyFont="1" applyAlignment="1" applyProtection="1">
      <alignment vertical="center"/>
    </xf>
    <xf numFmtId="177" fontId="0" fillId="0" borderId="0" xfId="0" applyNumberFormat="1">
      <alignment vertical="center"/>
    </xf>
    <xf numFmtId="0" fontId="0" fillId="0" borderId="25" xfId="0" applyFill="1" applyBorder="1" applyAlignment="1" applyProtection="1">
      <alignment vertical="center" wrapText="1"/>
    </xf>
    <xf numFmtId="182" fontId="9" fillId="0" borderId="2" xfId="23" applyNumberFormat="1" applyFont="1" applyFill="1" applyBorder="1" applyAlignment="1" applyProtection="1">
      <alignment vertical="center" shrinkToFit="1"/>
    </xf>
    <xf numFmtId="0" fontId="4" fillId="0" borderId="21" xfId="0" applyFont="1" applyFill="1" applyBorder="1" applyAlignment="1" applyProtection="1">
      <alignment horizontal="left" vertical="center"/>
    </xf>
    <xf numFmtId="0" fontId="4" fillId="0" borderId="15" xfId="0" applyFont="1" applyFill="1" applyBorder="1" applyAlignment="1" applyProtection="1">
      <alignment horizontal="right" vertical="center"/>
    </xf>
    <xf numFmtId="181" fontId="7" fillId="0" borderId="0" xfId="0" applyNumberFormat="1" applyFont="1" applyAlignment="1" applyProtection="1">
      <alignment vertical="center"/>
    </xf>
    <xf numFmtId="181" fontId="4" fillId="0" borderId="0" xfId="0" applyNumberFormat="1" applyFont="1" applyProtection="1">
      <alignment vertical="center"/>
    </xf>
    <xf numFmtId="181" fontId="9" fillId="2" borderId="106" xfId="0" applyNumberFormat="1" applyFont="1" applyFill="1" applyBorder="1" applyAlignment="1" applyProtection="1">
      <alignment vertical="center" wrapText="1"/>
      <protection locked="0"/>
    </xf>
    <xf numFmtId="181" fontId="9" fillId="2" borderId="107" xfId="0" applyNumberFormat="1" applyFont="1" applyFill="1" applyBorder="1" applyAlignment="1" applyProtection="1">
      <alignment vertical="center" wrapText="1"/>
      <protection locked="0"/>
    </xf>
    <xf numFmtId="183" fontId="9" fillId="2" borderId="47" xfId="23" applyNumberFormat="1" applyFont="1" applyFill="1" applyBorder="1" applyAlignment="1" applyProtection="1">
      <alignment horizontal="center" vertical="center" shrinkToFit="1"/>
      <protection locked="0"/>
    </xf>
    <xf numFmtId="38" fontId="46" fillId="0" borderId="0" xfId="1" applyFont="1">
      <alignment vertical="center"/>
    </xf>
    <xf numFmtId="38" fontId="46" fillId="0" borderId="0" xfId="1" applyFont="1" applyFill="1">
      <alignment vertical="center"/>
    </xf>
    <xf numFmtId="0" fontId="46" fillId="0" borderId="0" xfId="0" applyFont="1">
      <alignment vertical="center"/>
    </xf>
    <xf numFmtId="0" fontId="51" fillId="0" borderId="0" xfId="0" applyFont="1" applyAlignment="1">
      <alignment vertical="center"/>
    </xf>
    <xf numFmtId="0" fontId="46" fillId="0" borderId="0" xfId="0" applyFont="1" applyAlignment="1">
      <alignment vertical="center" wrapText="1"/>
    </xf>
    <xf numFmtId="0" fontId="46" fillId="8" borderId="1" xfId="0" applyFont="1" applyFill="1" applyBorder="1" applyAlignment="1">
      <alignment vertical="center" wrapText="1"/>
    </xf>
    <xf numFmtId="0" fontId="46" fillId="0" borderId="1" xfId="0" applyFont="1" applyBorder="1" applyAlignment="1">
      <alignment vertical="center" wrapText="1"/>
    </xf>
    <xf numFmtId="189" fontId="4" fillId="0" borderId="0" xfId="0" applyNumberFormat="1" applyFont="1" applyProtection="1">
      <alignment vertical="center"/>
    </xf>
    <xf numFmtId="0" fontId="7" fillId="0" borderId="0" xfId="0" applyFont="1" applyBorder="1" applyAlignment="1" applyProtection="1">
      <alignment horizontal="center" vertical="center"/>
    </xf>
    <xf numFmtId="191" fontId="0" fillId="2" borderId="64" xfId="1" applyNumberFormat="1" applyFont="1" applyFill="1" applyBorder="1" applyAlignment="1" applyProtection="1">
      <alignment horizontal="right" vertical="center"/>
      <protection locked="0"/>
    </xf>
    <xf numFmtId="191" fontId="0" fillId="2" borderId="2" xfId="1" applyNumberFormat="1" applyFont="1" applyFill="1" applyBorder="1" applyAlignment="1" applyProtection="1">
      <alignment horizontal="right" vertical="center"/>
      <protection locked="0"/>
    </xf>
    <xf numFmtId="0" fontId="24" fillId="0" borderId="4" xfId="0" applyFont="1" applyFill="1" applyBorder="1" applyAlignment="1" applyProtection="1">
      <alignment vertical="center"/>
    </xf>
    <xf numFmtId="0" fontId="8" fillId="0" borderId="4" xfId="0" applyFont="1" applyFill="1" applyBorder="1" applyAlignment="1" applyProtection="1">
      <alignment vertical="center" wrapText="1" shrinkToFit="1"/>
    </xf>
    <xf numFmtId="0" fontId="24" fillId="0" borderId="0" xfId="0" applyFont="1" applyFill="1" applyBorder="1" applyAlignment="1" applyProtection="1">
      <alignment vertical="center"/>
    </xf>
    <xf numFmtId="0" fontId="8" fillId="0" borderId="0" xfId="0" applyFont="1" applyFill="1" applyBorder="1" applyAlignment="1" applyProtection="1">
      <alignment vertical="center" wrapText="1" shrinkToFit="1"/>
    </xf>
    <xf numFmtId="181" fontId="8" fillId="0" borderId="0" xfId="0" applyNumberFormat="1" applyFont="1" applyFill="1" applyBorder="1" applyAlignment="1" applyProtection="1">
      <alignment vertical="center" wrapText="1" shrinkToFit="1"/>
    </xf>
    <xf numFmtId="0" fontId="31" fillId="0" borderId="67" xfId="0" applyFont="1" applyFill="1" applyBorder="1" applyAlignment="1" applyProtection="1">
      <alignment horizontal="center" vertical="center" wrapText="1" shrinkToFit="1"/>
    </xf>
    <xf numFmtId="181" fontId="9" fillId="0" borderId="67" xfId="0" applyNumberFormat="1" applyFont="1" applyFill="1" applyBorder="1" applyAlignment="1" applyProtection="1">
      <alignment horizontal="right" vertical="center" wrapText="1"/>
    </xf>
    <xf numFmtId="181" fontId="9" fillId="0" borderId="123" xfId="0" applyNumberFormat="1" applyFont="1" applyFill="1" applyBorder="1" applyAlignment="1" applyProtection="1">
      <alignment horizontal="right" vertical="center" wrapText="1"/>
    </xf>
    <xf numFmtId="0" fontId="30" fillId="0" borderId="67" xfId="0" applyFont="1" applyFill="1" applyBorder="1" applyAlignment="1" applyProtection="1">
      <alignment horizontal="center" vertical="center" wrapText="1" shrinkToFit="1"/>
    </xf>
    <xf numFmtId="189" fontId="8" fillId="0" borderId="0" xfId="0" applyNumberFormat="1" applyFont="1" applyFill="1" applyBorder="1" applyAlignment="1" applyProtection="1">
      <alignment vertical="center" wrapText="1" shrinkToFit="1"/>
    </xf>
    <xf numFmtId="189" fontId="30" fillId="0" borderId="2" xfId="0" applyNumberFormat="1" applyFont="1" applyFill="1" applyBorder="1" applyAlignment="1" applyProtection="1">
      <alignment horizontal="center" vertical="center" wrapText="1" shrinkToFit="1"/>
    </xf>
    <xf numFmtId="190" fontId="9" fillId="0" borderId="2" xfId="0" applyNumberFormat="1" applyFont="1" applyFill="1" applyBorder="1" applyAlignment="1" applyProtection="1">
      <alignment horizontal="right" vertical="center" wrapText="1"/>
    </xf>
    <xf numFmtId="189" fontId="9" fillId="0" borderId="2" xfId="0" applyNumberFormat="1" applyFont="1" applyFill="1" applyBorder="1" applyAlignment="1" applyProtection="1">
      <alignment horizontal="right" vertical="center" wrapText="1"/>
    </xf>
    <xf numFmtId="181" fontId="4" fillId="0" borderId="0" xfId="0" applyNumberFormat="1" applyFont="1" applyFill="1" applyBorder="1" applyAlignment="1" applyProtection="1">
      <alignment vertical="center"/>
    </xf>
    <xf numFmtId="0" fontId="4" fillId="0" borderId="0" xfId="0" applyFont="1" applyFill="1" applyBorder="1" applyAlignment="1" applyProtection="1">
      <alignment vertical="center"/>
    </xf>
    <xf numFmtId="0" fontId="4" fillId="0" borderId="43" xfId="0" applyFont="1" applyFill="1" applyBorder="1" applyAlignment="1" applyProtection="1">
      <alignment vertical="center"/>
    </xf>
    <xf numFmtId="0" fontId="44" fillId="0" borderId="43" xfId="0" applyFont="1" applyFill="1" applyBorder="1" applyAlignment="1" applyProtection="1">
      <alignment horizontal="center" vertical="center"/>
    </xf>
    <xf numFmtId="0" fontId="4" fillId="0" borderId="34"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181" fontId="4" fillId="0" borderId="0" xfId="0" applyNumberFormat="1" applyFont="1" applyFill="1" applyBorder="1" applyAlignment="1" applyProtection="1">
      <alignment horizontal="center" vertical="center"/>
    </xf>
    <xf numFmtId="181" fontId="41" fillId="0" borderId="0" xfId="0" applyNumberFormat="1" applyFont="1" applyFill="1" applyBorder="1" applyAlignment="1" applyProtection="1">
      <alignment horizontal="center" vertical="center"/>
    </xf>
    <xf numFmtId="0" fontId="0" fillId="2" borderId="38" xfId="0" applyFill="1" applyBorder="1" applyProtection="1">
      <alignment vertical="center"/>
      <protection locked="0"/>
    </xf>
    <xf numFmtId="0" fontId="0" fillId="2" borderId="23" xfId="0" applyFill="1" applyBorder="1" applyProtection="1">
      <alignment vertical="center"/>
      <protection locked="0"/>
    </xf>
    <xf numFmtId="0" fontId="0" fillId="2" borderId="45" xfId="0" applyFill="1" applyBorder="1" applyProtection="1">
      <alignment vertical="center"/>
      <protection locked="0"/>
    </xf>
    <xf numFmtId="0" fontId="0" fillId="2" borderId="1" xfId="0" applyFill="1" applyBorder="1" applyProtection="1">
      <alignment vertical="center"/>
      <protection locked="0"/>
    </xf>
    <xf numFmtId="185" fontId="46" fillId="2" borderId="42" xfId="0" applyNumberFormat="1" applyFont="1" applyFill="1" applyBorder="1" applyProtection="1">
      <alignment vertical="center"/>
      <protection locked="0"/>
    </xf>
    <xf numFmtId="188" fontId="46" fillId="2" borderId="65" xfId="1" applyNumberFormat="1" applyFont="1" applyFill="1" applyBorder="1" applyProtection="1">
      <alignment vertical="center"/>
      <protection locked="0"/>
    </xf>
    <xf numFmtId="186" fontId="46" fillId="2" borderId="42" xfId="1" applyNumberFormat="1" applyFont="1" applyFill="1" applyBorder="1" applyProtection="1">
      <alignment vertical="center"/>
      <protection locked="0"/>
    </xf>
    <xf numFmtId="186" fontId="46" fillId="2" borderId="43" xfId="1" applyNumberFormat="1" applyFont="1" applyFill="1" applyBorder="1" applyProtection="1">
      <alignment vertical="center"/>
      <protection locked="0"/>
    </xf>
    <xf numFmtId="186" fontId="46" fillId="2" borderId="45" xfId="1" applyNumberFormat="1" applyFont="1" applyFill="1" applyBorder="1" applyProtection="1">
      <alignment vertical="center"/>
      <protection locked="0"/>
    </xf>
    <xf numFmtId="186" fontId="46" fillId="2" borderId="1" xfId="1" applyNumberFormat="1" applyFont="1" applyFill="1" applyBorder="1" applyProtection="1">
      <alignment vertical="center"/>
      <protection locked="0"/>
    </xf>
    <xf numFmtId="186" fontId="46" fillId="2" borderId="2" xfId="0" applyNumberFormat="1" applyFont="1" applyFill="1" applyBorder="1" applyProtection="1">
      <alignment vertical="center"/>
      <protection locked="0"/>
    </xf>
    <xf numFmtId="0" fontId="46" fillId="2" borderId="65" xfId="0" applyFont="1" applyFill="1" applyBorder="1" applyAlignment="1" applyProtection="1">
      <alignment vertical="center" wrapText="1"/>
      <protection locked="0"/>
    </xf>
    <xf numFmtId="0" fontId="46" fillId="2" borderId="120" xfId="0" applyFont="1" applyFill="1" applyBorder="1" applyAlignment="1" applyProtection="1">
      <alignment vertical="center" wrapText="1"/>
      <protection locked="0"/>
    </xf>
    <xf numFmtId="185" fontId="46" fillId="2" borderId="37" xfId="0" applyNumberFormat="1" applyFont="1" applyFill="1" applyBorder="1" applyProtection="1">
      <alignment vertical="center"/>
      <protection locked="0"/>
    </xf>
    <xf numFmtId="0" fontId="53" fillId="0" borderId="39" xfId="0" applyFont="1" applyBorder="1" applyAlignment="1" applyProtection="1">
      <alignment vertical="center" shrinkToFit="1"/>
    </xf>
    <xf numFmtId="0" fontId="53" fillId="0" borderId="74" xfId="0" applyFont="1" applyBorder="1" applyAlignment="1" applyProtection="1">
      <alignment vertical="center" shrinkToFit="1"/>
    </xf>
    <xf numFmtId="0" fontId="54" fillId="0" borderId="46" xfId="0" applyFont="1" applyBorder="1" applyAlignment="1" applyProtection="1">
      <alignment vertical="center" shrinkToFit="1"/>
    </xf>
    <xf numFmtId="0" fontId="53" fillId="0" borderId="41" xfId="0" applyFont="1" applyBorder="1" applyAlignment="1" applyProtection="1">
      <alignment vertical="center" shrinkToFit="1"/>
    </xf>
    <xf numFmtId="0" fontId="54" fillId="0" borderId="2" xfId="0" applyFont="1" applyBorder="1" applyAlignment="1" applyProtection="1">
      <alignment vertical="center" shrinkToFit="1"/>
    </xf>
    <xf numFmtId="192" fontId="23" fillId="0" borderId="39" xfId="0" applyNumberFormat="1" applyFont="1" applyFill="1" applyBorder="1" applyAlignment="1" applyProtection="1">
      <alignment vertical="center"/>
    </xf>
    <xf numFmtId="2" fontId="23" fillId="0" borderId="41" xfId="0" applyNumberFormat="1" applyFont="1" applyFill="1" applyBorder="1" applyProtection="1">
      <alignment vertical="center"/>
    </xf>
    <xf numFmtId="179" fontId="3" fillId="0" borderId="2" xfId="0" applyNumberFormat="1" applyFont="1" applyFill="1" applyBorder="1" applyProtection="1">
      <alignment vertical="center"/>
    </xf>
    <xf numFmtId="0" fontId="0" fillId="0" borderId="40" xfId="0" applyFill="1" applyBorder="1" applyAlignment="1" applyProtection="1">
      <alignment vertical="center" shrinkToFit="1"/>
    </xf>
    <xf numFmtId="0" fontId="56" fillId="0" borderId="0" xfId="0" applyFont="1" applyProtection="1">
      <alignment vertical="center"/>
    </xf>
    <xf numFmtId="0" fontId="0" fillId="0" borderId="45" xfId="0" applyFill="1" applyBorder="1" applyProtection="1">
      <alignment vertical="center"/>
    </xf>
    <xf numFmtId="0" fontId="16" fillId="0" borderId="104" xfId="0" applyFont="1" applyFill="1" applyBorder="1" applyAlignment="1" applyProtection="1">
      <alignment vertical="center" shrinkToFit="1"/>
    </xf>
    <xf numFmtId="0" fontId="6" fillId="0" borderId="14" xfId="0" applyFont="1" applyFill="1" applyBorder="1" applyAlignment="1" applyProtection="1">
      <alignment horizontal="center" vertical="center"/>
    </xf>
    <xf numFmtId="0" fontId="9" fillId="2" borderId="67" xfId="0" applyFont="1" applyFill="1" applyBorder="1" applyAlignment="1" applyProtection="1">
      <alignment horizontal="left" vertical="center" wrapText="1" shrinkToFit="1"/>
      <protection locked="0"/>
    </xf>
    <xf numFmtId="0" fontId="9" fillId="2" borderId="43" xfId="0" applyFont="1" applyFill="1" applyBorder="1" applyAlignment="1" applyProtection="1">
      <alignment horizontal="left" vertical="center" wrapText="1" shrinkToFit="1"/>
      <protection locked="0"/>
    </xf>
    <xf numFmtId="181" fontId="9" fillId="2" borderId="67" xfId="0" applyNumberFormat="1" applyFont="1" applyFill="1" applyBorder="1" applyAlignment="1" applyProtection="1">
      <alignment horizontal="right" vertical="center" wrapText="1"/>
      <protection locked="0"/>
    </xf>
    <xf numFmtId="181" fontId="9" fillId="2" borderId="68" xfId="0" applyNumberFormat="1" applyFont="1" applyFill="1" applyBorder="1" applyAlignment="1" applyProtection="1">
      <alignment horizontal="right" vertical="center" wrapText="1"/>
      <protection locked="0"/>
    </xf>
    <xf numFmtId="0" fontId="6" fillId="0" borderId="53" xfId="0" applyFont="1" applyFill="1" applyBorder="1" applyAlignment="1" applyProtection="1">
      <alignment horizontal="center" vertical="center"/>
    </xf>
    <xf numFmtId="0" fontId="6" fillId="0" borderId="4"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9" xfId="0" applyFont="1" applyFill="1" applyBorder="1" applyAlignment="1" applyProtection="1">
      <alignment horizontal="center" vertical="center" wrapText="1"/>
    </xf>
    <xf numFmtId="0" fontId="0" fillId="2" borderId="40" xfId="0" applyFill="1" applyBorder="1" applyProtection="1">
      <alignment vertical="center"/>
      <protection locked="0"/>
    </xf>
    <xf numFmtId="0" fontId="0" fillId="2" borderId="24" xfId="0" applyFill="1" applyBorder="1" applyProtection="1">
      <alignment vertical="center"/>
      <protection locked="0"/>
    </xf>
    <xf numFmtId="0" fontId="59" fillId="0" borderId="0" xfId="0" applyFont="1" applyFill="1" applyAlignment="1" applyProtection="1">
      <alignment vertical="center" shrinkToFit="1"/>
    </xf>
    <xf numFmtId="0" fontId="59" fillId="0" borderId="0" xfId="0" applyFont="1" applyAlignment="1" applyProtection="1">
      <alignment vertical="center" shrinkToFit="1"/>
    </xf>
    <xf numFmtId="181" fontId="9" fillId="0" borderId="23" xfId="0" applyNumberFormat="1" applyFont="1" applyFill="1" applyBorder="1" applyAlignment="1" applyProtection="1">
      <alignment horizontal="right" vertical="center" wrapText="1"/>
    </xf>
    <xf numFmtId="0" fontId="7" fillId="0" borderId="0" xfId="0" applyFont="1" applyAlignment="1" applyProtection="1">
      <alignment horizontal="center" vertical="center"/>
    </xf>
    <xf numFmtId="0" fontId="4" fillId="5" borderId="4" xfId="0" applyFont="1" applyFill="1" applyBorder="1" applyAlignment="1" applyProtection="1">
      <alignment horizontal="center" vertical="center"/>
    </xf>
    <xf numFmtId="0" fontId="4" fillId="5" borderId="9" xfId="0" applyFont="1" applyFill="1" applyBorder="1" applyAlignment="1" applyProtection="1">
      <alignment horizontal="center" vertical="center"/>
    </xf>
    <xf numFmtId="0" fontId="9" fillId="2" borderId="1" xfId="0" applyFont="1" applyFill="1" applyBorder="1" applyAlignment="1" applyProtection="1">
      <alignment horizontal="left" vertical="center" wrapText="1" shrinkToFit="1"/>
      <protection locked="0"/>
    </xf>
    <xf numFmtId="0" fontId="4" fillId="0" borderId="0" xfId="0" applyFont="1" applyFill="1" applyBorder="1" applyAlignment="1" applyProtection="1">
      <alignment horizontal="right" vertical="center" shrinkToFit="1"/>
    </xf>
    <xf numFmtId="181" fontId="9" fillId="0" borderId="1" xfId="0" applyNumberFormat="1" applyFont="1" applyFill="1" applyBorder="1" applyAlignment="1" applyProtection="1">
      <alignment horizontal="right" vertical="center" wrapText="1"/>
    </xf>
    <xf numFmtId="0" fontId="4" fillId="0" borderId="0" xfId="0" applyFont="1" applyFill="1" applyBorder="1" applyAlignment="1" applyProtection="1">
      <alignment horizontal="center" vertical="center"/>
    </xf>
    <xf numFmtId="0" fontId="41"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9" fillId="2" borderId="0" xfId="0" applyFont="1" applyFill="1" applyBorder="1" applyAlignment="1" applyProtection="1">
      <alignment vertical="center"/>
      <protection locked="0"/>
    </xf>
    <xf numFmtId="0" fontId="9" fillId="2" borderId="35" xfId="0" applyFont="1" applyFill="1" applyBorder="1" applyAlignment="1" applyProtection="1">
      <alignment vertical="center"/>
      <protection locked="0"/>
    </xf>
    <xf numFmtId="0" fontId="9" fillId="2" borderId="30" xfId="0" applyFont="1" applyFill="1" applyBorder="1" applyAlignment="1" applyProtection="1">
      <alignment vertical="center"/>
      <protection locked="0"/>
    </xf>
    <xf numFmtId="0" fontId="9" fillId="2" borderId="37" xfId="0" applyFont="1" applyFill="1" applyBorder="1" applyAlignment="1" applyProtection="1">
      <alignment vertical="center"/>
      <protection locked="0"/>
    </xf>
    <xf numFmtId="0" fontId="0" fillId="0" borderId="0" xfId="0" applyAlignment="1" applyProtection="1">
      <alignment horizontal="center" vertical="center"/>
    </xf>
    <xf numFmtId="0" fontId="9" fillId="0" borderId="0" xfId="0" applyFont="1" applyBorder="1" applyAlignment="1" applyProtection="1">
      <alignment horizontal="center" vertical="top"/>
    </xf>
    <xf numFmtId="0" fontId="3" fillId="0" borderId="35" xfId="0" applyFont="1" applyFill="1" applyBorder="1" applyAlignment="1" applyProtection="1">
      <alignment vertical="center"/>
    </xf>
    <xf numFmtId="0" fontId="3" fillId="0" borderId="30" xfId="0" applyFont="1" applyFill="1" applyBorder="1" applyAlignment="1" applyProtection="1">
      <alignment vertical="center"/>
    </xf>
    <xf numFmtId="0" fontId="9" fillId="0" borderId="0" xfId="23" applyFont="1" applyAlignment="1" applyProtection="1">
      <alignment vertical="center"/>
      <protection locked="0"/>
    </xf>
    <xf numFmtId="0" fontId="9" fillId="0" borderId="0" xfId="23" applyFont="1" applyAlignment="1" applyProtection="1">
      <alignment horizontal="right" vertical="center"/>
      <protection locked="0"/>
    </xf>
    <xf numFmtId="0" fontId="9" fillId="0" borderId="0" xfId="23" applyFont="1" applyFill="1" applyBorder="1" applyAlignment="1" applyProtection="1">
      <alignment vertical="center" shrinkToFit="1"/>
      <protection locked="0"/>
    </xf>
    <xf numFmtId="0" fontId="6" fillId="0" borderId="1" xfId="23" applyFont="1" applyFill="1" applyBorder="1" applyAlignment="1" applyProtection="1">
      <alignment horizontal="center" vertical="center" shrinkToFit="1"/>
      <protection locked="0"/>
    </xf>
    <xf numFmtId="0" fontId="9" fillId="0" borderId="1" xfId="23" applyFont="1" applyFill="1" applyBorder="1" applyAlignment="1" applyProtection="1">
      <alignment horizontal="center" vertical="center" wrapText="1" shrinkToFit="1"/>
      <protection locked="0"/>
    </xf>
    <xf numFmtId="0" fontId="10" fillId="0" borderId="1" xfId="23" applyFont="1" applyFill="1" applyBorder="1" applyAlignment="1" applyProtection="1">
      <alignment horizontal="center" vertical="center" wrapText="1" shrinkToFit="1"/>
      <protection locked="0"/>
    </xf>
    <xf numFmtId="0" fontId="20" fillId="0" borderId="21" xfId="23" applyFont="1" applyFill="1" applyBorder="1" applyAlignment="1" applyProtection="1">
      <alignment horizontal="center" vertical="center" wrapText="1" shrinkToFit="1"/>
      <protection locked="0"/>
    </xf>
    <xf numFmtId="0" fontId="11" fillId="0" borderId="21" xfId="23" applyFont="1" applyFill="1" applyBorder="1" applyAlignment="1" applyProtection="1">
      <alignment horizontal="center" vertical="center" wrapText="1" shrinkToFit="1"/>
      <protection locked="0"/>
    </xf>
    <xf numFmtId="0" fontId="11" fillId="0" borderId="47" xfId="23" applyFont="1" applyFill="1" applyBorder="1" applyAlignment="1" applyProtection="1">
      <alignment horizontal="center" vertical="center" wrapText="1" shrinkToFit="1"/>
      <protection locked="0"/>
    </xf>
    <xf numFmtId="177" fontId="9" fillId="0" borderId="1" xfId="23" applyNumberFormat="1" applyFont="1" applyFill="1" applyBorder="1" applyAlignment="1" applyProtection="1">
      <alignment horizontal="center" vertical="center" wrapText="1" shrinkToFit="1"/>
      <protection locked="0"/>
    </xf>
    <xf numFmtId="0" fontId="9" fillId="0" borderId="1" xfId="23" applyFont="1" applyFill="1" applyBorder="1" applyAlignment="1" applyProtection="1">
      <alignment vertical="center" shrinkToFit="1"/>
      <protection locked="0"/>
    </xf>
    <xf numFmtId="0" fontId="9" fillId="0" borderId="0" xfId="23" applyFont="1" applyAlignment="1" applyProtection="1">
      <alignment vertical="center" shrinkToFit="1"/>
      <protection locked="0"/>
    </xf>
    <xf numFmtId="38" fontId="0" fillId="0" borderId="0" xfId="1" applyFont="1" applyProtection="1">
      <alignment vertical="center"/>
    </xf>
    <xf numFmtId="38" fontId="30" fillId="0" borderId="0" xfId="1" applyFont="1" applyProtection="1">
      <alignment vertical="center"/>
    </xf>
    <xf numFmtId="38" fontId="22" fillId="0" borderId="0" xfId="1" applyFont="1" applyProtection="1">
      <alignment vertical="center"/>
    </xf>
    <xf numFmtId="38" fontId="0" fillId="0" borderId="37" xfId="1" applyFont="1" applyBorder="1" applyProtection="1">
      <alignment vertical="center"/>
    </xf>
    <xf numFmtId="38" fontId="0" fillId="0" borderId="1" xfId="1" applyFont="1" applyBorder="1" applyProtection="1">
      <alignment vertical="center"/>
    </xf>
    <xf numFmtId="38" fontId="0" fillId="0" borderId="1" xfId="1" applyFont="1" applyFill="1" applyBorder="1" applyAlignment="1" applyProtection="1">
      <alignment horizontal="center" vertical="center"/>
    </xf>
    <xf numFmtId="38" fontId="0" fillId="0" borderId="67" xfId="1" applyFont="1" applyBorder="1" applyAlignment="1" applyProtection="1">
      <alignment horizontal="center" vertical="center"/>
    </xf>
    <xf numFmtId="38" fontId="0" fillId="0" borderId="1" xfId="1" applyFont="1" applyFill="1" applyBorder="1" applyAlignment="1" applyProtection="1">
      <alignment horizontal="right" vertical="center"/>
    </xf>
    <xf numFmtId="38" fontId="43" fillId="0" borderId="0" xfId="1" applyFont="1" applyProtection="1">
      <alignment vertical="center"/>
    </xf>
    <xf numFmtId="38" fontId="0" fillId="0" borderId="47" xfId="1" applyFont="1" applyFill="1" applyBorder="1" applyAlignment="1" applyProtection="1">
      <alignment horizontal="right" vertical="center"/>
    </xf>
    <xf numFmtId="38" fontId="0" fillId="0" borderId="39" xfId="1" applyFont="1" applyBorder="1" applyProtection="1">
      <alignment vertical="center"/>
    </xf>
    <xf numFmtId="38" fontId="0" fillId="0" borderId="46" xfId="1" applyFont="1" applyBorder="1" applyProtection="1">
      <alignment vertical="center"/>
    </xf>
    <xf numFmtId="38" fontId="0" fillId="0" borderId="74" xfId="1" applyFont="1" applyBorder="1" applyProtection="1">
      <alignment vertical="center"/>
    </xf>
    <xf numFmtId="38" fontId="0" fillId="0" borderId="25" xfId="1" applyFont="1" applyBorder="1" applyProtection="1">
      <alignment vertical="center"/>
    </xf>
    <xf numFmtId="38" fontId="0" fillId="0" borderId="27" xfId="1" applyFont="1" applyBorder="1" applyProtection="1">
      <alignment vertical="center"/>
    </xf>
    <xf numFmtId="38" fontId="0" fillId="0" borderId="78" xfId="1" applyFont="1" applyBorder="1" applyProtection="1">
      <alignment vertical="center"/>
    </xf>
    <xf numFmtId="38" fontId="0" fillId="0" borderId="81" xfId="1" applyFont="1" applyBorder="1" applyProtection="1">
      <alignment vertical="center"/>
    </xf>
    <xf numFmtId="38" fontId="0" fillId="0" borderId="2" xfId="1" applyFont="1" applyBorder="1" applyProtection="1">
      <alignment vertical="center"/>
    </xf>
    <xf numFmtId="38" fontId="0" fillId="0" borderId="73" xfId="1" applyFont="1" applyFill="1" applyBorder="1" applyProtection="1">
      <alignment vertical="center"/>
    </xf>
    <xf numFmtId="38" fontId="0" fillId="0" borderId="75" xfId="1" applyFont="1" applyFill="1" applyBorder="1" applyProtection="1">
      <alignment vertical="center"/>
    </xf>
    <xf numFmtId="38" fontId="0" fillId="0" borderId="67" xfId="1" applyFont="1" applyBorder="1" applyProtection="1">
      <alignment vertical="center"/>
    </xf>
    <xf numFmtId="38" fontId="0" fillId="0" borderId="31" xfId="1" applyFont="1" applyBorder="1" applyProtection="1">
      <alignment vertical="center"/>
    </xf>
    <xf numFmtId="38" fontId="0" fillId="0" borderId="26" xfId="1" applyFont="1" applyBorder="1" applyProtection="1">
      <alignment vertical="center"/>
    </xf>
    <xf numFmtId="38" fontId="0" fillId="0" borderId="40" xfId="1" applyFont="1" applyBorder="1" applyProtection="1">
      <alignment vertical="center"/>
    </xf>
    <xf numFmtId="38" fontId="0" fillId="0" borderId="3" xfId="1" applyFont="1" applyBorder="1" applyProtection="1">
      <alignment vertical="center"/>
    </xf>
    <xf numFmtId="38" fontId="0" fillId="0" borderId="5" xfId="1" applyFont="1" applyBorder="1" applyProtection="1">
      <alignment vertical="center"/>
    </xf>
    <xf numFmtId="38" fontId="0" fillId="0" borderId="82" xfId="1" applyFont="1" applyBorder="1" applyProtection="1">
      <alignment vertical="center"/>
    </xf>
    <xf numFmtId="38" fontId="0" fillId="0" borderId="68" xfId="1" applyFont="1" applyBorder="1" applyProtection="1">
      <alignment vertical="center"/>
    </xf>
    <xf numFmtId="38" fontId="0" fillId="0" borderId="83" xfId="1" applyFont="1" applyBorder="1" applyProtection="1">
      <alignment vertical="center"/>
    </xf>
    <xf numFmtId="38" fontId="25" fillId="0" borderId="5" xfId="1" applyFont="1" applyBorder="1" applyProtection="1">
      <alignment vertical="center"/>
    </xf>
    <xf numFmtId="0" fontId="0" fillId="0" borderId="57" xfId="1" applyNumberFormat="1" applyFont="1" applyBorder="1" applyProtection="1">
      <alignment vertical="center"/>
    </xf>
    <xf numFmtId="0" fontId="0" fillId="0" borderId="76" xfId="1" applyNumberFormat="1" applyFont="1" applyBorder="1" applyProtection="1">
      <alignment vertical="center"/>
    </xf>
    <xf numFmtId="0" fontId="0" fillId="0" borderId="56" xfId="1" applyNumberFormat="1" applyFont="1" applyBorder="1" applyProtection="1">
      <alignment vertical="center"/>
    </xf>
    <xf numFmtId="38" fontId="0" fillId="0" borderId="64" xfId="1" applyFont="1" applyBorder="1" applyProtection="1">
      <alignment vertical="center"/>
    </xf>
    <xf numFmtId="38" fontId="0" fillId="0" borderId="62" xfId="1" applyFont="1" applyFill="1" applyBorder="1" applyProtection="1">
      <alignment vertical="center"/>
    </xf>
    <xf numFmtId="38" fontId="0" fillId="0" borderId="24" xfId="1" applyFont="1" applyFill="1" applyBorder="1" applyProtection="1">
      <alignment vertical="center"/>
    </xf>
    <xf numFmtId="38" fontId="0" fillId="0" borderId="22" xfId="1" applyFont="1" applyFill="1" applyBorder="1" applyProtection="1">
      <alignment vertical="center"/>
    </xf>
    <xf numFmtId="38" fontId="25" fillId="0" borderId="66" xfId="1" applyFont="1" applyBorder="1" applyProtection="1">
      <alignment vertical="center"/>
    </xf>
    <xf numFmtId="38" fontId="16" fillId="0" borderId="2" xfId="1" applyFont="1" applyBorder="1" applyAlignment="1" applyProtection="1">
      <alignment horizontal="center" vertical="center" wrapText="1"/>
    </xf>
    <xf numFmtId="38" fontId="26" fillId="0" borderId="26" xfId="1" applyFont="1" applyBorder="1" applyProtection="1">
      <alignment vertical="center"/>
    </xf>
    <xf numFmtId="38" fontId="20" fillId="0" borderId="27" xfId="1" applyFont="1" applyBorder="1" applyProtection="1">
      <alignment vertical="center"/>
    </xf>
    <xf numFmtId="38" fontId="0" fillId="0" borderId="4" xfId="1" applyFont="1" applyBorder="1" applyProtection="1">
      <alignment vertical="center"/>
    </xf>
    <xf numFmtId="38" fontId="0" fillId="0" borderId="0" xfId="1" applyFont="1" applyFill="1" applyProtection="1">
      <alignment vertical="center"/>
    </xf>
    <xf numFmtId="0" fontId="38" fillId="0" borderId="1" xfId="0" applyFont="1" applyBorder="1" applyAlignment="1" applyProtection="1">
      <alignment vertical="center" shrinkToFit="1"/>
    </xf>
    <xf numFmtId="0" fontId="38" fillId="0" borderId="24" xfId="0" applyFont="1" applyBorder="1" applyAlignment="1" applyProtection="1">
      <alignment vertical="center" shrinkToFit="1"/>
    </xf>
    <xf numFmtId="177" fontId="0" fillId="0" borderId="0" xfId="0" applyNumberFormat="1" applyProtection="1">
      <alignment vertical="center"/>
    </xf>
    <xf numFmtId="0" fontId="0" fillId="0" borderId="0" xfId="0" applyAlignment="1" applyProtection="1">
      <alignment horizontal="right" vertical="center"/>
    </xf>
    <xf numFmtId="0" fontId="0" fillId="0" borderId="15" xfId="0" applyBorder="1" applyProtection="1">
      <alignment vertical="center"/>
    </xf>
    <xf numFmtId="0" fontId="22" fillId="0" borderId="15" xfId="0" applyFont="1" applyBorder="1" applyAlignment="1" applyProtection="1">
      <alignment horizontal="right" vertical="center"/>
    </xf>
    <xf numFmtId="177" fontId="0" fillId="0" borderId="64" xfId="0" applyNumberFormat="1" applyBorder="1" applyProtection="1">
      <alignment vertical="center"/>
    </xf>
    <xf numFmtId="38" fontId="46" fillId="0" borderId="0" xfId="1" applyFont="1" applyProtection="1">
      <alignment vertical="center"/>
    </xf>
    <xf numFmtId="38" fontId="45" fillId="0" borderId="0" xfId="1" applyFont="1" applyProtection="1">
      <alignment vertical="center"/>
    </xf>
    <xf numFmtId="38" fontId="46" fillId="0" borderId="0" xfId="1" applyFont="1" applyAlignment="1" applyProtection="1">
      <alignment horizontal="right" vertical="center"/>
    </xf>
    <xf numFmtId="38" fontId="46" fillId="0" borderId="0" xfId="1" applyFont="1" applyAlignment="1" applyProtection="1">
      <alignment horizontal="center" vertical="center"/>
    </xf>
    <xf numFmtId="38" fontId="46" fillId="0" borderId="0" xfId="1" applyFont="1" applyBorder="1" applyAlignment="1" applyProtection="1">
      <alignment horizontal="center" vertical="center"/>
    </xf>
    <xf numFmtId="38" fontId="46" fillId="0" borderId="4" xfId="1" applyFont="1" applyFill="1" applyBorder="1" applyAlignment="1" applyProtection="1">
      <alignment horizontal="center" vertical="center"/>
    </xf>
    <xf numFmtId="38" fontId="46" fillId="0" borderId="5" xfId="1" applyFont="1" applyFill="1" applyBorder="1" applyAlignment="1" applyProtection="1">
      <alignment horizontal="center" vertical="center"/>
    </xf>
    <xf numFmtId="38" fontId="45" fillId="0" borderId="6" xfId="1" applyFont="1" applyBorder="1" applyProtection="1">
      <alignment vertical="center"/>
    </xf>
    <xf numFmtId="38" fontId="46" fillId="0" borderId="34" xfId="1" applyFont="1" applyBorder="1" applyProtection="1">
      <alignment vertical="center"/>
    </xf>
    <xf numFmtId="184" fontId="46" fillId="0" borderId="0" xfId="24" applyNumberFormat="1" applyFont="1" applyBorder="1" applyAlignment="1" applyProtection="1">
      <alignment vertical="center"/>
    </xf>
    <xf numFmtId="184" fontId="46" fillId="0" borderId="7" xfId="24" applyNumberFormat="1" applyFont="1" applyBorder="1" applyAlignment="1" applyProtection="1">
      <alignment vertical="center"/>
    </xf>
    <xf numFmtId="38" fontId="45" fillId="0" borderId="8" xfId="1" applyFont="1" applyBorder="1" applyProtection="1">
      <alignment vertical="center"/>
    </xf>
    <xf numFmtId="38" fontId="46" fillId="0" borderId="0" xfId="1" applyFont="1" applyFill="1" applyProtection="1">
      <alignment vertical="center"/>
    </xf>
    <xf numFmtId="38" fontId="46" fillId="0" borderId="0" xfId="1" applyFont="1" applyFill="1" applyBorder="1" applyAlignment="1" applyProtection="1">
      <alignment horizontal="left" vertical="center"/>
    </xf>
    <xf numFmtId="38" fontId="46" fillId="0" borderId="0" xfId="1" applyFont="1" applyFill="1" applyBorder="1" applyAlignment="1" applyProtection="1">
      <alignment horizontal="left" vertical="center" wrapText="1"/>
    </xf>
    <xf numFmtId="38" fontId="46" fillId="0" borderId="0" xfId="1" applyFont="1" applyFill="1" applyBorder="1" applyAlignment="1" applyProtection="1">
      <alignment horizontal="center" vertical="center"/>
    </xf>
    <xf numFmtId="38" fontId="46" fillId="0" borderId="0" xfId="1" applyFont="1" applyAlignment="1" applyProtection="1">
      <alignment vertical="center"/>
    </xf>
    <xf numFmtId="38" fontId="46" fillId="0" borderId="0" xfId="1" applyFont="1" applyBorder="1" applyAlignment="1" applyProtection="1">
      <alignment horizontal="center" vertical="center" shrinkToFit="1"/>
    </xf>
    <xf numFmtId="0" fontId="46" fillId="0" borderId="0" xfId="0" applyFont="1" applyProtection="1">
      <alignment vertical="center"/>
    </xf>
    <xf numFmtId="0" fontId="46" fillId="0" borderId="0" xfId="0" applyFont="1" applyAlignment="1" applyProtection="1">
      <alignment horizontal="right" vertical="center"/>
    </xf>
    <xf numFmtId="0" fontId="45" fillId="0" borderId="3" xfId="0" applyFont="1" applyBorder="1" applyProtection="1">
      <alignment vertical="center"/>
    </xf>
    <xf numFmtId="0" fontId="45" fillId="0" borderId="4" xfId="0" applyFont="1" applyBorder="1" applyProtection="1">
      <alignment vertical="center"/>
    </xf>
    <xf numFmtId="0" fontId="45" fillId="0" borderId="5" xfId="0" applyFont="1" applyBorder="1" applyProtection="1">
      <alignment vertical="center"/>
    </xf>
    <xf numFmtId="0" fontId="45" fillId="0" borderId="6" xfId="0" applyFont="1" applyBorder="1" applyProtection="1">
      <alignment vertical="center"/>
    </xf>
    <xf numFmtId="0" fontId="45" fillId="0" borderId="8" xfId="0" applyFont="1" applyBorder="1" applyProtection="1">
      <alignment vertical="center"/>
    </xf>
    <xf numFmtId="0" fontId="45" fillId="0" borderId="112" xfId="0" applyFont="1" applyBorder="1" applyAlignment="1" applyProtection="1">
      <alignment horizontal="center" vertical="center"/>
    </xf>
    <xf numFmtId="0" fontId="45" fillId="0" borderId="115" xfId="0" applyFont="1" applyBorder="1" applyAlignment="1" applyProtection="1">
      <alignment horizontal="center" vertical="center"/>
    </xf>
    <xf numFmtId="0" fontId="45" fillId="0" borderId="115" xfId="0" applyFont="1" applyBorder="1" applyAlignment="1" applyProtection="1">
      <alignment vertical="center"/>
    </xf>
    <xf numFmtId="0" fontId="45" fillId="0" borderId="116" xfId="0" applyFont="1" applyBorder="1" applyAlignment="1" applyProtection="1">
      <alignment vertical="center"/>
    </xf>
    <xf numFmtId="0" fontId="49" fillId="0" borderId="117" xfId="0" applyFont="1" applyBorder="1" applyAlignment="1" applyProtection="1">
      <alignment horizontal="center" vertical="center" wrapText="1"/>
    </xf>
    <xf numFmtId="0" fontId="45" fillId="0" borderId="115" xfId="0" applyFont="1" applyBorder="1" applyAlignment="1" applyProtection="1">
      <alignment horizontal="center" vertical="center" wrapText="1"/>
    </xf>
    <xf numFmtId="0" fontId="45" fillId="0" borderId="112" xfId="0" applyFont="1" applyBorder="1" applyProtection="1">
      <alignment vertical="center"/>
    </xf>
    <xf numFmtId="0" fontId="45" fillId="0" borderId="118" xfId="0" applyFont="1" applyBorder="1" applyAlignment="1" applyProtection="1">
      <alignment horizontal="center" vertical="center" wrapText="1"/>
    </xf>
    <xf numFmtId="0" fontId="45" fillId="0" borderId="117" xfId="0" applyFont="1" applyBorder="1" applyAlignment="1" applyProtection="1">
      <alignment horizontal="center" vertical="center"/>
    </xf>
    <xf numFmtId="0" fontId="46" fillId="0" borderId="65" xfId="0" applyFont="1" applyBorder="1" applyAlignment="1" applyProtection="1">
      <alignment horizontal="center" vertical="center"/>
    </xf>
    <xf numFmtId="186" fontId="46" fillId="0" borderId="63" xfId="1" applyNumberFormat="1" applyFont="1" applyFill="1" applyBorder="1" applyAlignment="1" applyProtection="1">
      <alignment horizontal="right" vertical="center" shrinkToFit="1"/>
    </xf>
    <xf numFmtId="187" fontId="46" fillId="0" borderId="44" xfId="0" applyNumberFormat="1" applyFont="1" applyFill="1" applyBorder="1" applyProtection="1">
      <alignment vertical="center"/>
    </xf>
    <xf numFmtId="185" fontId="46" fillId="0" borderId="1" xfId="0" applyNumberFormat="1" applyFont="1" applyFill="1" applyBorder="1" applyProtection="1">
      <alignment vertical="center"/>
    </xf>
    <xf numFmtId="187" fontId="46" fillId="0" borderId="44" xfId="0" applyNumberFormat="1" applyFont="1" applyBorder="1" applyProtection="1">
      <alignment vertical="center"/>
    </xf>
    <xf numFmtId="186" fontId="46" fillId="0" borderId="65" xfId="0" applyNumberFormat="1" applyFont="1" applyFill="1" applyBorder="1" applyProtection="1">
      <alignment vertical="center"/>
    </xf>
    <xf numFmtId="186" fontId="46" fillId="0" borderId="44" xfId="1" applyNumberFormat="1" applyFont="1" applyFill="1" applyBorder="1" applyProtection="1">
      <alignment vertical="center"/>
    </xf>
    <xf numFmtId="186" fontId="46" fillId="0" borderId="65" xfId="1" applyNumberFormat="1" applyFont="1" applyFill="1" applyBorder="1" applyProtection="1">
      <alignment vertical="center"/>
    </xf>
    <xf numFmtId="0" fontId="46" fillId="0" borderId="120" xfId="0" applyFont="1" applyBorder="1" applyAlignment="1" applyProtection="1">
      <alignment horizontal="center" vertical="center"/>
    </xf>
    <xf numFmtId="187" fontId="46" fillId="0" borderId="46" xfId="0" applyNumberFormat="1" applyFont="1" applyFill="1" applyBorder="1" applyProtection="1">
      <alignment vertical="center"/>
    </xf>
    <xf numFmtId="186" fontId="46" fillId="0" borderId="120" xfId="0" applyNumberFormat="1" applyFont="1" applyFill="1" applyBorder="1" applyProtection="1">
      <alignment vertical="center"/>
    </xf>
    <xf numFmtId="186" fontId="46" fillId="0" borderId="120" xfId="1" applyNumberFormat="1" applyFont="1" applyFill="1" applyBorder="1" applyProtection="1">
      <alignment vertical="center"/>
    </xf>
    <xf numFmtId="38" fontId="46" fillId="0" borderId="0" xfId="0" applyNumberFormat="1" applyFont="1" applyProtection="1">
      <alignment vertical="center"/>
    </xf>
    <xf numFmtId="0" fontId="46" fillId="0" borderId="27" xfId="0" applyFont="1" applyBorder="1" applyAlignment="1" applyProtection="1">
      <alignment horizontal="center" vertical="center"/>
    </xf>
    <xf numFmtId="187" fontId="46" fillId="0" borderId="2" xfId="0" applyNumberFormat="1" applyFont="1" applyBorder="1" applyAlignment="1" applyProtection="1">
      <alignment vertical="center"/>
    </xf>
    <xf numFmtId="0" fontId="46" fillId="0" borderId="28" xfId="0" applyFont="1" applyBorder="1" applyAlignment="1" applyProtection="1">
      <alignment vertical="center"/>
    </xf>
    <xf numFmtId="0" fontId="46" fillId="0" borderId="78" xfId="0" applyFont="1" applyBorder="1" applyAlignment="1" applyProtection="1">
      <alignment vertical="center"/>
    </xf>
    <xf numFmtId="187" fontId="46" fillId="0" borderId="26" xfId="0" applyNumberFormat="1" applyFont="1" applyBorder="1" applyAlignment="1" applyProtection="1">
      <alignment vertical="center"/>
    </xf>
    <xf numFmtId="188" fontId="46" fillId="0" borderId="2" xfId="0" applyNumberFormat="1" applyFont="1" applyFill="1" applyBorder="1" applyProtection="1">
      <alignment vertical="center"/>
    </xf>
    <xf numFmtId="186" fontId="46" fillId="0" borderId="28" xfId="0" applyNumberFormat="1" applyFont="1" applyBorder="1" applyProtection="1">
      <alignment vertical="center"/>
    </xf>
    <xf numFmtId="186" fontId="46" fillId="0" borderId="81" xfId="0" applyNumberFormat="1" applyFont="1" applyBorder="1" applyProtection="1">
      <alignment vertical="center"/>
    </xf>
    <xf numFmtId="186" fontId="46" fillId="0" borderId="79" xfId="0" applyNumberFormat="1" applyFont="1" applyBorder="1" applyProtection="1">
      <alignment vertical="center"/>
    </xf>
    <xf numFmtId="186" fontId="46" fillId="0" borderId="2" xfId="0" applyNumberFormat="1" applyFont="1" applyFill="1" applyBorder="1" applyProtection="1">
      <alignment vertical="center"/>
    </xf>
    <xf numFmtId="0" fontId="46" fillId="0" borderId="2" xfId="0" applyFont="1" applyBorder="1" applyAlignment="1" applyProtection="1">
      <alignment vertical="center" wrapText="1"/>
    </xf>
    <xf numFmtId="0" fontId="60" fillId="0" borderId="0" xfId="0" applyFont="1" applyProtection="1">
      <alignment vertical="center"/>
    </xf>
    <xf numFmtId="0" fontId="60" fillId="0" borderId="0" xfId="0" applyFont="1" applyFill="1" applyBorder="1" applyAlignment="1" applyProtection="1">
      <alignment horizontal="left" vertical="center"/>
    </xf>
    <xf numFmtId="177" fontId="19" fillId="0" borderId="0" xfId="3" applyNumberFormat="1" applyFont="1" applyFill="1" applyBorder="1" applyAlignment="1" applyProtection="1">
      <alignment vertical="center" shrinkToFit="1"/>
    </xf>
    <xf numFmtId="0" fontId="9" fillId="2" borderId="1" xfId="0" applyFont="1" applyFill="1" applyBorder="1" applyAlignment="1" applyProtection="1">
      <alignment horizontal="left" vertical="center" wrapText="1" shrinkToFit="1"/>
      <protection locked="0"/>
    </xf>
    <xf numFmtId="0" fontId="7" fillId="0" borderId="0" xfId="0" applyFont="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7" fillId="0" borderId="0" xfId="0" applyFont="1" applyBorder="1" applyAlignment="1" applyProtection="1">
      <alignment horizontal="left" vertical="center"/>
    </xf>
    <xf numFmtId="0" fontId="38" fillId="0" borderId="76" xfId="0" applyFont="1" applyBorder="1" applyAlignment="1" applyProtection="1">
      <alignment vertical="center" shrinkToFit="1"/>
    </xf>
    <xf numFmtId="0" fontId="0" fillId="0" borderId="76" xfId="0" applyNumberFormat="1" applyBorder="1" applyProtection="1">
      <alignment vertical="center"/>
    </xf>
    <xf numFmtId="179" fontId="58" fillId="0" borderId="4" xfId="0" applyNumberFormat="1" applyFont="1" applyFill="1" applyBorder="1" applyAlignment="1" applyProtection="1">
      <alignment vertical="center" wrapText="1"/>
    </xf>
    <xf numFmtId="179" fontId="58" fillId="0" borderId="4" xfId="0" applyNumberFormat="1" applyFont="1" applyFill="1" applyBorder="1" applyAlignment="1" applyProtection="1">
      <alignment vertical="center"/>
    </xf>
    <xf numFmtId="0" fontId="58" fillId="0" borderId="0" xfId="0" applyFont="1" applyFill="1" applyBorder="1" applyAlignment="1" applyProtection="1">
      <alignment vertical="center" shrinkToFit="1"/>
    </xf>
    <xf numFmtId="0" fontId="58" fillId="0" borderId="0" xfId="0" applyFont="1" applyFill="1" applyBorder="1" applyAlignment="1" applyProtection="1">
      <alignment vertical="center" wrapText="1" shrinkToFit="1"/>
      <protection locked="0"/>
    </xf>
    <xf numFmtId="0" fontId="0" fillId="0" borderId="29" xfId="0" applyFill="1" applyBorder="1" applyAlignment="1" applyProtection="1">
      <alignment vertical="center" shrinkToFit="1"/>
    </xf>
    <xf numFmtId="0" fontId="0" fillId="0" borderId="45" xfId="0" applyFill="1" applyBorder="1" applyAlignment="1" applyProtection="1">
      <alignment vertical="center" shrinkToFit="1"/>
    </xf>
    <xf numFmtId="38" fontId="46" fillId="0" borderId="0" xfId="1" applyFont="1" applyAlignment="1" applyProtection="1">
      <alignment horizontal="right" vertical="center"/>
    </xf>
    <xf numFmtId="38" fontId="46" fillId="0" borderId="53" xfId="1" applyFont="1" applyFill="1" applyBorder="1" applyAlignment="1" applyProtection="1">
      <alignment horizontal="right" vertical="center"/>
    </xf>
    <xf numFmtId="38" fontId="46" fillId="0" borderId="30" xfId="1" applyFont="1" applyFill="1" applyBorder="1" applyAlignment="1" applyProtection="1">
      <alignment horizontal="right" vertical="center"/>
    </xf>
    <xf numFmtId="38" fontId="46" fillId="0" borderId="4" xfId="1" applyFont="1" applyFill="1" applyBorder="1" applyAlignment="1" applyProtection="1">
      <alignment horizontal="center" vertical="center"/>
    </xf>
    <xf numFmtId="0" fontId="46" fillId="0" borderId="27" xfId="0" applyFont="1" applyBorder="1" applyAlignment="1" applyProtection="1">
      <alignment horizontal="center" vertical="center"/>
    </xf>
    <xf numFmtId="0" fontId="45" fillId="0" borderId="112" xfId="0" applyFont="1" applyBorder="1" applyAlignment="1" applyProtection="1">
      <alignment horizontal="center" vertical="center"/>
    </xf>
    <xf numFmtId="0" fontId="38" fillId="0" borderId="43" xfId="0" applyFont="1" applyBorder="1" applyAlignment="1" applyProtection="1">
      <alignment vertical="center" shrinkToFit="1"/>
    </xf>
    <xf numFmtId="0" fontId="38" fillId="0" borderId="23" xfId="0" applyFont="1" applyBorder="1" applyAlignment="1" applyProtection="1">
      <alignment vertical="center" shrinkToFit="1"/>
    </xf>
    <xf numFmtId="0" fontId="38" fillId="0" borderId="39" xfId="0" applyFont="1" applyBorder="1" applyAlignment="1" applyProtection="1">
      <alignment vertical="center" shrinkToFit="1"/>
    </xf>
    <xf numFmtId="0" fontId="38" fillId="0" borderId="44" xfId="0" applyFont="1" applyBorder="1" applyAlignment="1" applyProtection="1">
      <alignment vertical="center" shrinkToFit="1"/>
    </xf>
    <xf numFmtId="0" fontId="38" fillId="0" borderId="75" xfId="0" applyFont="1" applyBorder="1" applyAlignment="1" applyProtection="1">
      <alignment vertical="center" shrinkToFit="1"/>
    </xf>
    <xf numFmtId="0" fontId="0" fillId="0" borderId="38" xfId="0" applyFill="1" applyBorder="1" applyAlignment="1" applyProtection="1">
      <alignment vertical="center" shrinkToFit="1"/>
    </xf>
    <xf numFmtId="0" fontId="46" fillId="0" borderId="0" xfId="0" applyFont="1" applyProtection="1">
      <alignment vertical="center"/>
      <protection locked="0"/>
    </xf>
    <xf numFmtId="38" fontId="46" fillId="0" borderId="0" xfId="1" applyFont="1" applyAlignment="1" applyProtection="1">
      <alignment horizontal="center" vertical="center"/>
      <protection locked="0"/>
    </xf>
    <xf numFmtId="0" fontId="0" fillId="0" borderId="1" xfId="0" applyBorder="1" applyAlignment="1" applyProtection="1">
      <alignment horizontal="center" vertical="center"/>
    </xf>
    <xf numFmtId="0" fontId="0" fillId="0" borderId="1" xfId="0" applyBorder="1" applyAlignment="1" applyProtection="1">
      <alignment horizontal="center" vertical="center" shrinkToFit="1"/>
    </xf>
    <xf numFmtId="0" fontId="0" fillId="0" borderId="0" xfId="0" applyBorder="1" applyAlignment="1" applyProtection="1">
      <alignment horizontal="left" vertical="center" shrinkToFit="1"/>
    </xf>
    <xf numFmtId="0" fontId="0" fillId="0" borderId="105" xfId="0" applyFill="1" applyBorder="1" applyAlignment="1" applyProtection="1">
      <alignment vertical="center" shrinkToFit="1"/>
    </xf>
    <xf numFmtId="0" fontId="0" fillId="0" borderId="15" xfId="0" applyFill="1" applyBorder="1" applyAlignment="1" applyProtection="1">
      <alignment vertical="center" shrinkToFit="1"/>
    </xf>
    <xf numFmtId="0" fontId="0" fillId="0" borderId="0" xfId="0" applyFill="1" applyAlignment="1">
      <alignment horizontal="center" vertical="center"/>
    </xf>
    <xf numFmtId="0" fontId="0" fillId="0" borderId="0" xfId="0" applyFill="1">
      <alignment vertical="center"/>
    </xf>
    <xf numFmtId="0" fontId="25" fillId="0" borderId="0" xfId="0" applyFont="1" applyFill="1">
      <alignment vertical="center"/>
    </xf>
    <xf numFmtId="0" fontId="0" fillId="0" borderId="0" xfId="0" applyFill="1" applyAlignment="1">
      <alignment vertical="center"/>
    </xf>
    <xf numFmtId="38" fontId="63" fillId="0" borderId="1" xfId="1" applyFont="1" applyBorder="1" applyAlignment="1" applyProtection="1">
      <alignment horizontal="right" vertical="center"/>
    </xf>
    <xf numFmtId="0" fontId="63" fillId="0" borderId="21" xfId="0" applyFont="1" applyBorder="1" applyAlignment="1" applyProtection="1">
      <alignment horizontal="right" vertical="center"/>
    </xf>
    <xf numFmtId="0" fontId="0" fillId="0" borderId="34" xfId="0" applyBorder="1" applyAlignment="1" applyProtection="1">
      <alignment horizontal="left" vertical="center" shrinkToFit="1"/>
    </xf>
    <xf numFmtId="177" fontId="22" fillId="2" borderId="155" xfId="0" applyNumberFormat="1" applyFont="1" applyFill="1" applyBorder="1" applyProtection="1">
      <alignment vertical="center"/>
      <protection locked="0"/>
    </xf>
    <xf numFmtId="177" fontId="0" fillId="0" borderId="120" xfId="0" applyNumberFormat="1" applyBorder="1" applyProtection="1">
      <alignment vertical="center"/>
    </xf>
    <xf numFmtId="177" fontId="0" fillId="0" borderId="120" xfId="0" applyNumberFormat="1" applyFill="1" applyBorder="1" applyProtection="1">
      <alignment vertical="center"/>
    </xf>
    <xf numFmtId="177" fontId="22" fillId="0" borderId="156" xfId="0" applyNumberFormat="1" applyFont="1" applyBorder="1" applyProtection="1">
      <alignment vertical="center"/>
    </xf>
    <xf numFmtId="179" fontId="58" fillId="0" borderId="0" xfId="0" applyNumberFormat="1" applyFont="1" applyFill="1" applyBorder="1" applyAlignment="1" applyProtection="1">
      <alignment vertical="center" wrapText="1"/>
    </xf>
    <xf numFmtId="179" fontId="58" fillId="0" borderId="0" xfId="0" applyNumberFormat="1" applyFont="1" applyFill="1" applyBorder="1" applyAlignment="1" applyProtection="1">
      <alignment vertical="center"/>
    </xf>
    <xf numFmtId="0" fontId="55" fillId="0" borderId="4" xfId="0" applyFont="1" applyFill="1" applyBorder="1" applyAlignment="1" applyProtection="1">
      <alignment vertical="center"/>
      <protection locked="0"/>
    </xf>
    <xf numFmtId="0" fontId="16" fillId="0" borderId="21" xfId="0" applyFont="1" applyBorder="1" applyProtection="1">
      <alignment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10" xfId="0" applyBorder="1">
      <alignment vertical="center"/>
    </xf>
    <xf numFmtId="0" fontId="9" fillId="9" borderId="1" xfId="23" applyFont="1" applyFill="1" applyBorder="1" applyAlignment="1" applyProtection="1">
      <alignment horizontal="center" vertical="center" shrinkToFit="1"/>
      <protection locked="0"/>
    </xf>
    <xf numFmtId="0" fontId="9" fillId="9" borderId="21" xfId="23" applyFont="1" applyFill="1" applyBorder="1" applyAlignment="1" applyProtection="1">
      <alignment horizontal="center" vertical="center" shrinkToFit="1"/>
      <protection locked="0"/>
    </xf>
    <xf numFmtId="0" fontId="9" fillId="9" borderId="15" xfId="0" applyFont="1" applyFill="1" applyBorder="1" applyAlignment="1" applyProtection="1">
      <alignment horizontal="left" vertical="center" wrapText="1" shrinkToFit="1"/>
      <protection locked="0"/>
    </xf>
    <xf numFmtId="0" fontId="9" fillId="9" borderId="1" xfId="0" applyFont="1" applyFill="1" applyBorder="1" applyAlignment="1" applyProtection="1">
      <alignment horizontal="left" vertical="center" wrapText="1" shrinkToFit="1"/>
      <protection locked="0"/>
    </xf>
    <xf numFmtId="181" fontId="9" fillId="9" borderId="89" xfId="0" applyNumberFormat="1" applyFont="1" applyFill="1" applyBorder="1" applyAlignment="1" applyProtection="1">
      <alignment vertical="center" wrapText="1"/>
      <protection locked="0"/>
    </xf>
    <xf numFmtId="0" fontId="9" fillId="9" borderId="126" xfId="0" applyFont="1" applyFill="1" applyBorder="1" applyAlignment="1" applyProtection="1">
      <alignment horizontal="left" vertical="center" wrapText="1"/>
      <protection locked="0"/>
    </xf>
    <xf numFmtId="0" fontId="9" fillId="9" borderId="121" xfId="0" applyFont="1" applyFill="1" applyBorder="1" applyAlignment="1" applyProtection="1">
      <alignment horizontal="center" vertical="center" wrapText="1"/>
      <protection locked="0"/>
    </xf>
    <xf numFmtId="181" fontId="9" fillId="9" borderId="86" xfId="0" applyNumberFormat="1" applyFont="1" applyFill="1" applyBorder="1" applyAlignment="1" applyProtection="1">
      <alignment vertical="center" wrapText="1"/>
      <protection locked="0"/>
    </xf>
    <xf numFmtId="0" fontId="9" fillId="9" borderId="131" xfId="0" applyFont="1" applyFill="1" applyBorder="1" applyAlignment="1" applyProtection="1">
      <alignment horizontal="left" vertical="center" wrapText="1"/>
      <protection locked="0"/>
    </xf>
    <xf numFmtId="0" fontId="9" fillId="9" borderId="122" xfId="0" applyFont="1" applyFill="1" applyBorder="1" applyAlignment="1" applyProtection="1">
      <alignment horizontal="center" vertical="center" wrapText="1"/>
      <protection locked="0"/>
    </xf>
    <xf numFmtId="181" fontId="9" fillId="9" borderId="90" xfId="0" applyNumberFormat="1" applyFont="1" applyFill="1" applyBorder="1" applyAlignment="1" applyProtection="1">
      <alignment vertical="center" wrapText="1"/>
      <protection locked="0"/>
    </xf>
    <xf numFmtId="0" fontId="9" fillId="9" borderId="132" xfId="0" applyFont="1" applyFill="1" applyBorder="1" applyAlignment="1" applyProtection="1">
      <alignment horizontal="left" vertical="center" wrapText="1"/>
      <protection locked="0"/>
    </xf>
    <xf numFmtId="0" fontId="9" fillId="9" borderId="103" xfId="0" applyFont="1" applyFill="1" applyBorder="1" applyAlignment="1" applyProtection="1">
      <alignment horizontal="center" vertical="center" wrapText="1"/>
      <protection locked="0"/>
    </xf>
    <xf numFmtId="0" fontId="9" fillId="9" borderId="89" xfId="0" applyFont="1" applyFill="1" applyBorder="1" applyAlignment="1" applyProtection="1">
      <alignment horizontal="left" vertical="center" wrapText="1"/>
      <protection locked="0"/>
    </xf>
    <xf numFmtId="0" fontId="9" fillId="9" borderId="57" xfId="0" applyFont="1" applyFill="1" applyBorder="1" applyAlignment="1" applyProtection="1">
      <alignment horizontal="left" vertical="center" wrapText="1"/>
      <protection locked="0"/>
    </xf>
    <xf numFmtId="0" fontId="9" fillId="9" borderId="86" xfId="0" applyFont="1" applyFill="1" applyBorder="1" applyAlignment="1" applyProtection="1">
      <alignment horizontal="left" vertical="center" wrapText="1"/>
      <protection locked="0"/>
    </xf>
    <xf numFmtId="0" fontId="9" fillId="9" borderId="122" xfId="0" applyFont="1" applyFill="1" applyBorder="1" applyAlignment="1" applyProtection="1">
      <alignment horizontal="left" vertical="center" wrapText="1"/>
      <protection locked="0"/>
    </xf>
    <xf numFmtId="0" fontId="9" fillId="9" borderId="140" xfId="0" applyFont="1" applyFill="1" applyBorder="1" applyAlignment="1" applyProtection="1">
      <alignment horizontal="left" vertical="center" wrapText="1"/>
      <protection locked="0"/>
    </xf>
    <xf numFmtId="0" fontId="9" fillId="9" borderId="88" xfId="0" applyFont="1" applyFill="1" applyBorder="1" applyAlignment="1" applyProtection="1">
      <alignment horizontal="left" vertical="center" wrapText="1"/>
      <protection locked="0"/>
    </xf>
    <xf numFmtId="0" fontId="9" fillId="9" borderId="35" xfId="0" applyFont="1" applyFill="1" applyBorder="1" applyAlignment="1" applyProtection="1">
      <alignment horizontal="left" vertical="center" wrapText="1"/>
      <protection locked="0"/>
    </xf>
    <xf numFmtId="0" fontId="27" fillId="9" borderId="23" xfId="0" applyFont="1" applyFill="1" applyBorder="1" applyAlignment="1" applyProtection="1">
      <alignment vertical="center" shrinkToFit="1"/>
      <protection locked="0"/>
    </xf>
    <xf numFmtId="0" fontId="27" fillId="9" borderId="1" xfId="0" applyFont="1" applyFill="1" applyBorder="1" applyAlignment="1" applyProtection="1">
      <alignment vertical="center" shrinkToFit="1"/>
      <protection locked="0"/>
    </xf>
    <xf numFmtId="0" fontId="16" fillId="9" borderId="11" xfId="0" applyFont="1" applyFill="1" applyBorder="1" applyAlignment="1" applyProtection="1">
      <alignment vertical="center" shrinkToFit="1"/>
      <protection locked="0"/>
    </xf>
    <xf numFmtId="0" fontId="16" fillId="9" borderId="14" xfId="0" applyFont="1" applyFill="1" applyBorder="1" applyAlignment="1" applyProtection="1">
      <alignment vertical="center" shrinkToFit="1"/>
      <protection locked="0"/>
    </xf>
    <xf numFmtId="0" fontId="16" fillId="9" borderId="17" xfId="0" applyFont="1" applyFill="1" applyBorder="1" applyAlignment="1" applyProtection="1">
      <alignment vertical="center" shrinkToFit="1"/>
      <protection locked="0"/>
    </xf>
    <xf numFmtId="0" fontId="16" fillId="9" borderId="20" xfId="0" applyFont="1" applyFill="1" applyBorder="1" applyAlignment="1" applyProtection="1">
      <alignment vertical="center" shrinkToFit="1"/>
      <protection locked="0"/>
    </xf>
    <xf numFmtId="0" fontId="16" fillId="9" borderId="21" xfId="0" applyFont="1" applyFill="1" applyBorder="1" applyAlignment="1" applyProtection="1">
      <alignment vertical="center" shrinkToFit="1"/>
      <protection locked="0"/>
    </xf>
    <xf numFmtId="0" fontId="16" fillId="9" borderId="22" xfId="0" applyFont="1" applyFill="1" applyBorder="1" applyAlignment="1" applyProtection="1">
      <alignment vertical="center" shrinkToFit="1"/>
      <protection locked="0"/>
    </xf>
    <xf numFmtId="0" fontId="34" fillId="0" borderId="72" xfId="0" applyFont="1" applyFill="1" applyBorder="1" applyAlignment="1" applyProtection="1">
      <alignment horizontal="left" vertical="center" wrapText="1" shrinkToFit="1"/>
    </xf>
    <xf numFmtId="0" fontId="35" fillId="0" borderId="67" xfId="0" applyFont="1" applyFill="1" applyBorder="1" applyAlignment="1" applyProtection="1">
      <alignment horizontal="left" vertical="center" wrapText="1" shrinkToFit="1"/>
    </xf>
    <xf numFmtId="179" fontId="34" fillId="0" borderId="67" xfId="0" applyNumberFormat="1" applyFont="1" applyFill="1" applyBorder="1" applyAlignment="1" applyProtection="1">
      <alignment horizontal="left" vertical="center" wrapText="1" shrinkToFit="1"/>
    </xf>
    <xf numFmtId="0" fontId="34" fillId="0" borderId="31" xfId="0" applyFont="1" applyBorder="1" applyAlignment="1" applyProtection="1">
      <alignment horizontal="left" vertical="center" wrapText="1" shrinkToFit="1"/>
    </xf>
    <xf numFmtId="0" fontId="36" fillId="0" borderId="72" xfId="0" applyFont="1" applyBorder="1" applyAlignment="1" applyProtection="1">
      <alignment horizontal="left" vertical="center" wrapText="1" shrinkToFit="1"/>
    </xf>
    <xf numFmtId="0" fontId="36" fillId="0" borderId="67" xfId="0" applyNumberFormat="1" applyFont="1" applyBorder="1" applyAlignment="1" applyProtection="1">
      <alignment horizontal="left" vertical="center" wrapText="1" shrinkToFit="1"/>
    </xf>
    <xf numFmtId="0" fontId="36" fillId="0" borderId="74" xfId="0" applyNumberFormat="1" applyFont="1" applyBorder="1" applyAlignment="1" applyProtection="1">
      <alignment horizontal="left" vertical="center" wrapText="1" shrinkToFit="1"/>
    </xf>
    <xf numFmtId="179" fontId="34" fillId="0" borderId="33" xfId="0" applyNumberFormat="1" applyFont="1" applyBorder="1" applyAlignment="1" applyProtection="1">
      <alignment horizontal="left" vertical="center" wrapText="1" shrinkToFit="1"/>
    </xf>
    <xf numFmtId="0" fontId="34" fillId="0" borderId="72" xfId="0" applyFont="1" applyBorder="1" applyAlignment="1" applyProtection="1">
      <alignment vertical="center" wrapText="1" shrinkToFit="1"/>
    </xf>
    <xf numFmtId="0" fontId="34" fillId="0" borderId="67" xfId="0" applyFont="1" applyBorder="1" applyAlignment="1" applyProtection="1">
      <alignment vertical="center" wrapText="1" shrinkToFit="1"/>
    </xf>
    <xf numFmtId="0" fontId="34" fillId="0" borderId="74" xfId="0" applyFont="1" applyBorder="1" applyAlignment="1" applyProtection="1">
      <alignment vertical="center" wrapText="1" shrinkToFit="1"/>
    </xf>
    <xf numFmtId="0" fontId="33" fillId="0" borderId="52" xfId="0" applyFont="1" applyBorder="1" applyAlignment="1" applyProtection="1">
      <alignment horizontal="left" vertical="center" wrapText="1" shrinkToFit="1"/>
    </xf>
    <xf numFmtId="0" fontId="33" fillId="0" borderId="140" xfId="0" applyFont="1" applyFill="1" applyBorder="1" applyAlignment="1" applyProtection="1">
      <alignment horizontal="left" vertical="center" shrinkToFit="1"/>
    </xf>
    <xf numFmtId="0" fontId="33" fillId="0" borderId="32" xfId="0" applyFont="1" applyFill="1" applyBorder="1" applyAlignment="1" applyProtection="1">
      <alignment horizontal="left" vertical="center" shrinkToFit="1"/>
    </xf>
    <xf numFmtId="0" fontId="33" fillId="0" borderId="31" xfId="0" applyFont="1" applyBorder="1" applyAlignment="1" applyProtection="1">
      <alignment horizontal="left" vertical="center" shrinkToFit="1"/>
    </xf>
    <xf numFmtId="0" fontId="46" fillId="9" borderId="65" xfId="0" applyFont="1" applyFill="1" applyBorder="1" applyAlignment="1" applyProtection="1">
      <alignment horizontal="center" vertical="center" shrinkToFit="1"/>
      <protection locked="0"/>
    </xf>
    <xf numFmtId="0" fontId="46" fillId="9" borderId="65" xfId="0" applyFont="1" applyFill="1" applyBorder="1" applyAlignment="1" applyProtection="1">
      <alignment horizontal="center" vertical="center"/>
      <protection locked="0"/>
    </xf>
    <xf numFmtId="0" fontId="46" fillId="9" borderId="120" xfId="0" applyFont="1" applyFill="1" applyBorder="1" applyAlignment="1" applyProtection="1">
      <alignment horizontal="center" vertical="center"/>
      <protection locked="0"/>
    </xf>
    <xf numFmtId="199" fontId="46" fillId="2" borderId="65" xfId="0" applyNumberFormat="1" applyFont="1" applyFill="1" applyBorder="1" applyAlignment="1" applyProtection="1">
      <alignment horizontal="center" vertical="center" shrinkToFit="1"/>
      <protection locked="0"/>
    </xf>
    <xf numFmtId="199" fontId="46" fillId="2" borderId="65" xfId="0" applyNumberFormat="1" applyFont="1" applyFill="1" applyBorder="1" applyAlignment="1" applyProtection="1">
      <alignment horizontal="center" vertical="center"/>
      <protection locked="0"/>
    </xf>
    <xf numFmtId="199" fontId="46" fillId="2" borderId="65" xfId="0" applyNumberFormat="1" applyFont="1" applyFill="1" applyBorder="1" applyAlignment="1" applyProtection="1">
      <alignment vertical="center" wrapText="1"/>
      <protection locked="0"/>
    </xf>
    <xf numFmtId="0" fontId="23" fillId="0" borderId="0" xfId="0" applyFont="1" applyProtection="1">
      <alignment vertical="center"/>
    </xf>
    <xf numFmtId="0" fontId="23" fillId="0" borderId="0" xfId="0" applyFont="1" applyAlignment="1" applyProtection="1">
      <alignment horizontal="right" vertical="center"/>
    </xf>
    <xf numFmtId="0" fontId="31" fillId="0" borderId="0" xfId="0" applyFont="1" applyBorder="1" applyAlignment="1" applyProtection="1">
      <alignment vertical="top"/>
      <protection locked="0"/>
    </xf>
    <xf numFmtId="0" fontId="31" fillId="0" borderId="0" xfId="0" applyFont="1" applyBorder="1" applyAlignment="1" applyProtection="1">
      <alignment vertical="top" wrapText="1"/>
      <protection locked="0"/>
    </xf>
    <xf numFmtId="180" fontId="0" fillId="0" borderId="0" xfId="0" applyNumberFormat="1" applyFill="1" applyBorder="1" applyProtection="1">
      <alignment vertical="center"/>
    </xf>
    <xf numFmtId="180" fontId="28" fillId="0" borderId="0" xfId="0" applyNumberFormat="1" applyFont="1" applyFill="1" applyBorder="1" applyAlignment="1" applyProtection="1">
      <alignment vertical="center" shrinkToFit="1"/>
    </xf>
    <xf numFmtId="0" fontId="28" fillId="0" borderId="0" xfId="0" applyFont="1" applyFill="1" applyAlignment="1" applyProtection="1">
      <alignment vertical="center" shrinkToFit="1"/>
    </xf>
    <xf numFmtId="180" fontId="0" fillId="0" borderId="7" xfId="0" applyNumberFormat="1" applyFill="1" applyBorder="1" applyProtection="1">
      <alignment vertical="center"/>
    </xf>
    <xf numFmtId="0" fontId="66" fillId="5" borderId="0" xfId="0" applyFont="1" applyFill="1" applyProtection="1">
      <alignment vertical="center"/>
    </xf>
    <xf numFmtId="0" fontId="16" fillId="5" borderId="0" xfId="0" applyFont="1" applyFill="1" applyAlignment="1" applyProtection="1">
      <alignment vertical="center" shrinkToFit="1"/>
    </xf>
    <xf numFmtId="0" fontId="0" fillId="0" borderId="29" xfId="0" applyFill="1" applyBorder="1" applyAlignment="1" applyProtection="1">
      <alignment vertical="center" wrapText="1"/>
    </xf>
    <xf numFmtId="38" fontId="3" fillId="0" borderId="77" xfId="1" applyFont="1" applyFill="1" applyBorder="1" applyProtection="1">
      <alignment vertical="center"/>
    </xf>
    <xf numFmtId="0" fontId="0" fillId="0" borderId="4" xfId="0" applyFill="1" applyBorder="1" applyAlignment="1" applyProtection="1">
      <alignment vertical="center" wrapText="1"/>
    </xf>
    <xf numFmtId="38" fontId="3" fillId="0" borderId="4" xfId="1" applyFont="1" applyFill="1" applyBorder="1" applyProtection="1">
      <alignment vertical="center"/>
    </xf>
    <xf numFmtId="0" fontId="0" fillId="0" borderId="0" xfId="0" applyFill="1" applyBorder="1" applyAlignment="1" applyProtection="1">
      <alignment vertical="center" wrapText="1"/>
    </xf>
    <xf numFmtId="38" fontId="2" fillId="0" borderId="0" xfId="1" applyFont="1" applyFill="1" applyBorder="1" applyProtection="1">
      <alignment vertical="center"/>
    </xf>
    <xf numFmtId="179" fontId="0" fillId="0" borderId="6" xfId="0" applyNumberFormat="1" applyFill="1" applyBorder="1" applyAlignment="1" applyProtection="1">
      <alignment vertical="center" wrapText="1" shrinkToFit="1"/>
    </xf>
    <xf numFmtId="0" fontId="4" fillId="0" borderId="0" xfId="0" applyNumberFormat="1" applyFont="1" applyFill="1" applyBorder="1" applyProtection="1">
      <alignment vertical="center"/>
    </xf>
    <xf numFmtId="180" fontId="0" fillId="0" borderId="0" xfId="0" applyNumberFormat="1" applyFont="1" applyFill="1" applyBorder="1" applyProtection="1">
      <alignment vertical="center"/>
    </xf>
    <xf numFmtId="0" fontId="55" fillId="0" borderId="0" xfId="0" applyFont="1" applyFill="1" applyBorder="1" applyAlignment="1" applyProtection="1">
      <alignment vertical="center"/>
      <protection locked="0"/>
    </xf>
    <xf numFmtId="0" fontId="9" fillId="2" borderId="1" xfId="23" applyFont="1" applyFill="1" applyBorder="1" applyAlignment="1" applyProtection="1">
      <alignment horizontal="center" vertical="center" shrinkToFit="1"/>
      <protection locked="0"/>
    </xf>
    <xf numFmtId="179" fontId="41" fillId="0" borderId="0" xfId="0" applyNumberFormat="1" applyFont="1" applyFill="1" applyBorder="1" applyAlignment="1" applyProtection="1">
      <alignment horizontal="center" vertical="center"/>
    </xf>
    <xf numFmtId="0" fontId="29" fillId="0" borderId="0" xfId="0" applyFont="1" applyAlignment="1">
      <alignment vertical="center" shrinkToFit="1"/>
    </xf>
    <xf numFmtId="0" fontId="38" fillId="0" borderId="73" xfId="0" applyFont="1" applyBorder="1" applyAlignment="1" applyProtection="1">
      <alignment vertical="center" shrinkToFit="1"/>
    </xf>
    <xf numFmtId="0" fontId="9" fillId="2" borderId="21" xfId="23" applyFont="1" applyFill="1" applyBorder="1" applyAlignment="1" applyProtection="1">
      <alignment horizontal="center" vertical="center" shrinkToFit="1"/>
      <protection locked="0"/>
    </xf>
    <xf numFmtId="0" fontId="9" fillId="2" borderId="15" xfId="23" applyFont="1" applyFill="1" applyBorder="1" applyAlignment="1" applyProtection="1">
      <alignment horizontal="center" vertical="center" shrinkToFit="1"/>
      <protection locked="0"/>
    </xf>
    <xf numFmtId="0" fontId="9" fillId="2" borderId="47" xfId="23" applyFont="1" applyFill="1" applyBorder="1" applyAlignment="1" applyProtection="1">
      <alignment horizontal="center" vertical="center" shrinkToFit="1"/>
      <protection locked="0"/>
    </xf>
    <xf numFmtId="0" fontId="9" fillId="0" borderId="1" xfId="23" applyFont="1" applyFill="1" applyBorder="1" applyAlignment="1" applyProtection="1">
      <alignment horizontal="center" vertical="center" shrinkToFit="1"/>
      <protection locked="0"/>
    </xf>
    <xf numFmtId="0" fontId="9" fillId="9" borderId="1" xfId="0" applyFont="1" applyFill="1" applyBorder="1" applyAlignment="1" applyProtection="1">
      <alignment horizontal="left" vertical="center" wrapText="1" shrinkToFit="1"/>
      <protection locked="0"/>
    </xf>
    <xf numFmtId="0" fontId="70" fillId="0" borderId="0" xfId="23" applyFont="1" applyAlignment="1" applyProtection="1">
      <alignment vertical="center"/>
      <protection locked="0"/>
    </xf>
    <xf numFmtId="0" fontId="70" fillId="0" borderId="0" xfId="23" applyFont="1" applyAlignment="1" applyProtection="1">
      <alignment vertical="center" shrinkToFit="1"/>
      <protection locked="0"/>
    </xf>
    <xf numFmtId="177" fontId="70" fillId="0" borderId="0" xfId="23" applyNumberFormat="1" applyFont="1" applyAlignment="1" applyProtection="1">
      <alignment vertical="center"/>
      <protection locked="0"/>
    </xf>
    <xf numFmtId="0" fontId="70" fillId="0" borderId="0" xfId="23" applyFont="1" applyBorder="1" applyAlignment="1" applyProtection="1">
      <alignment vertical="center"/>
      <protection locked="0"/>
    </xf>
    <xf numFmtId="0" fontId="70" fillId="0" borderId="0" xfId="23" applyFont="1" applyFill="1" applyAlignment="1" applyProtection="1">
      <alignment horizontal="center" vertical="center"/>
      <protection locked="0"/>
    </xf>
    <xf numFmtId="0" fontId="70" fillId="0" borderId="0" xfId="23" applyFont="1" applyFill="1" applyBorder="1" applyAlignment="1" applyProtection="1">
      <alignment horizontal="center" vertical="center"/>
      <protection locked="0"/>
    </xf>
    <xf numFmtId="0" fontId="70" fillId="0" borderId="0" xfId="23" applyFont="1" applyBorder="1" applyAlignment="1" applyProtection="1">
      <alignment horizontal="center" vertical="center"/>
      <protection locked="0"/>
    </xf>
    <xf numFmtId="0" fontId="70" fillId="0" borderId="0" xfId="23" applyFont="1" applyAlignment="1" applyProtection="1">
      <alignment horizontal="center" vertical="center"/>
      <protection locked="0"/>
    </xf>
    <xf numFmtId="178" fontId="70" fillId="0" borderId="0" xfId="23" applyNumberFormat="1" applyFont="1" applyFill="1" applyAlignment="1" applyProtection="1">
      <alignment vertical="center"/>
      <protection locked="0"/>
    </xf>
    <xf numFmtId="0" fontId="70" fillId="0" borderId="0" xfId="23" applyFont="1" applyFill="1" applyBorder="1" applyAlignment="1" applyProtection="1">
      <alignment vertical="center"/>
      <protection locked="0"/>
    </xf>
    <xf numFmtId="0" fontId="70" fillId="0" borderId="0" xfId="23" applyFont="1" applyFill="1" applyAlignment="1" applyProtection="1">
      <alignment vertical="center"/>
      <protection locked="0"/>
    </xf>
    <xf numFmtId="177" fontId="9" fillId="0" borderId="0" xfId="23" applyNumberFormat="1" applyFont="1" applyAlignment="1" applyProtection="1">
      <alignment vertical="center"/>
      <protection locked="0"/>
    </xf>
    <xf numFmtId="177" fontId="9" fillId="0" borderId="1" xfId="23" applyNumberFormat="1" applyFont="1" applyFill="1" applyBorder="1" applyAlignment="1" applyProtection="1">
      <alignment vertical="center"/>
      <protection locked="0"/>
    </xf>
    <xf numFmtId="177" fontId="9" fillId="0" borderId="47" xfId="23" applyNumberFormat="1" applyFont="1" applyFill="1" applyBorder="1" applyAlignment="1" applyProtection="1">
      <alignment vertical="center"/>
      <protection locked="0"/>
    </xf>
    <xf numFmtId="177" fontId="9" fillId="0" borderId="2" xfId="23" applyNumberFormat="1" applyFont="1" applyFill="1" applyBorder="1" applyAlignment="1" applyProtection="1">
      <alignment vertical="center"/>
    </xf>
    <xf numFmtId="177" fontId="9" fillId="0" borderId="27" xfId="23" applyNumberFormat="1" applyFont="1" applyFill="1" applyBorder="1" applyAlignment="1" applyProtection="1">
      <alignment vertical="center"/>
    </xf>
    <xf numFmtId="0" fontId="68" fillId="0" borderId="43" xfId="0" applyFont="1" applyFill="1" applyBorder="1" applyAlignment="1" applyProtection="1">
      <alignment horizontal="center" vertical="center" wrapText="1"/>
    </xf>
    <xf numFmtId="0" fontId="33" fillId="0" borderId="11" xfId="0" applyFont="1" applyFill="1" applyBorder="1" applyAlignment="1" applyProtection="1">
      <alignment vertical="center"/>
    </xf>
    <xf numFmtId="0" fontId="33" fillId="0" borderId="12" xfId="0" applyFont="1" applyFill="1" applyBorder="1" applyAlignment="1" applyProtection="1">
      <alignment vertical="center"/>
    </xf>
    <xf numFmtId="0" fontId="33" fillId="0" borderId="13" xfId="0" applyFont="1" applyFill="1" applyBorder="1" applyAlignment="1" applyProtection="1">
      <alignment vertical="center"/>
    </xf>
    <xf numFmtId="0" fontId="3" fillId="0" borderId="0" xfId="0" applyFont="1">
      <alignment vertical="center"/>
    </xf>
    <xf numFmtId="0" fontId="9" fillId="0" borderId="0" xfId="0" applyFont="1">
      <alignment vertical="center"/>
    </xf>
    <xf numFmtId="0" fontId="3" fillId="0" borderId="31" xfId="0" applyFont="1" applyBorder="1">
      <alignment vertical="center"/>
    </xf>
    <xf numFmtId="0" fontId="3" fillId="0" borderId="32" xfId="0" applyFont="1" applyBorder="1">
      <alignment vertical="center"/>
    </xf>
    <xf numFmtId="0" fontId="3" fillId="0" borderId="33" xfId="0" applyFont="1" applyBorder="1">
      <alignment vertical="center"/>
    </xf>
    <xf numFmtId="0" fontId="3" fillId="0" borderId="34" xfId="0" applyFont="1" applyBorder="1">
      <alignment vertical="center"/>
    </xf>
    <xf numFmtId="0" fontId="3" fillId="0" borderId="30" xfId="0" applyFont="1" applyBorder="1">
      <alignment vertical="center"/>
    </xf>
    <xf numFmtId="0" fontId="3" fillId="0" borderId="35" xfId="0" applyFont="1" applyBorder="1">
      <alignment vertical="center"/>
    </xf>
    <xf numFmtId="0" fontId="9" fillId="2" borderId="0" xfId="0" applyFont="1" applyFill="1" applyProtection="1">
      <alignment vertical="center"/>
      <protection locked="0"/>
    </xf>
    <xf numFmtId="0" fontId="9" fillId="2" borderId="35" xfId="0" applyFont="1" applyFill="1" applyBorder="1" applyProtection="1">
      <alignment vertical="center"/>
      <protection locked="0"/>
    </xf>
    <xf numFmtId="0" fontId="3" fillId="0" borderId="36" xfId="0" applyFont="1" applyBorder="1">
      <alignment vertical="center"/>
    </xf>
    <xf numFmtId="0" fontId="9" fillId="2" borderId="30" xfId="0" applyFont="1" applyFill="1" applyBorder="1" applyProtection="1">
      <alignment vertical="center"/>
      <protection locked="0"/>
    </xf>
    <xf numFmtId="0" fontId="9" fillId="2" borderId="37" xfId="0" applyFont="1" applyFill="1" applyBorder="1" applyProtection="1">
      <alignment vertical="center"/>
      <protection locked="0"/>
    </xf>
    <xf numFmtId="0" fontId="3" fillId="0" borderId="91" xfId="0" applyFont="1" applyBorder="1" applyAlignment="1">
      <alignment vertical="center" textRotation="255"/>
    </xf>
    <xf numFmtId="0" fontId="56" fillId="0" borderId="0" xfId="0" applyFont="1">
      <alignment vertical="center"/>
    </xf>
    <xf numFmtId="0" fontId="29" fillId="0" borderId="69" xfId="15" applyFont="1" applyBorder="1" applyAlignment="1">
      <alignment vertical="center" shrinkToFit="1"/>
    </xf>
    <xf numFmtId="0" fontId="29" fillId="0" borderId="70" xfId="15" applyFont="1" applyBorder="1" applyAlignment="1">
      <alignment vertical="center" shrinkToFit="1"/>
    </xf>
    <xf numFmtId="0" fontId="29" fillId="0" borderId="71" xfId="15" applyFont="1" applyBorder="1" applyAlignment="1">
      <alignment vertical="center" shrinkToFit="1"/>
    </xf>
    <xf numFmtId="0" fontId="29" fillId="0" borderId="67" xfId="15" applyFont="1" applyBorder="1" applyAlignment="1">
      <alignment vertical="center" shrinkToFit="1"/>
    </xf>
    <xf numFmtId="0" fontId="29" fillId="0" borderId="1" xfId="15" applyFont="1" applyBorder="1" applyAlignment="1">
      <alignment horizontal="left" vertical="center" shrinkToFit="1"/>
    </xf>
    <xf numFmtId="0" fontId="29" fillId="0" borderId="1" xfId="15" applyFont="1" applyBorder="1" applyAlignment="1">
      <alignment horizontal="left" vertical="center" wrapText="1" shrinkToFit="1"/>
    </xf>
    <xf numFmtId="0" fontId="13" fillId="0" borderId="0" xfId="15" applyFont="1" applyAlignment="1">
      <alignment vertical="center" shrinkToFit="1"/>
    </xf>
    <xf numFmtId="179" fontId="0" fillId="5" borderId="1" xfId="0" applyNumberFormat="1" applyFill="1" applyBorder="1" applyProtection="1">
      <alignment vertical="center"/>
      <protection locked="0"/>
    </xf>
    <xf numFmtId="0" fontId="16" fillId="9" borderId="53" xfId="0" applyFont="1" applyFill="1" applyBorder="1" applyAlignment="1" applyProtection="1">
      <alignment vertical="center" shrinkToFit="1"/>
      <protection locked="0"/>
    </xf>
    <xf numFmtId="0" fontId="16" fillId="9" borderId="36" xfId="0" applyFont="1" applyFill="1" applyBorder="1" applyAlignment="1" applyProtection="1">
      <alignment vertical="center" shrinkToFit="1"/>
      <protection locked="0"/>
    </xf>
    <xf numFmtId="0" fontId="16" fillId="9" borderId="85" xfId="0" applyFont="1" applyFill="1" applyBorder="1" applyAlignment="1" applyProtection="1">
      <alignment vertical="center" shrinkToFit="1"/>
      <protection locked="0"/>
    </xf>
    <xf numFmtId="0" fontId="16" fillId="0" borderId="122" xfId="0" applyFont="1" applyFill="1" applyBorder="1" applyAlignment="1" applyProtection="1">
      <alignment vertical="center" shrinkToFit="1"/>
    </xf>
    <xf numFmtId="0" fontId="16" fillId="0" borderId="15" xfId="0" applyFont="1" applyFill="1" applyBorder="1" applyAlignment="1" applyProtection="1">
      <alignment vertical="center" shrinkToFit="1"/>
    </xf>
    <xf numFmtId="0" fontId="16" fillId="9" borderId="86" xfId="0" applyFont="1" applyFill="1" applyBorder="1" applyAlignment="1" applyProtection="1">
      <alignment vertical="center" shrinkToFit="1"/>
      <protection locked="0"/>
    </xf>
    <xf numFmtId="0" fontId="16" fillId="9" borderId="88" xfId="0" applyFont="1" applyFill="1" applyBorder="1" applyAlignment="1" applyProtection="1">
      <alignment vertical="center" shrinkToFit="1"/>
      <protection locked="0"/>
    </xf>
    <xf numFmtId="0" fontId="16" fillId="9" borderId="6" xfId="0" applyFont="1" applyFill="1" applyBorder="1" applyAlignment="1" applyProtection="1">
      <alignment vertical="center" shrinkToFit="1"/>
      <protection locked="0"/>
    </xf>
    <xf numFmtId="0" fontId="16" fillId="0" borderId="163" xfId="0" applyFont="1" applyFill="1" applyBorder="1" applyAlignment="1" applyProtection="1">
      <alignment vertical="center" shrinkToFit="1"/>
    </xf>
    <xf numFmtId="0" fontId="16" fillId="0" borderId="0" xfId="0" applyFont="1" applyFill="1" applyBorder="1" applyAlignment="1" applyProtection="1">
      <alignment vertical="center" shrinkToFit="1"/>
    </xf>
    <xf numFmtId="0" fontId="16" fillId="9" borderId="34" xfId="0" applyFont="1" applyFill="1" applyBorder="1" applyAlignment="1" applyProtection="1">
      <alignment vertical="center" shrinkToFit="1"/>
      <protection locked="0"/>
    </xf>
    <xf numFmtId="0" fontId="16" fillId="9" borderId="52" xfId="0" applyFont="1" applyFill="1" applyBorder="1" applyAlignment="1" applyProtection="1">
      <alignment vertical="center" shrinkToFit="1"/>
      <protection locked="0"/>
    </xf>
    <xf numFmtId="0" fontId="16" fillId="9" borderId="31" xfId="0" applyFont="1" applyFill="1" applyBorder="1" applyAlignment="1" applyProtection="1">
      <alignment vertical="center" shrinkToFit="1"/>
      <protection locked="0"/>
    </xf>
    <xf numFmtId="0" fontId="16" fillId="9" borderId="3" xfId="0" applyFont="1" applyFill="1" applyBorder="1" applyAlignment="1" applyProtection="1">
      <alignment vertical="center" shrinkToFit="1"/>
      <protection locked="0"/>
    </xf>
    <xf numFmtId="0" fontId="16" fillId="0" borderId="121" xfId="0" applyFont="1" applyFill="1" applyBorder="1" applyAlignment="1" applyProtection="1">
      <alignment vertical="center" shrinkToFit="1"/>
    </xf>
    <xf numFmtId="0" fontId="16" fillId="0" borderId="4" xfId="0" applyFont="1" applyFill="1" applyBorder="1" applyAlignment="1" applyProtection="1">
      <alignment vertical="center" shrinkToFit="1"/>
    </xf>
    <xf numFmtId="0" fontId="16" fillId="9" borderId="56" xfId="0" applyFont="1" applyFill="1" applyBorder="1" applyAlignment="1" applyProtection="1">
      <alignment vertical="center" shrinkToFit="1"/>
      <protection locked="0"/>
    </xf>
    <xf numFmtId="0" fontId="16" fillId="0" borderId="140" xfId="0" applyFont="1" applyFill="1" applyBorder="1" applyAlignment="1" applyProtection="1">
      <alignment vertical="center" shrinkToFit="1"/>
    </xf>
    <xf numFmtId="0" fontId="16" fillId="0" borderId="32" xfId="0" applyFont="1" applyFill="1" applyBorder="1" applyAlignment="1" applyProtection="1">
      <alignment vertical="center" shrinkToFit="1"/>
    </xf>
    <xf numFmtId="0" fontId="16" fillId="9" borderId="164" xfId="0" applyFont="1" applyFill="1" applyBorder="1" applyAlignment="1" applyProtection="1">
      <alignment vertical="center" shrinkToFit="1"/>
      <protection locked="0"/>
    </xf>
    <xf numFmtId="0" fontId="0" fillId="0" borderId="72" xfId="0" applyFill="1" applyBorder="1" applyProtection="1">
      <alignment vertical="center"/>
    </xf>
    <xf numFmtId="0" fontId="27" fillId="9" borderId="67" xfId="0" applyFont="1" applyFill="1" applyBorder="1" applyAlignment="1" applyProtection="1">
      <alignment vertical="center" shrinkToFit="1"/>
      <protection locked="0"/>
    </xf>
    <xf numFmtId="179" fontId="0" fillId="2" borderId="67" xfId="0" applyNumberFormat="1" applyFill="1" applyBorder="1" applyProtection="1">
      <alignment vertical="center"/>
      <protection locked="0"/>
    </xf>
    <xf numFmtId="179" fontId="0" fillId="0" borderId="31" xfId="0" applyNumberFormat="1" applyBorder="1" applyProtection="1">
      <alignment vertical="center"/>
    </xf>
    <xf numFmtId="179" fontId="0" fillId="0" borderId="39" xfId="0" applyNumberFormat="1" applyBorder="1" applyProtection="1">
      <alignment vertical="center"/>
    </xf>
    <xf numFmtId="179" fontId="0" fillId="0" borderId="46" xfId="0" applyNumberFormat="1" applyBorder="1" applyProtection="1">
      <alignment vertical="center"/>
    </xf>
    <xf numFmtId="0" fontId="0" fillId="0" borderId="40" xfId="0" applyFill="1" applyBorder="1" applyProtection="1">
      <alignment vertical="center"/>
    </xf>
    <xf numFmtId="0" fontId="27" fillId="9" borderId="24" xfId="0" applyFont="1" applyFill="1" applyBorder="1" applyAlignment="1" applyProtection="1">
      <alignment vertical="center" shrinkToFit="1"/>
      <protection locked="0"/>
    </xf>
    <xf numFmtId="179" fontId="0" fillId="0" borderId="41" xfId="0" applyNumberFormat="1" applyBorder="1" applyProtection="1">
      <alignment vertical="center"/>
    </xf>
    <xf numFmtId="0" fontId="0" fillId="2" borderId="72" xfId="0" applyFill="1" applyBorder="1" applyProtection="1">
      <alignment vertical="center"/>
      <protection locked="0"/>
    </xf>
    <xf numFmtId="0" fontId="0" fillId="2" borderId="67" xfId="0" applyFill="1" applyBorder="1" applyProtection="1">
      <alignment vertical="center"/>
      <protection locked="0"/>
    </xf>
    <xf numFmtId="0" fontId="0" fillId="0" borderId="54" xfId="0" applyBorder="1" applyProtection="1">
      <alignment vertical="center"/>
    </xf>
    <xf numFmtId="0" fontId="16" fillId="0" borderId="13" xfId="0" applyFont="1" applyFill="1" applyBorder="1" applyAlignment="1" applyProtection="1">
      <alignment vertical="center" shrinkToFit="1"/>
    </xf>
    <xf numFmtId="0" fontId="16" fillId="0" borderId="63" xfId="0" applyFont="1" applyFill="1" applyBorder="1" applyAlignment="1" applyProtection="1">
      <alignment vertical="center" shrinkToFit="1"/>
    </xf>
    <xf numFmtId="0" fontId="16" fillId="9" borderId="8" xfId="0" applyFont="1" applyFill="1" applyBorder="1" applyAlignment="1" applyProtection="1">
      <alignment vertical="center" shrinkToFit="1"/>
      <protection locked="0"/>
    </xf>
    <xf numFmtId="0" fontId="16" fillId="9" borderId="58" xfId="0" applyFont="1" applyFill="1" applyBorder="1" applyAlignment="1" applyProtection="1">
      <alignment vertical="center" shrinkToFit="1"/>
      <protection locked="0"/>
    </xf>
    <xf numFmtId="0" fontId="16" fillId="0" borderId="10" xfId="0" applyFont="1" applyFill="1" applyBorder="1" applyAlignment="1" applyProtection="1">
      <alignment vertical="center" shrinkToFit="1"/>
    </xf>
    <xf numFmtId="179" fontId="0" fillId="0" borderId="0" xfId="0" applyNumberFormat="1">
      <alignment vertical="center"/>
    </xf>
    <xf numFmtId="0" fontId="34" fillId="0" borderId="72" xfId="0" applyFont="1" applyBorder="1" applyAlignment="1">
      <alignment horizontal="left" vertical="center" wrapText="1" shrinkToFit="1"/>
    </xf>
    <xf numFmtId="0" fontId="34" fillId="0" borderId="74" xfId="0" applyFont="1" applyBorder="1" applyAlignment="1">
      <alignment horizontal="left" vertical="center" wrapText="1" shrinkToFit="1"/>
    </xf>
    <xf numFmtId="179" fontId="0" fillId="0" borderId="29" xfId="0" applyNumberFormat="1" applyBorder="1" applyAlignment="1">
      <alignment horizontal="right" vertical="center"/>
    </xf>
    <xf numFmtId="0" fontId="0" fillId="0" borderId="77" xfId="0" applyBorder="1">
      <alignment vertical="center"/>
    </xf>
    <xf numFmtId="179" fontId="0" fillId="0" borderId="45" xfId="0" applyNumberFormat="1" applyBorder="1" applyAlignment="1">
      <alignment horizontal="right" vertical="center"/>
    </xf>
    <xf numFmtId="0" fontId="0" fillId="0" borderId="46" xfId="0" applyBorder="1">
      <alignment vertical="center"/>
    </xf>
    <xf numFmtId="0" fontId="0" fillId="0" borderId="41" xfId="0" applyBorder="1">
      <alignment vertical="center"/>
    </xf>
    <xf numFmtId="0" fontId="0" fillId="0" borderId="39" xfId="0" applyBorder="1">
      <alignment vertical="center"/>
    </xf>
    <xf numFmtId="179" fontId="0" fillId="0" borderId="40" xfId="0" applyNumberFormat="1" applyBorder="1" applyAlignment="1">
      <alignment horizontal="right" vertical="center"/>
    </xf>
    <xf numFmtId="179" fontId="0" fillId="5" borderId="0" xfId="0" applyNumberFormat="1" applyFill="1">
      <alignment vertical="center"/>
    </xf>
    <xf numFmtId="180" fontId="0" fillId="5" borderId="78" xfId="0" applyNumberFormat="1" applyFill="1" applyBorder="1">
      <alignment vertical="center"/>
    </xf>
    <xf numFmtId="0" fontId="0" fillId="0" borderId="81" xfId="0" applyBorder="1">
      <alignment vertical="center"/>
    </xf>
    <xf numFmtId="0" fontId="0" fillId="0" borderId="29" xfId="0" applyBorder="1" applyAlignment="1">
      <alignment vertical="center" wrapText="1"/>
    </xf>
    <xf numFmtId="0" fontId="0" fillId="0" borderId="4" xfId="0" applyBorder="1" applyAlignment="1">
      <alignment vertical="center" wrapText="1"/>
    </xf>
    <xf numFmtId="0" fontId="0" fillId="0" borderId="0" xfId="0" applyAlignment="1">
      <alignment vertical="center" wrapText="1"/>
    </xf>
    <xf numFmtId="180" fontId="0" fillId="0" borderId="0" xfId="0" applyNumberFormat="1">
      <alignment vertical="center"/>
    </xf>
    <xf numFmtId="0" fontId="9" fillId="9" borderId="130" xfId="0" applyFont="1" applyFill="1" applyBorder="1" applyAlignment="1" applyProtection="1">
      <alignment horizontal="left" vertical="center" wrapText="1" shrinkToFit="1"/>
      <protection locked="0"/>
    </xf>
    <xf numFmtId="0" fontId="9" fillId="9" borderId="1" xfId="0" applyFont="1" applyFill="1" applyBorder="1" applyAlignment="1" applyProtection="1">
      <alignment horizontal="left" vertical="center" wrapText="1" shrinkToFit="1"/>
      <protection locked="0"/>
    </xf>
    <xf numFmtId="0" fontId="29" fillId="0" borderId="1" xfId="15" applyFont="1" applyBorder="1" applyAlignment="1">
      <alignment vertical="center" shrinkToFit="1"/>
    </xf>
    <xf numFmtId="0" fontId="29" fillId="0" borderId="1" xfId="15" applyFont="1" applyBorder="1" applyAlignment="1">
      <alignment vertical="center" wrapText="1" shrinkToFit="1"/>
    </xf>
    <xf numFmtId="0" fontId="71" fillId="9" borderId="23" xfId="0" applyFont="1" applyFill="1" applyBorder="1" applyAlignment="1" applyProtection="1">
      <alignment horizontal="left" vertical="center" wrapText="1" shrinkToFit="1"/>
      <protection locked="0"/>
    </xf>
    <xf numFmtId="0" fontId="71" fillId="9" borderId="1" xfId="0" applyFont="1" applyFill="1" applyBorder="1" applyAlignment="1" applyProtection="1">
      <alignment horizontal="left" vertical="center" wrapText="1" shrinkToFit="1"/>
      <protection locked="0"/>
    </xf>
    <xf numFmtId="0" fontId="3" fillId="0" borderId="0" xfId="23" applyFont="1" applyAlignment="1">
      <alignment vertical="center" shrinkToFit="1"/>
    </xf>
    <xf numFmtId="0" fontId="13" fillId="0" borderId="47" xfId="23" applyFont="1" applyBorder="1" applyAlignment="1">
      <alignment horizontal="center" vertical="center" wrapText="1" shrinkToFit="1"/>
    </xf>
    <xf numFmtId="0" fontId="13" fillId="9" borderId="47" xfId="23" applyFont="1" applyFill="1" applyBorder="1" applyAlignment="1" applyProtection="1">
      <alignment horizontal="center" vertical="center" shrinkToFit="1"/>
      <protection locked="0"/>
    </xf>
    <xf numFmtId="0" fontId="9" fillId="0" borderId="46" xfId="23" applyFont="1" applyBorder="1" applyAlignment="1">
      <alignment horizontal="center" vertical="center" shrinkToFit="1"/>
    </xf>
    <xf numFmtId="0" fontId="9" fillId="0" borderId="0" xfId="23" applyFont="1" applyAlignment="1">
      <alignment vertical="center" shrinkToFit="1"/>
    </xf>
    <xf numFmtId="0" fontId="12" fillId="3" borderId="33" xfId="15" applyFont="1" applyFill="1" applyBorder="1" applyAlignment="1">
      <alignment horizontal="center" vertical="center" shrinkToFit="1"/>
    </xf>
    <xf numFmtId="0" fontId="12" fillId="0" borderId="33" xfId="15" applyFont="1" applyBorder="1" applyAlignment="1">
      <alignment vertical="center" shrinkToFit="1"/>
    </xf>
    <xf numFmtId="0" fontId="12" fillId="0" borderId="34" xfId="15" applyFont="1" applyBorder="1" applyAlignment="1">
      <alignment vertical="center" shrinkToFit="1"/>
    </xf>
    <xf numFmtId="0" fontId="12" fillId="0" borderId="36" xfId="15" applyFont="1" applyBorder="1" applyAlignment="1">
      <alignment vertical="center" shrinkToFit="1"/>
    </xf>
    <xf numFmtId="0" fontId="12" fillId="0" borderId="1" xfId="15" applyFont="1" applyBorder="1" applyAlignment="1">
      <alignment horizontal="center" vertical="center" shrinkToFit="1"/>
    </xf>
    <xf numFmtId="0" fontId="12" fillId="0" borderId="1" xfId="15" applyFont="1" applyBorder="1" applyAlignment="1">
      <alignment horizontal="left" vertical="center" shrinkToFit="1"/>
    </xf>
    <xf numFmtId="0" fontId="12" fillId="0" borderId="1" xfId="15" applyFont="1" applyBorder="1" applyAlignment="1">
      <alignment vertical="center" shrinkToFit="1"/>
    </xf>
    <xf numFmtId="0" fontId="12" fillId="0" borderId="0" xfId="15" applyFont="1" applyAlignment="1">
      <alignment vertical="center" shrinkToFit="1"/>
    </xf>
    <xf numFmtId="0" fontId="7" fillId="0" borderId="0" xfId="0" applyFont="1" applyAlignment="1" applyProtection="1">
      <alignment horizontal="center" vertical="center"/>
    </xf>
    <xf numFmtId="0" fontId="6" fillId="0" borderId="0" xfId="0" applyFont="1" applyAlignment="1" applyProtection="1">
      <alignment horizontal="center" vertical="center"/>
    </xf>
    <xf numFmtId="0" fontId="6" fillId="0" borderId="1" xfId="0" applyFont="1" applyBorder="1" applyAlignment="1" applyProtection="1">
      <alignment horizontal="center" vertical="center" wrapText="1"/>
    </xf>
    <xf numFmtId="0" fontId="6" fillId="0" borderId="1" xfId="0" applyFont="1" applyBorder="1" applyAlignment="1" applyProtection="1">
      <alignment horizontal="center" vertical="center"/>
    </xf>
    <xf numFmtId="0" fontId="23" fillId="0"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xf>
    <xf numFmtId="0" fontId="6" fillId="0" borderId="32" xfId="0" applyFont="1" applyFill="1" applyBorder="1" applyAlignment="1" applyProtection="1">
      <alignment horizontal="right" vertical="center"/>
    </xf>
    <xf numFmtId="0" fontId="6" fillId="0" borderId="0" xfId="0" applyFont="1" applyFill="1" applyBorder="1" applyAlignment="1" applyProtection="1">
      <alignment horizontal="right" vertical="center"/>
    </xf>
    <xf numFmtId="0" fontId="6" fillId="4" borderId="21" xfId="0" applyFont="1" applyFill="1" applyBorder="1" applyAlignment="1" applyProtection="1">
      <alignment horizontal="center" vertical="center"/>
    </xf>
    <xf numFmtId="0" fontId="6" fillId="4" borderId="15" xfId="0" applyFont="1" applyFill="1" applyBorder="1" applyAlignment="1" applyProtection="1">
      <alignment horizontal="center" vertical="center"/>
    </xf>
    <xf numFmtId="0" fontId="6" fillId="4" borderId="47" xfId="0" applyFont="1" applyFill="1" applyBorder="1" applyAlignment="1" applyProtection="1">
      <alignment horizontal="center" vertical="center"/>
    </xf>
    <xf numFmtId="0" fontId="6" fillId="4" borderId="1" xfId="0" applyFont="1" applyFill="1" applyBorder="1" applyAlignment="1" applyProtection="1">
      <alignment horizontal="center" vertical="center"/>
    </xf>
    <xf numFmtId="0" fontId="6" fillId="2" borderId="21" xfId="0" applyFont="1" applyFill="1" applyBorder="1" applyAlignment="1" applyProtection="1">
      <alignment horizontal="center" vertical="center"/>
      <protection locked="0"/>
    </xf>
    <xf numFmtId="0" fontId="6" fillId="2" borderId="15" xfId="0" applyFont="1" applyFill="1" applyBorder="1" applyAlignment="1" applyProtection="1">
      <alignment horizontal="center" vertical="center"/>
      <protection locked="0"/>
    </xf>
    <xf numFmtId="0" fontId="6" fillId="2" borderId="47"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6" fillId="2" borderId="30" xfId="0" applyFont="1" applyFill="1" applyBorder="1" applyAlignment="1" applyProtection="1">
      <alignment horizontal="center" vertical="center" shrinkToFit="1"/>
      <protection locked="0"/>
    </xf>
    <xf numFmtId="0" fontId="23" fillId="2" borderId="31" xfId="25" applyFont="1" applyFill="1" applyBorder="1" applyAlignment="1" applyProtection="1">
      <alignment horizontal="center" vertical="center"/>
      <protection locked="0"/>
    </xf>
    <xf numFmtId="0" fontId="23" fillId="2" borderId="32" xfId="0" applyFont="1" applyFill="1" applyBorder="1" applyAlignment="1" applyProtection="1">
      <alignment horizontal="center" vertical="center"/>
      <protection locked="0"/>
    </xf>
    <xf numFmtId="0" fontId="23" fillId="2" borderId="33" xfId="0" applyFont="1" applyFill="1" applyBorder="1" applyAlignment="1" applyProtection="1">
      <alignment horizontal="center" vertical="center"/>
      <protection locked="0"/>
    </xf>
    <xf numFmtId="0" fontId="23" fillId="2" borderId="36" xfId="0" applyFont="1" applyFill="1" applyBorder="1" applyAlignment="1" applyProtection="1">
      <alignment horizontal="center" vertical="center"/>
      <protection locked="0"/>
    </xf>
    <xf numFmtId="0" fontId="23" fillId="2" borderId="30" xfId="0" applyFont="1" applyFill="1" applyBorder="1" applyAlignment="1" applyProtection="1">
      <alignment horizontal="center" vertical="center"/>
      <protection locked="0"/>
    </xf>
    <xf numFmtId="0" fontId="23" fillId="2" borderId="37" xfId="0" applyFont="1" applyFill="1" applyBorder="1" applyAlignment="1" applyProtection="1">
      <alignment horizontal="center" vertical="center"/>
      <protection locked="0"/>
    </xf>
    <xf numFmtId="58" fontId="6" fillId="2" borderId="31" xfId="0" applyNumberFormat="1" applyFont="1" applyFill="1" applyBorder="1" applyAlignment="1" applyProtection="1">
      <alignment horizontal="center" vertical="center"/>
      <protection locked="0"/>
    </xf>
    <xf numFmtId="0" fontId="6" fillId="2" borderId="32" xfId="0" applyFont="1" applyFill="1" applyBorder="1" applyAlignment="1" applyProtection="1">
      <alignment horizontal="center" vertical="center"/>
      <protection locked="0"/>
    </xf>
    <xf numFmtId="0" fontId="6" fillId="2" borderId="33" xfId="0" applyFont="1" applyFill="1" applyBorder="1" applyAlignment="1" applyProtection="1">
      <alignment horizontal="center" vertical="center"/>
      <protection locked="0"/>
    </xf>
    <xf numFmtId="0" fontId="6" fillId="2" borderId="36" xfId="0" applyFont="1" applyFill="1" applyBorder="1" applyAlignment="1" applyProtection="1">
      <alignment horizontal="center" vertical="center"/>
      <protection locked="0"/>
    </xf>
    <xf numFmtId="0" fontId="6" fillId="2" borderId="30" xfId="0" applyFont="1" applyFill="1" applyBorder="1" applyAlignment="1" applyProtection="1">
      <alignment horizontal="center" vertical="center"/>
      <protection locked="0"/>
    </xf>
    <xf numFmtId="0" fontId="6" fillId="2" borderId="37" xfId="0" applyFont="1" applyFill="1" applyBorder="1" applyAlignment="1" applyProtection="1">
      <alignment horizontal="center" vertical="center"/>
      <protection locked="0"/>
    </xf>
    <xf numFmtId="0" fontId="23" fillId="2" borderId="1" xfId="25" applyFont="1" applyFill="1" applyBorder="1" applyAlignment="1" applyProtection="1">
      <alignment horizontal="center" vertical="center"/>
      <protection locked="0"/>
    </xf>
    <xf numFmtId="0" fontId="23" fillId="2" borderId="1" xfId="0" applyFont="1" applyFill="1" applyBorder="1" applyAlignment="1" applyProtection="1">
      <alignment horizontal="center" vertical="center"/>
      <protection locked="0"/>
    </xf>
    <xf numFmtId="0" fontId="6" fillId="2" borderId="31" xfId="0" applyFont="1" applyFill="1" applyBorder="1" applyAlignment="1" applyProtection="1">
      <alignment horizontal="center" vertical="center"/>
      <protection locked="0"/>
    </xf>
    <xf numFmtId="0" fontId="9" fillId="0" borderId="1" xfId="23" applyFont="1" applyFill="1" applyBorder="1" applyAlignment="1" applyProtection="1">
      <alignment horizontal="center" vertical="center" shrinkToFit="1"/>
      <protection locked="0"/>
    </xf>
    <xf numFmtId="0" fontId="9" fillId="0" borderId="21" xfId="23" applyFont="1" applyFill="1" applyBorder="1" applyAlignment="1" applyProtection="1">
      <alignment horizontal="center" vertical="center" shrinkToFit="1"/>
      <protection locked="0"/>
    </xf>
    <xf numFmtId="0" fontId="9" fillId="0" borderId="15" xfId="23" applyFont="1" applyFill="1" applyBorder="1" applyAlignment="1" applyProtection="1">
      <alignment horizontal="center" vertical="center" shrinkToFit="1"/>
      <protection locked="0"/>
    </xf>
    <xf numFmtId="0" fontId="9" fillId="0" borderId="47" xfId="23" applyFont="1" applyFill="1" applyBorder="1" applyAlignment="1" applyProtection="1">
      <alignment horizontal="center" vertical="center" shrinkToFit="1"/>
      <protection locked="0"/>
    </xf>
    <xf numFmtId="0" fontId="9" fillId="2" borderId="21" xfId="23" applyFont="1" applyFill="1" applyBorder="1" applyAlignment="1" applyProtection="1">
      <alignment horizontal="center" vertical="center" shrinkToFit="1"/>
      <protection locked="0"/>
    </xf>
    <xf numFmtId="0" fontId="9" fillId="2" borderId="15" xfId="23" applyFont="1" applyFill="1" applyBorder="1" applyAlignment="1" applyProtection="1">
      <alignment horizontal="center" vertical="center" shrinkToFit="1"/>
      <protection locked="0"/>
    </xf>
    <xf numFmtId="0" fontId="9" fillId="2" borderId="47" xfId="23" applyFont="1" applyFill="1" applyBorder="1" applyAlignment="1" applyProtection="1">
      <alignment horizontal="center" vertical="center" shrinkToFit="1"/>
      <protection locked="0"/>
    </xf>
    <xf numFmtId="0" fontId="8" fillId="0" borderId="0" xfId="23" applyFont="1" applyAlignment="1" applyProtection="1">
      <alignment horizontal="center" vertical="center"/>
      <protection locked="0"/>
    </xf>
    <xf numFmtId="0" fontId="9" fillId="0" borderId="30" xfId="23" applyFont="1" applyBorder="1" applyAlignment="1" applyProtection="1">
      <alignment horizontal="center" vertical="center"/>
      <protection locked="0"/>
    </xf>
    <xf numFmtId="0" fontId="9" fillId="0" borderId="30" xfId="23" applyFont="1" applyFill="1" applyBorder="1" applyAlignment="1" applyProtection="1">
      <alignment horizontal="center" vertical="center" shrinkToFit="1"/>
    </xf>
    <xf numFmtId="181" fontId="9" fillId="2" borderId="15" xfId="23" applyNumberFormat="1" applyFont="1" applyFill="1" applyBorder="1" applyAlignment="1" applyProtection="1">
      <alignment horizontal="right" vertical="center" shrinkToFit="1"/>
      <protection locked="0"/>
    </xf>
    <xf numFmtId="181" fontId="9" fillId="0" borderId="15" xfId="23" applyNumberFormat="1" applyFont="1" applyFill="1" applyBorder="1" applyAlignment="1" applyProtection="1">
      <alignment horizontal="left" vertical="center" shrinkToFit="1"/>
      <protection locked="0"/>
    </xf>
    <xf numFmtId="0" fontId="9" fillId="0" borderId="15" xfId="23" applyFont="1" applyBorder="1" applyAlignment="1" applyProtection="1">
      <alignment horizontal="center" vertical="center"/>
      <protection locked="0"/>
    </xf>
    <xf numFmtId="181" fontId="9" fillId="0" borderId="15" xfId="23" applyNumberFormat="1" applyFont="1" applyFill="1" applyBorder="1" applyAlignment="1" applyProtection="1">
      <alignment horizontal="left" vertical="center" shrinkToFit="1"/>
    </xf>
    <xf numFmtId="0" fontId="6" fillId="0" borderId="21" xfId="23" applyFont="1" applyFill="1" applyBorder="1" applyAlignment="1" applyProtection="1">
      <alignment horizontal="center" vertical="center" shrinkToFit="1"/>
      <protection locked="0"/>
    </xf>
    <xf numFmtId="0" fontId="6" fillId="0" borderId="15" xfId="23" applyFont="1" applyFill="1" applyBorder="1" applyAlignment="1" applyProtection="1">
      <alignment horizontal="center" vertical="center" shrinkToFit="1"/>
      <protection locked="0"/>
    </xf>
    <xf numFmtId="0" fontId="6" fillId="0" borderId="47" xfId="23" applyFont="1" applyFill="1" applyBorder="1" applyAlignment="1" applyProtection="1">
      <alignment horizontal="center" vertical="center" shrinkToFit="1"/>
      <protection locked="0"/>
    </xf>
    <xf numFmtId="38" fontId="0" fillId="0" borderId="25" xfId="1" applyFont="1" applyBorder="1" applyAlignment="1" applyProtection="1">
      <alignment horizontal="right" vertical="center"/>
    </xf>
    <xf numFmtId="38" fontId="0" fillId="0" borderId="27" xfId="1" applyFont="1" applyBorder="1" applyAlignment="1" applyProtection="1">
      <alignment horizontal="right" vertical="center"/>
    </xf>
    <xf numFmtId="38" fontId="0" fillId="0" borderId="25" xfId="1" applyFont="1" applyBorder="1" applyAlignment="1" applyProtection="1">
      <alignment horizontal="center" vertical="center" wrapText="1"/>
    </xf>
    <xf numFmtId="38" fontId="0" fillId="0" borderId="27" xfId="1" applyFont="1" applyBorder="1" applyAlignment="1" applyProtection="1">
      <alignment horizontal="center" vertical="center" wrapText="1"/>
    </xf>
    <xf numFmtId="38" fontId="0" fillId="0" borderId="3" xfId="1" applyFont="1" applyBorder="1" applyAlignment="1" applyProtection="1">
      <alignment horizontal="center" vertical="center" shrinkToFit="1"/>
    </xf>
    <xf numFmtId="38" fontId="0" fillId="0" borderId="5" xfId="1" applyFont="1" applyBorder="1" applyAlignment="1" applyProtection="1">
      <alignment horizontal="center" vertical="center" shrinkToFit="1"/>
    </xf>
    <xf numFmtId="38" fontId="0" fillId="0" borderId="40" xfId="1" applyFont="1" applyBorder="1" applyAlignment="1" applyProtection="1">
      <alignment horizontal="center" vertical="center" shrinkToFit="1"/>
    </xf>
    <xf numFmtId="38" fontId="0" fillId="0" borderId="41" xfId="1" applyFont="1" applyBorder="1" applyAlignment="1" applyProtection="1">
      <alignment horizontal="center" vertical="center" shrinkToFit="1"/>
    </xf>
    <xf numFmtId="38" fontId="0" fillId="6" borderId="25" xfId="1" applyFont="1" applyFill="1" applyBorder="1" applyAlignment="1" applyProtection="1">
      <alignment horizontal="left" vertical="center" wrapText="1"/>
    </xf>
    <xf numFmtId="38" fontId="0" fillId="6" borderId="26" xfId="1" applyFont="1" applyFill="1" applyBorder="1" applyAlignment="1" applyProtection="1">
      <alignment horizontal="left" vertical="center" wrapText="1"/>
    </xf>
    <xf numFmtId="38" fontId="0" fillId="6" borderId="27" xfId="1" applyFont="1" applyFill="1" applyBorder="1" applyAlignment="1" applyProtection="1">
      <alignment horizontal="left" vertical="center" wrapText="1"/>
    </xf>
    <xf numFmtId="38" fontId="0" fillId="0" borderId="25" xfId="1" applyFont="1" applyBorder="1" applyAlignment="1" applyProtection="1">
      <alignment horizontal="left" vertical="center" wrapText="1"/>
    </xf>
    <xf numFmtId="38" fontId="0" fillId="0" borderId="26" xfId="1" applyFont="1" applyBorder="1" applyAlignment="1" applyProtection="1">
      <alignment horizontal="left" vertical="center" wrapText="1"/>
    </xf>
    <xf numFmtId="38" fontId="0" fillId="0" borderId="27" xfId="1" applyFont="1" applyBorder="1" applyAlignment="1" applyProtection="1">
      <alignment horizontal="left" vertical="center" wrapText="1"/>
    </xf>
    <xf numFmtId="38" fontId="0" fillId="0" borderId="25" xfId="1" applyFont="1" applyBorder="1" applyAlignment="1" applyProtection="1">
      <alignment horizontal="center" vertical="center"/>
    </xf>
    <xf numFmtId="38" fontId="0" fillId="0" borderId="27" xfId="1" applyFont="1" applyBorder="1" applyAlignment="1" applyProtection="1">
      <alignment horizontal="center" vertical="center"/>
    </xf>
    <xf numFmtId="38" fontId="0" fillId="0" borderId="26" xfId="1" applyFont="1" applyBorder="1" applyAlignment="1" applyProtection="1">
      <alignment horizontal="right" vertical="center"/>
    </xf>
    <xf numFmtId="38" fontId="29" fillId="2" borderId="4" xfId="1" applyFont="1" applyFill="1" applyBorder="1" applyAlignment="1" applyProtection="1">
      <alignment horizontal="right" vertical="center" wrapText="1"/>
      <protection locked="0"/>
    </xf>
    <xf numFmtId="38" fontId="29" fillId="2" borderId="26" xfId="1" applyFont="1" applyFill="1" applyBorder="1" applyAlignment="1" applyProtection="1">
      <alignment horizontal="right" vertical="center" wrapText="1"/>
      <protection locked="0"/>
    </xf>
    <xf numFmtId="38" fontId="29" fillId="2" borderId="27" xfId="1" applyFont="1" applyFill="1" applyBorder="1" applyAlignment="1" applyProtection="1">
      <alignment horizontal="right" vertical="center" wrapText="1"/>
      <protection locked="0"/>
    </xf>
    <xf numFmtId="38" fontId="0" fillId="0" borderId="30" xfId="1" applyFont="1" applyBorder="1" applyAlignment="1" applyProtection="1">
      <alignment horizontal="center" vertical="center"/>
    </xf>
    <xf numFmtId="38" fontId="0" fillId="0" borderId="30" xfId="1" applyFont="1" applyBorder="1" applyAlignment="1" applyProtection="1">
      <alignment horizontal="center" vertical="center" shrinkToFit="1"/>
    </xf>
    <xf numFmtId="38" fontId="0" fillId="0" borderId="31" xfId="1" applyFont="1" applyBorder="1" applyAlignment="1" applyProtection="1">
      <alignment horizontal="center" vertical="center"/>
    </xf>
    <xf numFmtId="38" fontId="0" fillId="0" borderId="33" xfId="1" applyFont="1" applyBorder="1" applyAlignment="1" applyProtection="1">
      <alignment horizontal="center" vertical="center"/>
    </xf>
    <xf numFmtId="38" fontId="0" fillId="0" borderId="78" xfId="1" applyFont="1" applyBorder="1" applyAlignment="1" applyProtection="1">
      <alignment horizontal="center" vertical="center"/>
    </xf>
    <xf numFmtId="38" fontId="0" fillId="0" borderId="29" xfId="1" applyFont="1" applyBorder="1" applyAlignment="1" applyProtection="1">
      <alignment horizontal="center" vertical="center" wrapText="1"/>
    </xf>
    <xf numFmtId="38" fontId="0" fillId="0" borderId="82" xfId="1" applyFont="1" applyBorder="1" applyAlignment="1" applyProtection="1">
      <alignment horizontal="center" vertical="center"/>
    </xf>
    <xf numFmtId="38" fontId="0" fillId="0" borderId="26" xfId="1" applyFont="1" applyBorder="1" applyAlignment="1" applyProtection="1">
      <alignment horizontal="center" vertical="center"/>
    </xf>
    <xf numFmtId="38" fontId="0" fillId="0" borderId="8" xfId="1" applyFont="1" applyBorder="1" applyAlignment="1" applyProtection="1">
      <alignment horizontal="center" vertical="center"/>
    </xf>
    <xf numFmtId="38" fontId="0" fillId="0" borderId="59" xfId="1" applyFont="1" applyBorder="1" applyAlignment="1" applyProtection="1">
      <alignment horizontal="center" vertical="center"/>
    </xf>
    <xf numFmtId="0" fontId="4" fillId="2" borderId="21" xfId="0" applyFont="1" applyFill="1" applyBorder="1" applyAlignment="1" applyProtection="1">
      <alignment horizontal="left" vertical="center" wrapText="1"/>
      <protection locked="0"/>
    </xf>
    <xf numFmtId="0" fontId="4" fillId="2" borderId="15"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left" vertical="center" wrapText="1"/>
      <protection locked="0"/>
    </xf>
    <xf numFmtId="189" fontId="52" fillId="0" borderId="3" xfId="0" applyNumberFormat="1" applyFont="1" applyFill="1" applyBorder="1" applyAlignment="1" applyProtection="1">
      <alignment horizontal="left" vertical="center" wrapText="1"/>
    </xf>
    <xf numFmtId="189" fontId="52" fillId="0" borderId="4" xfId="0" applyNumberFormat="1" applyFont="1" applyFill="1" applyBorder="1" applyAlignment="1" applyProtection="1">
      <alignment horizontal="left" vertical="center"/>
    </xf>
    <xf numFmtId="189" fontId="52" fillId="0" borderId="57" xfId="0" applyNumberFormat="1" applyFont="1" applyFill="1" applyBorder="1" applyAlignment="1" applyProtection="1">
      <alignment horizontal="left" vertical="center"/>
    </xf>
    <xf numFmtId="189" fontId="52" fillId="0" borderId="8" xfId="0" applyNumberFormat="1" applyFont="1" applyFill="1" applyBorder="1" applyAlignment="1" applyProtection="1">
      <alignment horizontal="left" vertical="center"/>
    </xf>
    <xf numFmtId="189" fontId="52" fillId="0" borderId="9" xfId="0" applyNumberFormat="1" applyFont="1" applyFill="1" applyBorder="1" applyAlignment="1" applyProtection="1">
      <alignment horizontal="left" vertical="center"/>
    </xf>
    <xf numFmtId="189" fontId="52" fillId="0" borderId="59" xfId="0" applyNumberFormat="1" applyFont="1" applyFill="1" applyBorder="1" applyAlignment="1" applyProtection="1">
      <alignment horizontal="left" vertical="center"/>
    </xf>
    <xf numFmtId="189" fontId="41" fillId="9" borderId="77" xfId="0" applyNumberFormat="1" applyFont="1" applyFill="1" applyBorder="1" applyAlignment="1" applyProtection="1">
      <alignment horizontal="center" vertical="center"/>
      <protection locked="0"/>
    </xf>
    <xf numFmtId="189" fontId="23" fillId="9" borderId="75" xfId="0" applyNumberFormat="1" applyFont="1" applyFill="1" applyBorder="1" applyAlignment="1" applyProtection="1">
      <alignment horizontal="center" vertical="center"/>
      <protection locked="0"/>
    </xf>
    <xf numFmtId="181" fontId="8" fillId="0" borderId="4" xfId="0" applyNumberFormat="1" applyFont="1" applyFill="1" applyBorder="1" applyAlignment="1" applyProtection="1">
      <alignment horizontal="center" vertical="center" wrapText="1" shrinkToFit="1"/>
    </xf>
    <xf numFmtId="181" fontId="8" fillId="0" borderId="0" xfId="0" applyNumberFormat="1" applyFont="1" applyFill="1" applyBorder="1" applyAlignment="1" applyProtection="1">
      <alignment horizontal="center" vertical="center" wrapText="1" shrinkToFit="1"/>
    </xf>
    <xf numFmtId="0" fontId="4" fillId="0" borderId="1" xfId="0" applyFont="1" applyBorder="1" applyAlignment="1" applyProtection="1">
      <alignment horizontal="center" vertical="center" wrapText="1"/>
    </xf>
    <xf numFmtId="0" fontId="4" fillId="0" borderId="86" xfId="0" applyFont="1" applyBorder="1" applyAlignment="1" applyProtection="1">
      <alignment horizontal="center" vertical="center" wrapText="1"/>
    </xf>
    <xf numFmtId="0" fontId="7" fillId="0" borderId="1"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0" xfId="0" applyFont="1" applyFill="1" applyBorder="1" applyAlignment="1" applyProtection="1">
      <alignment horizontal="center" vertical="center"/>
    </xf>
    <xf numFmtId="0" fontId="41"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181" fontId="9" fillId="0" borderId="1" xfId="0" applyNumberFormat="1" applyFont="1" applyFill="1" applyBorder="1" applyAlignment="1" applyProtection="1">
      <alignment horizontal="right" vertical="center" wrapText="1"/>
    </xf>
    <xf numFmtId="0" fontId="4" fillId="0" borderId="1" xfId="0" applyFont="1" applyBorder="1" applyAlignment="1" applyProtection="1">
      <alignment horizontal="left" vertical="center" wrapText="1"/>
    </xf>
    <xf numFmtId="0" fontId="4" fillId="0" borderId="86" xfId="0" applyFont="1" applyBorder="1" applyAlignment="1" applyProtection="1">
      <alignment horizontal="left" vertical="center" wrapText="1"/>
    </xf>
    <xf numFmtId="0" fontId="40" fillId="2" borderId="52" xfId="0" applyFont="1" applyFill="1" applyBorder="1" applyAlignment="1" applyProtection="1">
      <alignment horizontal="left" vertical="center" wrapText="1" shrinkToFit="1"/>
      <protection locked="0"/>
    </xf>
    <xf numFmtId="0" fontId="40" fillId="2" borderId="32" xfId="0" applyFont="1" applyFill="1" applyBorder="1" applyAlignment="1" applyProtection="1">
      <alignment horizontal="left" vertical="center" wrapText="1" shrinkToFit="1"/>
      <protection locked="0"/>
    </xf>
    <xf numFmtId="0" fontId="40" fillId="2" borderId="33" xfId="0" applyFont="1" applyFill="1" applyBorder="1" applyAlignment="1" applyProtection="1">
      <alignment horizontal="left" vertical="center" wrapText="1" shrinkToFit="1"/>
      <protection locked="0"/>
    </xf>
    <xf numFmtId="0" fontId="9" fillId="9" borderId="1" xfId="0" applyFont="1" applyFill="1" applyBorder="1" applyAlignment="1" applyProtection="1">
      <alignment horizontal="left" vertical="center" wrapText="1" shrinkToFit="1"/>
      <protection locked="0"/>
    </xf>
    <xf numFmtId="0" fontId="9" fillId="9" borderId="86" xfId="0" applyFont="1" applyFill="1" applyBorder="1" applyAlignment="1" applyProtection="1">
      <alignment horizontal="left" vertical="center" wrapText="1" shrinkToFit="1"/>
      <protection locked="0"/>
    </xf>
    <xf numFmtId="0" fontId="31" fillId="0" borderId="1" xfId="0" applyFont="1" applyFill="1" applyBorder="1" applyAlignment="1" applyProtection="1">
      <alignment horizontal="center" vertical="center" wrapText="1" shrinkToFit="1"/>
    </xf>
    <xf numFmtId="0" fontId="4" fillId="0" borderId="0" xfId="0" applyFont="1" applyFill="1" applyBorder="1" applyAlignment="1" applyProtection="1">
      <alignment horizontal="right" vertical="center" shrinkToFit="1"/>
    </xf>
    <xf numFmtId="0" fontId="7" fillId="0" borderId="0" xfId="0" applyFont="1" applyAlignment="1" applyProtection="1">
      <alignment horizontal="center" vertical="center" shrinkToFit="1"/>
    </xf>
    <xf numFmtId="0" fontId="7" fillId="0" borderId="0" xfId="0" applyFont="1" applyBorder="1" applyAlignment="1" applyProtection="1">
      <alignment horizontal="center" vertical="center" shrinkToFit="1"/>
    </xf>
    <xf numFmtId="0" fontId="7" fillId="0" borderId="0" xfId="0" applyFont="1" applyFill="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6" fillId="0" borderId="38"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0" fontId="6" fillId="0" borderId="45"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6" fillId="0" borderId="40"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23" xfId="0" applyFont="1" applyFill="1" applyBorder="1" applyAlignment="1" applyProtection="1">
      <alignment horizontal="center" vertical="center" wrapText="1"/>
    </xf>
    <xf numFmtId="0" fontId="6" fillId="0" borderId="85"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6" fillId="0" borderId="86" xfId="0" applyFont="1" applyFill="1" applyBorder="1" applyAlignment="1" applyProtection="1">
      <alignment horizontal="center" vertical="center" wrapText="1"/>
    </xf>
    <xf numFmtId="0" fontId="6" fillId="0" borderId="24" xfId="0" applyFont="1" applyFill="1" applyBorder="1" applyAlignment="1" applyProtection="1">
      <alignment horizontal="center" vertical="center" wrapText="1"/>
    </xf>
    <xf numFmtId="0" fontId="6" fillId="0" borderId="87" xfId="0" applyFont="1" applyFill="1" applyBorder="1" applyAlignment="1" applyProtection="1">
      <alignment horizontal="center" vertical="center" wrapText="1"/>
    </xf>
    <xf numFmtId="0" fontId="6" fillId="0" borderId="76" xfId="0" applyFont="1" applyFill="1" applyBorder="1" applyAlignment="1" applyProtection="1">
      <alignment horizontal="center" vertical="center" wrapText="1"/>
    </xf>
    <xf numFmtId="0" fontId="6" fillId="0" borderId="68" xfId="0" applyFont="1" applyFill="1" applyBorder="1" applyAlignment="1" applyProtection="1">
      <alignment horizontal="center" vertical="center" wrapText="1"/>
    </xf>
    <xf numFmtId="0" fontId="6" fillId="0" borderId="73" xfId="0" applyFont="1" applyFill="1" applyBorder="1" applyAlignment="1" applyProtection="1">
      <alignment horizontal="center" vertical="center" wrapText="1"/>
    </xf>
    <xf numFmtId="0" fontId="9" fillId="0" borderId="20" xfId="0" applyFont="1" applyFill="1" applyBorder="1" applyAlignment="1" applyProtection="1">
      <alignment horizontal="center" vertical="center" wrapText="1"/>
    </xf>
    <xf numFmtId="0" fontId="9" fillId="0" borderId="21" xfId="0" applyFont="1" applyFill="1" applyBorder="1" applyAlignment="1" applyProtection="1">
      <alignment horizontal="center" vertical="center" wrapText="1"/>
    </xf>
    <xf numFmtId="0" fontId="9" fillId="0" borderId="22" xfId="0" applyFont="1" applyFill="1" applyBorder="1" applyAlignment="1" applyProtection="1">
      <alignment horizontal="center" vertical="center" wrapText="1"/>
    </xf>
    <xf numFmtId="181" fontId="6" fillId="0" borderId="134" xfId="0" applyNumberFormat="1" applyFont="1" applyBorder="1" applyAlignment="1" applyProtection="1">
      <alignment horizontal="center" vertical="center" wrapText="1"/>
    </xf>
    <xf numFmtId="181" fontId="6" fillId="0" borderId="136" xfId="0" applyNumberFormat="1" applyFont="1" applyBorder="1" applyAlignment="1" applyProtection="1">
      <alignment horizontal="center" vertical="center" wrapText="1"/>
    </xf>
    <xf numFmtId="181" fontId="6" fillId="0" borderId="138" xfId="0" applyNumberFormat="1" applyFont="1" applyBorder="1" applyAlignment="1" applyProtection="1">
      <alignment horizontal="center" vertical="center" wrapText="1"/>
    </xf>
    <xf numFmtId="0" fontId="6" fillId="0" borderId="12" xfId="16" applyFont="1" applyFill="1" applyBorder="1" applyAlignment="1" applyProtection="1">
      <alignment horizontal="center" vertical="center" wrapText="1"/>
    </xf>
    <xf numFmtId="0" fontId="6" fillId="0" borderId="15" xfId="16" applyFont="1" applyFill="1" applyBorder="1" applyAlignment="1" applyProtection="1">
      <alignment horizontal="center" vertical="center" wrapText="1"/>
    </xf>
    <xf numFmtId="0" fontId="6" fillId="0" borderId="18" xfId="16" applyFont="1" applyFill="1" applyBorder="1" applyAlignment="1" applyProtection="1">
      <alignment horizontal="center" vertical="center" wrapText="1"/>
    </xf>
    <xf numFmtId="0" fontId="6" fillId="0" borderId="127" xfId="16" applyFont="1" applyFill="1" applyBorder="1" applyAlignment="1" applyProtection="1">
      <alignment horizontal="center" vertical="center" wrapText="1"/>
    </xf>
    <xf numFmtId="0" fontId="6" fillId="0" borderId="128" xfId="16" applyFont="1" applyFill="1" applyBorder="1" applyAlignment="1" applyProtection="1">
      <alignment horizontal="center" vertical="center" wrapText="1"/>
    </xf>
    <xf numFmtId="0" fontId="6" fillId="0" borderId="129" xfId="16" applyFont="1" applyFill="1" applyBorder="1" applyAlignment="1" applyProtection="1">
      <alignment horizontal="center" vertical="center" wrapText="1"/>
    </xf>
    <xf numFmtId="0" fontId="6" fillId="0" borderId="127" xfId="0" applyFont="1" applyFill="1" applyBorder="1" applyAlignment="1" applyProtection="1">
      <alignment horizontal="center" vertical="center" wrapText="1"/>
    </xf>
    <xf numFmtId="0" fontId="6" fillId="0" borderId="128" xfId="0" applyFont="1" applyFill="1" applyBorder="1" applyAlignment="1" applyProtection="1">
      <alignment horizontal="center" vertical="center" wrapText="1"/>
    </xf>
    <xf numFmtId="0" fontId="6" fillId="0" borderId="129" xfId="0" applyFont="1" applyFill="1" applyBorder="1" applyAlignment="1" applyProtection="1">
      <alignment horizontal="center" vertical="center" wrapText="1"/>
    </xf>
    <xf numFmtId="0" fontId="4" fillId="0" borderId="25" xfId="0" applyFont="1" applyFill="1" applyBorder="1" applyAlignment="1" applyProtection="1">
      <alignment horizontal="center" vertical="center" shrinkToFit="1"/>
    </xf>
    <xf numFmtId="0" fontId="6" fillId="0" borderId="26" xfId="0" applyFont="1" applyFill="1" applyBorder="1" applyAlignment="1" applyProtection="1">
      <alignment horizontal="center" vertical="center" shrinkToFit="1"/>
    </xf>
    <xf numFmtId="0" fontId="6" fillId="0" borderId="27" xfId="0" applyFont="1" applyFill="1" applyBorder="1" applyAlignment="1" applyProtection="1">
      <alignment horizontal="center" vertical="center" shrinkToFit="1"/>
    </xf>
    <xf numFmtId="0" fontId="6" fillId="0" borderId="1" xfId="16" applyFont="1" applyFill="1" applyBorder="1" applyAlignment="1" applyProtection="1">
      <alignment horizontal="center" vertical="center" wrapText="1"/>
    </xf>
    <xf numFmtId="0" fontId="6" fillId="0" borderId="24" xfId="16" applyFont="1" applyFill="1" applyBorder="1" applyAlignment="1" applyProtection="1">
      <alignment horizontal="center" vertical="center" wrapText="1"/>
    </xf>
    <xf numFmtId="0" fontId="6" fillId="0" borderId="46" xfId="16" applyFont="1" applyFill="1" applyBorder="1" applyAlignment="1" applyProtection="1">
      <alignment horizontal="center" vertical="center" wrapText="1"/>
    </xf>
    <xf numFmtId="0" fontId="6" fillId="0" borderId="41" xfId="16" applyFont="1" applyFill="1" applyBorder="1" applyAlignment="1" applyProtection="1">
      <alignment horizontal="center" vertical="center" wrapText="1"/>
    </xf>
    <xf numFmtId="0" fontId="6" fillId="0" borderId="11" xfId="16" applyFont="1" applyFill="1" applyBorder="1" applyAlignment="1" applyProtection="1">
      <alignment horizontal="center" vertical="center" wrapText="1"/>
    </xf>
    <xf numFmtId="0" fontId="6" fillId="0" borderId="13" xfId="16" applyFont="1" applyFill="1" applyBorder="1" applyAlignment="1" applyProtection="1">
      <alignment horizontal="center" vertical="center" wrapText="1"/>
    </xf>
    <xf numFmtId="0" fontId="7" fillId="0" borderId="30" xfId="0" applyFont="1" applyBorder="1" applyAlignment="1" applyProtection="1">
      <alignment horizontal="left" vertical="center"/>
    </xf>
    <xf numFmtId="0" fontId="40" fillId="2" borderId="14" xfId="0" applyFont="1" applyFill="1" applyBorder="1" applyAlignment="1" applyProtection="1">
      <alignment horizontal="left" vertical="center" wrapText="1" shrinkToFit="1"/>
      <protection locked="0"/>
    </xf>
    <xf numFmtId="0" fontId="40" fillId="2" borderId="15" xfId="0" applyFont="1" applyFill="1" applyBorder="1" applyAlignment="1" applyProtection="1">
      <alignment horizontal="left" vertical="center" wrapText="1" shrinkToFit="1"/>
      <protection locked="0"/>
    </xf>
    <xf numFmtId="0" fontId="40" fillId="2" borderId="47" xfId="0" applyFont="1" applyFill="1" applyBorder="1" applyAlignment="1" applyProtection="1">
      <alignment horizontal="left" vertical="center" wrapText="1" shrinkToFit="1"/>
      <protection locked="0"/>
    </xf>
    <xf numFmtId="0" fontId="9" fillId="9" borderId="21" xfId="0" applyFont="1" applyFill="1" applyBorder="1" applyAlignment="1" applyProtection="1">
      <alignment horizontal="left" vertical="center" wrapText="1" shrinkToFit="1"/>
      <protection locked="0"/>
    </xf>
    <xf numFmtId="0" fontId="9" fillId="9" borderId="15" xfId="0" applyFont="1" applyFill="1" applyBorder="1" applyAlignment="1" applyProtection="1">
      <alignment horizontal="left" vertical="center" wrapText="1" shrinkToFit="1"/>
      <protection locked="0"/>
    </xf>
    <xf numFmtId="0" fontId="9" fillId="9" borderId="130" xfId="0" applyFont="1" applyFill="1" applyBorder="1" applyAlignment="1" applyProtection="1">
      <alignment horizontal="left" vertical="center" wrapText="1" shrinkToFit="1"/>
      <protection locked="0"/>
    </xf>
    <xf numFmtId="0" fontId="4" fillId="0" borderId="32" xfId="0" applyFont="1" applyBorder="1" applyAlignment="1" applyProtection="1">
      <alignment horizontal="center" vertical="center"/>
    </xf>
    <xf numFmtId="0" fontId="41" fillId="0" borderId="3" xfId="0" applyFont="1" applyFill="1" applyBorder="1" applyAlignment="1" applyProtection="1">
      <alignment horizontal="center" vertical="center"/>
    </xf>
    <xf numFmtId="0" fontId="41" fillId="0" borderId="6" xfId="0" applyFont="1" applyFill="1" applyBorder="1" applyAlignment="1" applyProtection="1">
      <alignment horizontal="center" vertical="center"/>
    </xf>
    <xf numFmtId="0" fontId="7" fillId="0" borderId="0" xfId="0" applyFont="1" applyBorder="1" applyAlignment="1" applyProtection="1">
      <alignment horizontal="left" vertical="center" wrapText="1"/>
    </xf>
    <xf numFmtId="0" fontId="7" fillId="0" borderId="0" xfId="0" applyFont="1" applyBorder="1" applyAlignment="1" applyProtection="1">
      <alignment horizontal="left" vertical="center"/>
    </xf>
    <xf numFmtId="0" fontId="4" fillId="0" borderId="105" xfId="0" applyFont="1" applyBorder="1" applyAlignment="1" applyProtection="1">
      <alignment horizontal="left" vertical="center" wrapText="1"/>
    </xf>
    <xf numFmtId="0" fontId="6" fillId="0" borderId="15" xfId="0" applyFont="1" applyBorder="1" applyAlignment="1" applyProtection="1">
      <alignment horizontal="left" vertical="center" wrapText="1"/>
    </xf>
    <xf numFmtId="0" fontId="6" fillId="0" borderId="47" xfId="0" applyFont="1" applyBorder="1" applyAlignment="1" applyProtection="1">
      <alignment horizontal="left" vertical="center" wrapText="1"/>
    </xf>
    <xf numFmtId="0" fontId="40" fillId="2" borderId="11" xfId="0" applyFont="1" applyFill="1" applyBorder="1" applyAlignment="1" applyProtection="1">
      <alignment horizontal="left" vertical="center" wrapText="1" shrinkToFit="1"/>
      <protection locked="0"/>
    </xf>
    <xf numFmtId="0" fontId="40" fillId="2" borderId="12" xfId="0" applyFont="1" applyFill="1" applyBorder="1" applyAlignment="1" applyProtection="1">
      <alignment horizontal="left" vertical="center" wrapText="1" shrinkToFit="1"/>
      <protection locked="0"/>
    </xf>
    <xf numFmtId="0" fontId="40" fillId="2" borderId="61" xfId="0" applyFont="1" applyFill="1" applyBorder="1" applyAlignment="1" applyProtection="1">
      <alignment horizontal="left" vertical="center" wrapText="1" shrinkToFit="1"/>
      <protection locked="0"/>
    </xf>
    <xf numFmtId="0" fontId="9" fillId="9" borderId="20" xfId="0" applyFont="1" applyFill="1" applyBorder="1" applyAlignment="1" applyProtection="1">
      <alignment horizontal="left" vertical="center" wrapText="1" shrinkToFit="1"/>
      <protection locked="0"/>
    </xf>
    <xf numFmtId="0" fontId="9" fillId="9" borderId="12" xfId="0" applyFont="1" applyFill="1" applyBorder="1" applyAlignment="1" applyProtection="1">
      <alignment horizontal="left" vertical="center" wrapText="1" shrinkToFit="1"/>
      <protection locked="0"/>
    </xf>
    <xf numFmtId="0" fontId="9" fillId="9" borderId="133" xfId="0" applyFont="1" applyFill="1" applyBorder="1" applyAlignment="1" applyProtection="1">
      <alignment horizontal="left" vertical="center" wrapText="1" shrinkToFit="1"/>
      <protection locked="0"/>
    </xf>
    <xf numFmtId="0" fontId="4" fillId="9" borderId="15" xfId="0" applyFont="1" applyFill="1" applyBorder="1" applyAlignment="1" applyProtection="1">
      <alignment horizontal="center" vertical="center" shrinkToFit="1"/>
      <protection locked="0"/>
    </xf>
    <xf numFmtId="0" fontId="4" fillId="9" borderId="47" xfId="0" applyFont="1" applyFill="1" applyBorder="1" applyAlignment="1" applyProtection="1">
      <alignment horizontal="center" vertical="center" shrinkToFit="1"/>
      <protection locked="0"/>
    </xf>
    <xf numFmtId="0" fontId="42" fillId="0" borderId="21" xfId="0" applyFont="1" applyBorder="1" applyAlignment="1" applyProtection="1">
      <alignment horizontal="left" vertical="center"/>
    </xf>
    <xf numFmtId="0" fontId="42" fillId="0" borderId="15" xfId="0" applyFont="1" applyBorder="1" applyAlignment="1" applyProtection="1">
      <alignment horizontal="left" vertical="center"/>
    </xf>
    <xf numFmtId="0" fontId="42" fillId="0" borderId="47" xfId="0" applyFont="1" applyBorder="1" applyAlignment="1" applyProtection="1">
      <alignment horizontal="left" vertical="center"/>
    </xf>
    <xf numFmtId="0" fontId="4" fillId="5" borderId="3" xfId="0" applyFont="1" applyFill="1" applyBorder="1" applyAlignment="1" applyProtection="1">
      <alignment horizontal="center" vertical="center"/>
    </xf>
    <xf numFmtId="0" fontId="4" fillId="5" borderId="4" xfId="0" applyFont="1" applyFill="1" applyBorder="1" applyAlignment="1" applyProtection="1">
      <alignment horizontal="center" vertical="center"/>
    </xf>
    <xf numFmtId="0" fontId="4" fillId="5" borderId="8" xfId="0" applyFont="1" applyFill="1" applyBorder="1" applyAlignment="1" applyProtection="1">
      <alignment horizontal="center" vertical="center"/>
    </xf>
    <xf numFmtId="0" fontId="4" fillId="5" borderId="9" xfId="0" applyFont="1" applyFill="1" applyBorder="1" applyAlignment="1" applyProtection="1">
      <alignment horizontal="center" vertical="center"/>
    </xf>
    <xf numFmtId="0" fontId="4" fillId="11" borderId="4" xfId="0" applyFont="1" applyFill="1" applyBorder="1" applyAlignment="1" applyProtection="1">
      <alignment horizontal="center" vertical="center"/>
      <protection locked="0"/>
    </xf>
    <xf numFmtId="0" fontId="4" fillId="11" borderId="5" xfId="0" applyFont="1" applyFill="1" applyBorder="1" applyAlignment="1" applyProtection="1">
      <alignment horizontal="center" vertical="center"/>
      <protection locked="0"/>
    </xf>
    <xf numFmtId="0" fontId="4" fillId="11" borderId="9" xfId="0" applyFont="1" applyFill="1" applyBorder="1" applyAlignment="1" applyProtection="1">
      <alignment horizontal="center" vertical="center"/>
      <protection locked="0"/>
    </xf>
    <xf numFmtId="0" fontId="4" fillId="11" borderId="10" xfId="0" applyFont="1" applyFill="1" applyBorder="1" applyAlignment="1" applyProtection="1">
      <alignment horizontal="center" vertical="center"/>
      <protection locked="0"/>
    </xf>
    <xf numFmtId="0" fontId="6" fillId="0" borderId="135" xfId="16" applyFont="1" applyFill="1" applyBorder="1" applyAlignment="1" applyProtection="1">
      <alignment horizontal="center" vertical="center" wrapText="1"/>
    </xf>
    <xf numFmtId="0" fontId="6" fillId="0" borderId="137" xfId="16" applyFont="1" applyFill="1" applyBorder="1" applyAlignment="1" applyProtection="1">
      <alignment horizontal="center" vertical="center" wrapText="1"/>
    </xf>
    <xf numFmtId="0" fontId="6" fillId="0" borderId="139" xfId="16" applyFont="1" applyFill="1" applyBorder="1" applyAlignment="1" applyProtection="1">
      <alignment horizontal="center" vertical="center" wrapText="1"/>
    </xf>
    <xf numFmtId="0" fontId="6" fillId="0" borderId="45" xfId="16" applyFont="1" applyFill="1" applyBorder="1" applyAlignment="1" applyProtection="1">
      <alignment horizontal="center" vertical="center" wrapText="1"/>
    </xf>
    <xf numFmtId="0" fontId="6" fillId="0" borderId="40" xfId="16" applyFont="1" applyFill="1" applyBorder="1" applyAlignment="1" applyProtection="1">
      <alignment horizontal="center" vertical="center" wrapText="1"/>
    </xf>
    <xf numFmtId="179" fontId="33" fillId="0" borderId="11" xfId="0" applyNumberFormat="1" applyFont="1" applyBorder="1" applyAlignment="1">
      <alignment horizontal="center" vertical="center"/>
    </xf>
    <xf numFmtId="179" fontId="33" fillId="0" borderId="13" xfId="0" applyNumberFormat="1" applyFont="1" applyBorder="1" applyAlignment="1">
      <alignment horizontal="center" vertical="center"/>
    </xf>
    <xf numFmtId="0" fontId="58" fillId="2" borderId="124" xfId="0" applyNumberFormat="1" applyFont="1" applyFill="1" applyBorder="1" applyAlignment="1" applyProtection="1">
      <alignment horizontal="left" vertical="center" wrapText="1" shrinkToFit="1"/>
      <protection locked="0"/>
    </xf>
    <xf numFmtId="0" fontId="58" fillId="2" borderId="26" xfId="0" applyNumberFormat="1" applyFont="1" applyFill="1" applyBorder="1" applyAlignment="1" applyProtection="1">
      <alignment horizontal="left" vertical="center" shrinkToFit="1"/>
      <protection locked="0"/>
    </xf>
    <xf numFmtId="0" fontId="58" fillId="2" borderId="27" xfId="0" applyNumberFormat="1" applyFont="1" applyFill="1" applyBorder="1" applyAlignment="1" applyProtection="1">
      <alignment horizontal="left" vertical="center" shrinkToFit="1"/>
      <protection locked="0"/>
    </xf>
    <xf numFmtId="0" fontId="11" fillId="0" borderId="40" xfId="0" applyFont="1" applyFill="1" applyBorder="1" applyAlignment="1" applyProtection="1">
      <alignment horizontal="center" vertical="center" wrapText="1"/>
    </xf>
    <xf numFmtId="0" fontId="11" fillId="0" borderId="24" xfId="0" applyFont="1" applyFill="1" applyBorder="1" applyAlignment="1" applyProtection="1">
      <alignment horizontal="center" vertical="center" wrapText="1"/>
    </xf>
    <xf numFmtId="0" fontId="0" fillId="0" borderId="80" xfId="0" applyBorder="1" applyAlignment="1" applyProtection="1">
      <alignment horizontal="center" vertical="center" wrapText="1" shrinkToFit="1"/>
    </xf>
    <xf numFmtId="0" fontId="0" fillId="0" borderId="58" xfId="0" applyBorder="1" applyAlignment="1" applyProtection="1">
      <alignment horizontal="center" vertical="center" wrapText="1" shrinkToFit="1"/>
    </xf>
    <xf numFmtId="0" fontId="0" fillId="0" borderId="38" xfId="0" applyBorder="1" applyAlignment="1" applyProtection="1">
      <alignment horizontal="center" vertical="center"/>
    </xf>
    <xf numFmtId="0" fontId="0" fillId="0" borderId="45" xfId="0" applyBorder="1" applyAlignment="1" applyProtection="1">
      <alignment horizontal="center" vertical="center"/>
    </xf>
    <xf numFmtId="0" fontId="0" fillId="0" borderId="40" xfId="0" applyBorder="1" applyAlignment="1" applyProtection="1">
      <alignment horizontal="center" vertical="center"/>
    </xf>
    <xf numFmtId="0" fontId="0" fillId="0" borderId="25" xfId="0"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xf>
    <xf numFmtId="0" fontId="11" fillId="0" borderId="45"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179" fontId="0" fillId="0" borderId="25" xfId="0" applyNumberFormat="1" applyFill="1" applyBorder="1" applyAlignment="1" applyProtection="1">
      <alignment horizontal="center" vertical="center"/>
    </xf>
    <xf numFmtId="179" fontId="0" fillId="0" borderId="27" xfId="0" applyNumberFormat="1" applyFill="1" applyBorder="1" applyAlignment="1" applyProtection="1">
      <alignment horizontal="center" vertical="center"/>
    </xf>
    <xf numFmtId="0" fontId="16" fillId="0" borderId="38" xfId="0" applyFont="1" applyFill="1" applyBorder="1" applyAlignment="1" applyProtection="1">
      <alignment horizontal="left" vertical="center" wrapText="1"/>
    </xf>
    <xf numFmtId="0" fontId="11" fillId="0" borderId="23" xfId="0" applyFont="1" applyFill="1" applyBorder="1" applyAlignment="1" applyProtection="1">
      <alignment horizontal="left" vertical="center" wrapText="1"/>
    </xf>
    <xf numFmtId="0" fontId="11" fillId="0" borderId="72" xfId="0" applyFont="1" applyFill="1" applyBorder="1" applyAlignment="1" applyProtection="1">
      <alignment horizontal="left" vertical="center" wrapText="1"/>
    </xf>
    <xf numFmtId="0" fontId="11" fillId="0" borderId="67" xfId="0" applyFont="1" applyFill="1" applyBorder="1" applyAlignment="1" applyProtection="1">
      <alignment horizontal="left" vertical="center" wrapText="1"/>
    </xf>
    <xf numFmtId="179" fontId="55" fillId="0" borderId="25" xfId="0" applyNumberFormat="1" applyFont="1" applyBorder="1" applyAlignment="1" applyProtection="1">
      <alignment horizontal="center" vertical="center" wrapText="1"/>
    </xf>
    <xf numFmtId="179" fontId="55" fillId="0" borderId="78" xfId="0" applyNumberFormat="1" applyFont="1" applyBorder="1" applyAlignment="1" applyProtection="1">
      <alignment horizontal="center" vertical="center" wrapText="1"/>
    </xf>
    <xf numFmtId="0" fontId="37" fillId="0" borderId="52" xfId="0" applyFont="1" applyFill="1" applyBorder="1" applyAlignment="1" applyProtection="1">
      <alignment horizontal="center" vertical="center" shrinkToFit="1"/>
    </xf>
    <xf numFmtId="0" fontId="37" fillId="0" borderId="32" xfId="0" applyFont="1" applyFill="1" applyBorder="1" applyAlignment="1" applyProtection="1">
      <alignment horizontal="center" vertical="center" shrinkToFit="1"/>
    </xf>
    <xf numFmtId="0" fontId="37" fillId="0" borderId="54" xfId="0" applyFont="1" applyFill="1" applyBorder="1" applyAlignment="1" applyProtection="1">
      <alignment horizontal="center" vertical="center" shrinkToFit="1"/>
    </xf>
    <xf numFmtId="179" fontId="30" fillId="0" borderId="0" xfId="0" applyNumberFormat="1" applyFont="1" applyBorder="1" applyAlignment="1" applyProtection="1">
      <alignment horizontal="left" vertical="center"/>
    </xf>
    <xf numFmtId="0" fontId="16" fillId="0" borderId="30" xfId="0" applyFont="1" applyFill="1" applyBorder="1" applyAlignment="1" applyProtection="1">
      <alignment horizontal="center" vertical="center" shrinkToFit="1"/>
    </xf>
    <xf numFmtId="179" fontId="33" fillId="0" borderId="11" xfId="0" applyNumberFormat="1" applyFont="1" applyFill="1" applyBorder="1" applyAlignment="1" applyProtection="1">
      <alignment horizontal="center" vertical="center"/>
    </xf>
    <xf numFmtId="179" fontId="33" fillId="0" borderId="61" xfId="0" applyNumberFormat="1" applyFont="1" applyFill="1" applyBorder="1" applyAlignment="1" applyProtection="1">
      <alignment horizontal="center" vertical="center"/>
    </xf>
    <xf numFmtId="179" fontId="33" fillId="0" borderId="12" xfId="0" applyNumberFormat="1" applyFont="1" applyFill="1" applyBorder="1" applyAlignment="1" applyProtection="1">
      <alignment horizontal="center" vertical="center"/>
    </xf>
    <xf numFmtId="0" fontId="33" fillId="0" borderId="38" xfId="0" applyFont="1" applyBorder="1" applyAlignment="1" applyProtection="1">
      <alignment horizontal="center" vertical="center"/>
    </xf>
    <xf numFmtId="0" fontId="33" fillId="0" borderId="23" xfId="0" applyFont="1" applyBorder="1" applyAlignment="1" applyProtection="1">
      <alignment horizontal="center" vertical="center"/>
    </xf>
    <xf numFmtId="0" fontId="33" fillId="0" borderId="39" xfId="0" applyFont="1" applyBorder="1" applyAlignment="1" applyProtection="1">
      <alignment horizontal="center" vertical="center"/>
    </xf>
    <xf numFmtId="0" fontId="34" fillId="0" borderId="3" xfId="0" applyFont="1" applyBorder="1" applyAlignment="1" applyProtection="1">
      <alignment horizontal="center" vertical="center" shrinkToFit="1"/>
    </xf>
    <xf numFmtId="0" fontId="34" fillId="0" borderId="4" xfId="0" applyFont="1" applyBorder="1" applyAlignment="1" applyProtection="1">
      <alignment horizontal="center" vertical="center" shrinkToFit="1"/>
    </xf>
    <xf numFmtId="0" fontId="33" fillId="0" borderId="3" xfId="0" applyFont="1" applyBorder="1" applyAlignment="1" applyProtection="1">
      <alignment horizontal="center" vertical="center" shrinkToFit="1"/>
    </xf>
    <xf numFmtId="0" fontId="33" fillId="0" borderId="4" xfId="0" applyFont="1" applyBorder="1" applyAlignment="1" applyProtection="1">
      <alignment horizontal="center" vertical="center" shrinkToFit="1"/>
    </xf>
    <xf numFmtId="0" fontId="33" fillId="0" borderId="5" xfId="0" applyFont="1" applyBorder="1" applyAlignment="1" applyProtection="1">
      <alignment horizontal="center" vertical="center" shrinkToFit="1"/>
    </xf>
    <xf numFmtId="0" fontId="0" fillId="0" borderId="1" xfId="0" applyFill="1" applyBorder="1" applyAlignment="1" applyProtection="1">
      <alignment horizontal="center" vertical="center"/>
    </xf>
    <xf numFmtId="0" fontId="0" fillId="0" borderId="1" xfId="0" applyFill="1" applyBorder="1" applyAlignment="1" applyProtection="1">
      <alignment horizontal="center" vertical="center" shrinkToFit="1"/>
      <protection locked="0"/>
    </xf>
    <xf numFmtId="0" fontId="3" fillId="0" borderId="31" xfId="0" applyFont="1" applyBorder="1" applyAlignment="1" applyProtection="1">
      <alignment horizontal="center" vertical="center"/>
    </xf>
    <xf numFmtId="0" fontId="3" fillId="0" borderId="33" xfId="0" applyFont="1" applyBorder="1" applyAlignment="1" applyProtection="1">
      <alignment horizontal="center" vertical="center"/>
    </xf>
    <xf numFmtId="0" fontId="3" fillId="0" borderId="34" xfId="0" applyFont="1" applyBorder="1" applyAlignment="1" applyProtection="1">
      <alignment horizontal="center" vertical="center"/>
    </xf>
    <xf numFmtId="0" fontId="3" fillId="0" borderId="35" xfId="0" applyFont="1" applyBorder="1" applyAlignment="1" applyProtection="1">
      <alignment horizontal="center" vertical="center"/>
    </xf>
    <xf numFmtId="0" fontId="3" fillId="0" borderId="36" xfId="0" applyFont="1" applyBorder="1" applyAlignment="1" applyProtection="1">
      <alignment horizontal="center" vertical="center"/>
    </xf>
    <xf numFmtId="0" fontId="3" fillId="0" borderId="37" xfId="0" applyFont="1" applyBorder="1" applyAlignment="1" applyProtection="1">
      <alignment horizontal="center" vertical="center"/>
    </xf>
    <xf numFmtId="0" fontId="9" fillId="0" borderId="1" xfId="0" applyFont="1" applyBorder="1" applyAlignment="1" applyProtection="1">
      <alignment horizontal="center" vertical="center"/>
    </xf>
    <xf numFmtId="0" fontId="9" fillId="0" borderId="1" xfId="0" applyFont="1" applyFill="1" applyBorder="1" applyAlignment="1" applyProtection="1">
      <alignment horizontal="center" vertical="center" shrinkToFit="1"/>
      <protection locked="0"/>
    </xf>
    <xf numFmtId="0" fontId="9" fillId="0" borderId="1" xfId="0" applyFont="1" applyFill="1" applyBorder="1" applyAlignment="1" applyProtection="1">
      <alignment horizontal="center" vertical="center"/>
    </xf>
    <xf numFmtId="0" fontId="9" fillId="0" borderId="47" xfId="0" applyFont="1" applyBorder="1" applyAlignment="1" applyProtection="1">
      <alignment horizontal="left" vertical="center"/>
    </xf>
    <xf numFmtId="0" fontId="9" fillId="0" borderId="1" xfId="0" applyFont="1" applyBorder="1" applyAlignment="1" applyProtection="1">
      <alignment horizontal="left" vertical="center"/>
    </xf>
    <xf numFmtId="0" fontId="0" fillId="0" borderId="1" xfId="0" applyFill="1" applyBorder="1" applyAlignment="1" applyProtection="1">
      <alignment horizontal="left" vertical="center" shrinkToFit="1"/>
    </xf>
    <xf numFmtId="0" fontId="0" fillId="0" borderId="31" xfId="0" applyFill="1" applyBorder="1" applyAlignment="1" applyProtection="1">
      <alignment horizontal="center" vertical="center"/>
    </xf>
    <xf numFmtId="0" fontId="0" fillId="0" borderId="32" xfId="0" applyFill="1" applyBorder="1" applyAlignment="1" applyProtection="1">
      <alignment horizontal="center" vertical="center"/>
    </xf>
    <xf numFmtId="0" fontId="0" fillId="0" borderId="34" xfId="0" applyFill="1" applyBorder="1" applyAlignment="1" applyProtection="1">
      <alignment horizontal="center" vertical="center"/>
    </xf>
    <xf numFmtId="0" fontId="0" fillId="0" borderId="0" xfId="0" applyFill="1" applyBorder="1" applyAlignment="1" applyProtection="1">
      <alignment horizontal="center" vertical="center"/>
    </xf>
    <xf numFmtId="0" fontId="0" fillId="0" borderId="36" xfId="0" applyFill="1" applyBorder="1" applyAlignment="1" applyProtection="1">
      <alignment horizontal="center" vertical="center"/>
    </xf>
    <xf numFmtId="0" fontId="0" fillId="0" borderId="30" xfId="0" applyFill="1" applyBorder="1" applyAlignment="1" applyProtection="1">
      <alignment horizontal="center" vertical="center"/>
    </xf>
    <xf numFmtId="0" fontId="0" fillId="0" borderId="32" xfId="0" applyFill="1" applyBorder="1" applyAlignment="1" applyProtection="1">
      <alignment horizontal="left" vertical="center" shrinkToFit="1"/>
    </xf>
    <xf numFmtId="0" fontId="0" fillId="0" borderId="30" xfId="0" applyFill="1" applyBorder="1" applyAlignment="1" applyProtection="1">
      <alignment horizontal="left" vertical="center" shrinkToFit="1"/>
    </xf>
    <xf numFmtId="0" fontId="9" fillId="2" borderId="1" xfId="0" applyFont="1" applyFill="1" applyBorder="1" applyAlignment="1" applyProtection="1">
      <alignment vertical="center"/>
      <protection locked="0"/>
    </xf>
    <xf numFmtId="0" fontId="9" fillId="2" borderId="1" xfId="0" applyFont="1" applyFill="1" applyBorder="1" applyAlignment="1" applyProtection="1">
      <alignment horizontal="center" vertical="center"/>
      <protection locked="0"/>
    </xf>
    <xf numFmtId="0" fontId="6" fillId="0" borderId="0" xfId="0" applyFont="1" applyBorder="1" applyAlignment="1" applyProtection="1">
      <alignment horizontal="center" vertical="center"/>
    </xf>
    <xf numFmtId="0" fontId="6" fillId="0" borderId="30" xfId="0" applyFont="1" applyBorder="1" applyAlignment="1" applyProtection="1">
      <alignment horizontal="center" vertical="center"/>
    </xf>
    <xf numFmtId="0" fontId="9" fillId="0" borderId="1" xfId="0" applyFont="1" applyFill="1" applyBorder="1" applyAlignment="1" applyProtection="1">
      <alignment horizontal="left" vertical="center"/>
    </xf>
    <xf numFmtId="0" fontId="5" fillId="0" borderId="0" xfId="0" applyFont="1" applyAlignment="1" applyProtection="1">
      <alignment horizontal="center" vertical="center"/>
    </xf>
    <xf numFmtId="0" fontId="3" fillId="0" borderId="0" xfId="0" applyFont="1" applyAlignment="1" applyProtection="1">
      <alignment vertical="center"/>
    </xf>
    <xf numFmtId="0" fontId="0" fillId="0" borderId="0" xfId="0" applyAlignment="1" applyProtection="1">
      <alignment horizontal="center" vertical="center"/>
    </xf>
    <xf numFmtId="0" fontId="15" fillId="0" borderId="0" xfId="0" applyFont="1" applyAlignment="1" applyProtection="1">
      <alignment vertical="center" wrapText="1"/>
    </xf>
    <xf numFmtId="0" fontId="3" fillId="0" borderId="0" xfId="0" applyFont="1" applyBorder="1" applyAlignment="1" applyProtection="1">
      <alignment horizontal="center" vertical="top"/>
    </xf>
    <xf numFmtId="0" fontId="9" fillId="0" borderId="0" xfId="0" applyFont="1" applyBorder="1" applyAlignment="1" applyProtection="1">
      <alignment horizontal="center" vertical="top"/>
    </xf>
    <xf numFmtId="0" fontId="3" fillId="0" borderId="35" xfId="0" applyFont="1" applyBorder="1" applyAlignment="1" applyProtection="1">
      <alignment horizontal="center" vertical="top"/>
    </xf>
    <xf numFmtId="0" fontId="9" fillId="0" borderId="35" xfId="0" applyFont="1" applyBorder="1" applyAlignment="1" applyProtection="1">
      <alignment horizontal="center" vertical="top"/>
    </xf>
    <xf numFmtId="0" fontId="4" fillId="0" borderId="0" xfId="0" applyFont="1" applyBorder="1" applyAlignment="1" applyProtection="1">
      <alignment horizontal="center" vertical="center"/>
    </xf>
    <xf numFmtId="38" fontId="6" fillId="0" borderId="0" xfId="1" applyFont="1" applyFill="1" applyBorder="1" applyAlignment="1" applyProtection="1">
      <alignment horizontal="center" vertical="center"/>
    </xf>
    <xf numFmtId="38" fontId="6" fillId="0" borderId="30" xfId="1" applyFont="1" applyFill="1" applyBorder="1" applyAlignment="1" applyProtection="1">
      <alignment horizontal="center" vertical="center"/>
    </xf>
    <xf numFmtId="0" fontId="3" fillId="0" borderId="31" xfId="0" applyFont="1" applyFill="1" applyBorder="1" applyAlignment="1" applyProtection="1">
      <alignment horizontal="center" vertical="center"/>
    </xf>
    <xf numFmtId="0" fontId="3" fillId="0" borderId="32" xfId="0" applyFont="1" applyFill="1" applyBorder="1" applyAlignment="1" applyProtection="1">
      <alignment horizontal="center" vertical="center"/>
    </xf>
    <xf numFmtId="0" fontId="3" fillId="0" borderId="33" xfId="0" applyFont="1" applyFill="1" applyBorder="1" applyAlignment="1" applyProtection="1">
      <alignment horizontal="center" vertical="center"/>
    </xf>
    <xf numFmtId="0" fontId="3" fillId="0" borderId="36" xfId="0" applyFont="1" applyFill="1" applyBorder="1" applyAlignment="1" applyProtection="1">
      <alignment horizontal="center" vertical="center"/>
    </xf>
    <xf numFmtId="0" fontId="3" fillId="0" borderId="30" xfId="0" applyFont="1" applyFill="1" applyBorder="1" applyAlignment="1" applyProtection="1">
      <alignment horizontal="center" vertical="center"/>
    </xf>
    <xf numFmtId="0" fontId="3" fillId="0" borderId="37" xfId="0" applyFont="1" applyFill="1" applyBorder="1" applyAlignment="1" applyProtection="1">
      <alignment horizontal="center" vertical="center"/>
    </xf>
    <xf numFmtId="0" fontId="3" fillId="2" borderId="31" xfId="0" applyFont="1" applyFill="1" applyBorder="1" applyAlignment="1" applyProtection="1">
      <alignment horizontal="center" vertical="center"/>
      <protection locked="0"/>
    </xf>
    <xf numFmtId="0" fontId="3" fillId="2" borderId="32" xfId="0" applyFont="1" applyFill="1" applyBorder="1" applyAlignment="1" applyProtection="1">
      <alignment horizontal="center" vertical="center"/>
      <protection locked="0"/>
    </xf>
    <xf numFmtId="0" fontId="3" fillId="2" borderId="33" xfId="0" applyFont="1" applyFill="1" applyBorder="1" applyAlignment="1" applyProtection="1">
      <alignment horizontal="center" vertical="center"/>
      <protection locked="0"/>
    </xf>
    <xf numFmtId="0" fontId="3" fillId="2" borderId="34" xfId="0"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protection locked="0"/>
    </xf>
    <xf numFmtId="0" fontId="3" fillId="2" borderId="35" xfId="0" applyFont="1" applyFill="1" applyBorder="1" applyAlignment="1" applyProtection="1">
      <alignment horizontal="center" vertical="center"/>
      <protection locked="0"/>
    </xf>
    <xf numFmtId="0" fontId="3" fillId="2" borderId="36" xfId="0" applyFont="1" applyFill="1" applyBorder="1" applyAlignment="1" applyProtection="1">
      <alignment horizontal="center" vertical="center"/>
      <protection locked="0"/>
    </xf>
    <xf numFmtId="0" fontId="3" fillId="2" borderId="30" xfId="0" applyFont="1" applyFill="1" applyBorder="1" applyAlignment="1" applyProtection="1">
      <alignment horizontal="center" vertical="center"/>
      <protection locked="0"/>
    </xf>
    <xf numFmtId="0" fontId="3" fillId="2" borderId="37" xfId="0" applyFont="1" applyFill="1" applyBorder="1" applyAlignment="1" applyProtection="1">
      <alignment horizontal="center" vertical="center"/>
      <protection locked="0"/>
    </xf>
    <xf numFmtId="0" fontId="9" fillId="2" borderId="31" xfId="0" applyFont="1" applyFill="1" applyBorder="1" applyAlignment="1" applyProtection="1">
      <alignment vertical="center"/>
      <protection locked="0"/>
    </xf>
    <xf numFmtId="0" fontId="9" fillId="2" borderId="32" xfId="0" applyFont="1" applyFill="1" applyBorder="1" applyAlignment="1" applyProtection="1">
      <alignment vertical="center"/>
      <protection locked="0"/>
    </xf>
    <xf numFmtId="0" fontId="9" fillId="2" borderId="33" xfId="0" applyFont="1" applyFill="1" applyBorder="1" applyAlignment="1" applyProtection="1">
      <alignment vertical="center"/>
      <protection locked="0"/>
    </xf>
    <xf numFmtId="0" fontId="9" fillId="2" borderId="34" xfId="0" applyFont="1" applyFill="1" applyBorder="1" applyAlignment="1" applyProtection="1">
      <alignment vertical="center"/>
      <protection locked="0"/>
    </xf>
    <xf numFmtId="0" fontId="9" fillId="2" borderId="0" xfId="0" applyFont="1" applyFill="1" applyBorder="1" applyAlignment="1" applyProtection="1">
      <alignment vertical="center"/>
      <protection locked="0"/>
    </xf>
    <xf numFmtId="0" fontId="9" fillId="2" borderId="35" xfId="0" applyFont="1" applyFill="1" applyBorder="1" applyAlignment="1" applyProtection="1">
      <alignment vertical="center"/>
      <protection locked="0"/>
    </xf>
    <xf numFmtId="0" fontId="9" fillId="2" borderId="36" xfId="0" applyFont="1" applyFill="1" applyBorder="1" applyAlignment="1" applyProtection="1">
      <alignment vertical="center"/>
      <protection locked="0"/>
    </xf>
    <xf numFmtId="0" fontId="9" fillId="2" borderId="30" xfId="0" applyFont="1" applyFill="1" applyBorder="1" applyAlignment="1" applyProtection="1">
      <alignment vertical="center"/>
      <protection locked="0"/>
    </xf>
    <xf numFmtId="0" fontId="9" fillId="2" borderId="37" xfId="0" applyFont="1" applyFill="1" applyBorder="1" applyAlignment="1" applyProtection="1">
      <alignment vertical="center"/>
      <protection locked="0"/>
    </xf>
    <xf numFmtId="0" fontId="9" fillId="2" borderId="31" xfId="0" applyFont="1" applyFill="1" applyBorder="1" applyAlignment="1" applyProtection="1">
      <alignment horizontal="center" vertical="center"/>
      <protection locked="0"/>
    </xf>
    <xf numFmtId="0" fontId="9" fillId="2" borderId="32" xfId="0" applyFont="1" applyFill="1" applyBorder="1" applyAlignment="1" applyProtection="1">
      <alignment horizontal="center" vertical="center"/>
      <protection locked="0"/>
    </xf>
    <xf numFmtId="0" fontId="9" fillId="2" borderId="33" xfId="0" applyFont="1" applyFill="1" applyBorder="1" applyAlignment="1" applyProtection="1">
      <alignment horizontal="center" vertical="center"/>
      <protection locked="0"/>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0" xfId="0" applyFont="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30" xfId="0" applyFont="1" applyBorder="1" applyAlignment="1">
      <alignment horizontal="center" vertical="center"/>
    </xf>
    <xf numFmtId="0" fontId="3" fillId="0" borderId="37" xfId="0" applyFont="1" applyBorder="1" applyAlignment="1">
      <alignment horizontal="center" vertical="center"/>
    </xf>
    <xf numFmtId="0" fontId="3" fillId="2" borderId="32" xfId="0" applyFont="1" applyFill="1" applyBorder="1" applyProtection="1">
      <alignment vertical="center"/>
      <protection locked="0"/>
    </xf>
    <xf numFmtId="0" fontId="3" fillId="2" borderId="33" xfId="0" applyFont="1" applyFill="1" applyBorder="1" applyProtection="1">
      <alignment vertical="center"/>
      <protection locked="0"/>
    </xf>
    <xf numFmtId="0" fontId="3" fillId="2" borderId="0" xfId="0" applyFont="1" applyFill="1" applyProtection="1">
      <alignment vertical="center"/>
      <protection locked="0"/>
    </xf>
    <xf numFmtId="0" fontId="3" fillId="2" borderId="35" xfId="0" applyFont="1" applyFill="1" applyBorder="1" applyProtection="1">
      <alignment vertical="center"/>
      <protection locked="0"/>
    </xf>
    <xf numFmtId="0" fontId="3" fillId="2" borderId="30" xfId="0" applyFont="1" applyFill="1" applyBorder="1" applyProtection="1">
      <alignment vertical="center"/>
      <protection locked="0"/>
    </xf>
    <xf numFmtId="0" fontId="3" fillId="2" borderId="37" xfId="0" applyFont="1" applyFill="1" applyBorder="1" applyProtection="1">
      <alignment vertical="center"/>
      <protection locked="0"/>
    </xf>
    <xf numFmtId="0" fontId="3" fillId="0" borderId="109" xfId="0" applyFont="1" applyBorder="1" applyAlignment="1">
      <alignment horizontal="center" vertical="center"/>
    </xf>
    <xf numFmtId="0" fontId="3" fillId="0" borderId="110" xfId="0" applyFont="1" applyBorder="1" applyAlignment="1">
      <alignment horizontal="center" vertical="center"/>
    </xf>
    <xf numFmtId="0" fontId="3" fillId="0" borderId="111" xfId="0" applyFont="1" applyBorder="1" applyAlignment="1">
      <alignment horizontal="center" vertical="center"/>
    </xf>
    <xf numFmtId="58" fontId="3" fillId="0" borderId="34" xfId="0" applyNumberFormat="1" applyFont="1" applyBorder="1" applyAlignment="1">
      <alignment horizontal="center" vertical="center"/>
    </xf>
    <xf numFmtId="0" fontId="3" fillId="2" borderId="34" xfId="0" applyFont="1" applyFill="1" applyBorder="1" applyProtection="1">
      <alignment vertical="center"/>
      <protection locked="0"/>
    </xf>
    <xf numFmtId="0" fontId="3" fillId="0" borderId="92" xfId="0" applyFont="1" applyBorder="1" applyAlignment="1">
      <alignment horizontal="center" vertical="center"/>
    </xf>
    <xf numFmtId="0" fontId="3" fillId="0" borderId="93" xfId="0" applyFont="1" applyBorder="1" applyAlignment="1">
      <alignment horizontal="center" vertical="center"/>
    </xf>
    <xf numFmtId="0" fontId="3" fillId="0" borderId="95" xfId="0" applyFont="1" applyBorder="1" applyAlignment="1">
      <alignment horizontal="center" vertical="center"/>
    </xf>
    <xf numFmtId="177" fontId="15" fillId="0" borderId="96" xfId="0" applyNumberFormat="1" applyFont="1" applyBorder="1">
      <alignment vertical="center"/>
    </xf>
    <xf numFmtId="177" fontId="15" fillId="0" borderId="93" xfId="0" applyNumberFormat="1" applyFont="1" applyBorder="1">
      <alignment vertical="center"/>
    </xf>
    <xf numFmtId="177" fontId="15" fillId="0" borderId="95" xfId="0" applyNumberFormat="1" applyFont="1" applyBorder="1">
      <alignment vertical="center"/>
    </xf>
    <xf numFmtId="177" fontId="15" fillId="0" borderId="96" xfId="0" applyNumberFormat="1" applyFont="1" applyBorder="1" applyAlignment="1">
      <alignment horizontal="right" vertical="center"/>
    </xf>
    <xf numFmtId="177" fontId="15" fillId="0" borderId="93" xfId="0" applyNumberFormat="1" applyFont="1" applyBorder="1" applyAlignment="1">
      <alignment horizontal="right" vertical="center"/>
    </xf>
    <xf numFmtId="177" fontId="15" fillId="0" borderId="94" xfId="0" applyNumberFormat="1" applyFont="1" applyBorder="1" applyAlignment="1">
      <alignment horizontal="right" vertical="center"/>
    </xf>
    <xf numFmtId="177" fontId="15" fillId="0" borderId="92" xfId="0" applyNumberFormat="1" applyFont="1" applyBorder="1" applyAlignment="1">
      <alignment horizontal="right" vertical="center"/>
    </xf>
    <xf numFmtId="0" fontId="21" fillId="0" borderId="29" xfId="0" applyFont="1" applyBorder="1" applyAlignment="1">
      <alignment horizontal="center" vertical="center" textRotation="255" wrapText="1"/>
    </xf>
    <xf numFmtId="0" fontId="21" fillId="0" borderId="125" xfId="0" applyFont="1" applyBorder="1" applyAlignment="1">
      <alignment horizontal="center" vertical="center" textRotation="255"/>
    </xf>
    <xf numFmtId="0" fontId="3" fillId="0" borderId="20"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61" xfId="0" applyFont="1" applyBorder="1" applyAlignment="1">
      <alignment horizontal="left" vertical="center" shrinkToFit="1"/>
    </xf>
    <xf numFmtId="177" fontId="9" fillId="0" borderId="20" xfId="0" applyNumberFormat="1" applyFont="1" applyBorder="1" applyAlignment="1">
      <alignment horizontal="right" vertical="center"/>
    </xf>
    <xf numFmtId="177" fontId="9" fillId="0" borderId="12" xfId="0" applyNumberFormat="1" applyFont="1" applyBorder="1" applyAlignment="1">
      <alignment horizontal="right" vertical="center"/>
    </xf>
    <xf numFmtId="177" fontId="9" fillId="0" borderId="61" xfId="0" applyNumberFormat="1" applyFont="1" applyBorder="1" applyAlignment="1">
      <alignment horizontal="right" vertical="center"/>
    </xf>
    <xf numFmtId="177" fontId="9" fillId="2" borderId="20" xfId="0" applyNumberFormat="1" applyFont="1" applyFill="1" applyBorder="1" applyAlignment="1">
      <alignment horizontal="right" vertical="center"/>
    </xf>
    <xf numFmtId="177" fontId="9" fillId="2" borderId="12" xfId="0" applyNumberFormat="1" applyFont="1" applyFill="1" applyBorder="1" applyAlignment="1">
      <alignment horizontal="right" vertical="center"/>
    </xf>
    <xf numFmtId="177" fontId="9" fillId="2" borderId="61" xfId="0" applyNumberFormat="1" applyFont="1" applyFill="1" applyBorder="1" applyAlignment="1">
      <alignment horizontal="right" vertical="center"/>
    </xf>
    <xf numFmtId="177" fontId="62" fillId="10" borderId="20" xfId="0" applyNumberFormat="1" applyFont="1" applyFill="1" applyBorder="1" applyAlignment="1">
      <alignment horizontal="right" vertical="center"/>
    </xf>
    <xf numFmtId="177" fontId="62" fillId="10" borderId="12" xfId="0" applyNumberFormat="1" applyFont="1" applyFill="1" applyBorder="1" applyAlignment="1">
      <alignment horizontal="right" vertical="center"/>
    </xf>
    <xf numFmtId="177" fontId="62" fillId="10" borderId="13" xfId="0" applyNumberFormat="1" applyFont="1" applyFill="1" applyBorder="1" applyAlignment="1">
      <alignment horizontal="right" vertical="center"/>
    </xf>
    <xf numFmtId="0" fontId="3" fillId="0" borderId="50" xfId="0" applyFont="1" applyBorder="1" applyAlignment="1">
      <alignment horizontal="center" vertical="center" shrinkToFit="1"/>
    </xf>
    <xf numFmtId="0" fontId="3" fillId="0" borderId="48" xfId="0" applyFont="1" applyBorder="1" applyAlignment="1">
      <alignment horizontal="center" vertical="center" shrinkToFit="1"/>
    </xf>
    <xf numFmtId="0" fontId="3" fillId="0" borderId="108" xfId="0" applyFont="1" applyBorder="1" applyAlignment="1">
      <alignment horizontal="center" vertical="center" shrinkToFit="1"/>
    </xf>
    <xf numFmtId="196" fontId="3" fillId="2" borderId="101" xfId="0" applyNumberFormat="1" applyFont="1" applyFill="1" applyBorder="1" applyAlignment="1" applyProtection="1">
      <alignment horizontal="center" vertical="center" shrinkToFit="1"/>
      <protection locked="0"/>
    </xf>
    <xf numFmtId="196" fontId="3" fillId="2" borderId="108" xfId="0" applyNumberFormat="1" applyFont="1" applyFill="1" applyBorder="1" applyAlignment="1" applyProtection="1">
      <alignment horizontal="center" vertical="center" shrinkToFit="1"/>
      <protection locked="0"/>
    </xf>
    <xf numFmtId="177" fontId="3" fillId="0" borderId="98" xfId="0" applyNumberFormat="1" applyFont="1" applyBorder="1" applyAlignment="1">
      <alignment horizontal="right" vertical="center"/>
    </xf>
    <xf numFmtId="177" fontId="3" fillId="2" borderId="98" xfId="0" applyNumberFormat="1" applyFont="1" applyFill="1" applyBorder="1" applyAlignment="1" applyProtection="1">
      <alignment horizontal="right" vertical="center"/>
      <protection locked="0"/>
    </xf>
    <xf numFmtId="177" fontId="3" fillId="2" borderId="100" xfId="0" applyNumberFormat="1" applyFont="1" applyFill="1" applyBorder="1" applyAlignment="1" applyProtection="1">
      <alignment horizontal="right" vertical="center"/>
      <protection locked="0"/>
    </xf>
    <xf numFmtId="0" fontId="3" fillId="0" borderId="157" xfId="0" applyFont="1" applyBorder="1" applyAlignment="1">
      <alignment horizontal="left" vertical="center" shrinkToFit="1"/>
    </xf>
    <xf numFmtId="0" fontId="3" fillId="0" borderId="158" xfId="0" applyFont="1" applyBorder="1" applyAlignment="1">
      <alignment horizontal="left" vertical="center" shrinkToFit="1"/>
    </xf>
    <xf numFmtId="0" fontId="3" fillId="0" borderId="159" xfId="0" applyFont="1" applyBorder="1" applyAlignment="1">
      <alignment horizontal="left" vertical="center" shrinkToFit="1"/>
    </xf>
    <xf numFmtId="194" fontId="3" fillId="2" borderId="160" xfId="0" applyNumberFormat="1" applyFont="1" applyFill="1" applyBorder="1" applyAlignment="1" applyProtection="1">
      <alignment horizontal="center" vertical="center" shrinkToFit="1"/>
      <protection locked="0"/>
    </xf>
    <xf numFmtId="194" fontId="3" fillId="2" borderId="159" xfId="0" applyNumberFormat="1" applyFont="1" applyFill="1" applyBorder="1" applyAlignment="1" applyProtection="1">
      <alignment horizontal="center" vertical="center" shrinkToFit="1"/>
      <protection locked="0"/>
    </xf>
    <xf numFmtId="177" fontId="3" fillId="0" borderId="161" xfId="0" applyNumberFormat="1" applyFont="1" applyBorder="1" applyAlignment="1">
      <alignment horizontal="right" vertical="center"/>
    </xf>
    <xf numFmtId="177" fontId="3" fillId="2" borderId="161" xfId="0" applyNumberFormat="1" applyFont="1" applyFill="1" applyBorder="1" applyAlignment="1" applyProtection="1">
      <alignment horizontal="right" vertical="center"/>
      <protection locked="0"/>
    </xf>
    <xf numFmtId="177" fontId="3" fillId="2" borderId="162" xfId="0" applyNumberFormat="1" applyFont="1" applyFill="1" applyBorder="1" applyAlignment="1" applyProtection="1">
      <alignment horizontal="right" vertical="center"/>
      <protection locked="0"/>
    </xf>
    <xf numFmtId="0" fontId="3" fillId="0" borderId="29" xfId="0" applyFont="1" applyBorder="1" applyAlignment="1">
      <alignment horizontal="center" vertical="center" textRotation="255"/>
    </xf>
    <xf numFmtId="0" fontId="3" fillId="0" borderId="82" xfId="0" applyFont="1" applyBorder="1" applyAlignment="1">
      <alignment horizontal="center" vertical="center" textRotation="255"/>
    </xf>
    <xf numFmtId="0" fontId="3" fillId="0" borderId="20"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61" xfId="0" applyFont="1" applyBorder="1" applyAlignment="1">
      <alignment horizontal="center" vertical="center" shrinkToFit="1"/>
    </xf>
    <xf numFmtId="0" fontId="3" fillId="0" borderId="20" xfId="0" applyFont="1" applyBorder="1" applyAlignment="1">
      <alignment horizontal="center" vertical="center"/>
    </xf>
    <xf numFmtId="0" fontId="9" fillId="0" borderId="12"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1" xfId="0" applyFont="1" applyBorder="1" applyAlignment="1">
      <alignment vertical="center" shrinkToFit="1"/>
    </xf>
    <xf numFmtId="0" fontId="3" fillId="0" borderId="142" xfId="0" applyFont="1" applyBorder="1" applyAlignment="1">
      <alignment vertical="center" shrinkToFit="1"/>
    </xf>
    <xf numFmtId="0" fontId="3" fillId="0" borderId="144" xfId="0" applyFont="1" applyBorder="1" applyAlignment="1">
      <alignment vertical="center" shrinkToFit="1"/>
    </xf>
    <xf numFmtId="177" fontId="3" fillId="0" borderId="141" xfId="0" applyNumberFormat="1" applyFont="1" applyBorder="1" applyAlignment="1">
      <alignment horizontal="right" vertical="center"/>
    </xf>
    <xf numFmtId="177" fontId="3" fillId="0" borderId="142" xfId="0" applyNumberFormat="1" applyFont="1" applyBorder="1" applyAlignment="1">
      <alignment horizontal="right" vertical="center"/>
    </xf>
    <xf numFmtId="177" fontId="3" fillId="0" borderId="144" xfId="0" applyNumberFormat="1" applyFont="1" applyBorder="1" applyAlignment="1">
      <alignment horizontal="right" vertical="center"/>
    </xf>
    <xf numFmtId="177" fontId="3" fillId="2" borderId="141" xfId="0" applyNumberFormat="1" applyFont="1" applyFill="1" applyBorder="1" applyAlignment="1">
      <alignment horizontal="right" vertical="center"/>
    </xf>
    <xf numFmtId="177" fontId="3" fillId="2" borderId="142" xfId="0" applyNumberFormat="1" applyFont="1" applyFill="1" applyBorder="1" applyAlignment="1">
      <alignment horizontal="right" vertical="center"/>
    </xf>
    <xf numFmtId="177" fontId="3" fillId="2" borderId="144" xfId="0" applyNumberFormat="1" applyFont="1" applyFill="1" applyBorder="1" applyAlignment="1">
      <alignment horizontal="right" vertical="center"/>
    </xf>
    <xf numFmtId="177" fontId="61" fillId="10" borderId="141" xfId="0" applyNumberFormat="1" applyFont="1" applyFill="1" applyBorder="1" applyAlignment="1" applyProtection="1">
      <alignment horizontal="right" vertical="center"/>
      <protection locked="0"/>
    </xf>
    <xf numFmtId="177" fontId="61" fillId="10" borderId="142" xfId="0" applyNumberFormat="1" applyFont="1" applyFill="1" applyBorder="1" applyAlignment="1" applyProtection="1">
      <alignment horizontal="right" vertical="center"/>
      <protection locked="0"/>
    </xf>
    <xf numFmtId="177" fontId="61" fillId="10" borderId="143" xfId="0" applyNumberFormat="1" applyFont="1" applyFill="1" applyBorder="1" applyAlignment="1" applyProtection="1">
      <alignment horizontal="right" vertical="center"/>
      <protection locked="0"/>
    </xf>
    <xf numFmtId="0" fontId="3" fillId="0" borderId="99" xfId="0" applyFont="1" applyBorder="1" applyAlignment="1">
      <alignment vertical="center" shrinkToFit="1"/>
    </xf>
    <xf numFmtId="0" fontId="3" fillId="0" borderId="97" xfId="0" applyFont="1" applyBorder="1" applyAlignment="1">
      <alignment vertical="center" shrinkToFit="1"/>
    </xf>
    <xf numFmtId="0" fontId="3" fillId="0" borderId="50" xfId="0" applyFont="1" applyBorder="1" applyAlignment="1">
      <alignment horizontal="left" vertical="center" shrinkToFit="1"/>
    </xf>
    <xf numFmtId="0" fontId="3" fillId="0" borderId="48" xfId="0" applyFont="1" applyBorder="1" applyAlignment="1">
      <alignment horizontal="left" vertical="center" shrinkToFit="1"/>
    </xf>
    <xf numFmtId="195" fontId="3" fillId="2" borderId="48" xfId="0" applyNumberFormat="1" applyFont="1" applyFill="1" applyBorder="1" applyAlignment="1" applyProtection="1">
      <alignment horizontal="center" vertical="center" shrinkToFit="1"/>
      <protection locked="0"/>
    </xf>
    <xf numFmtId="195" fontId="3" fillId="2" borderId="108" xfId="0" applyNumberFormat="1" applyFont="1" applyFill="1" applyBorder="1" applyAlignment="1" applyProtection="1">
      <alignment horizontal="center" vertical="center" shrinkToFit="1"/>
      <protection locked="0"/>
    </xf>
    <xf numFmtId="0" fontId="3" fillId="0" borderId="152" xfId="0" applyFont="1" applyBorder="1" applyAlignment="1">
      <alignment horizontal="center" vertical="center"/>
    </xf>
    <xf numFmtId="0" fontId="3" fillId="0" borderId="153" xfId="0" applyFont="1" applyBorder="1" applyAlignment="1">
      <alignment horizontal="center" vertical="center"/>
    </xf>
    <xf numFmtId="0" fontId="3" fillId="0" borderId="154" xfId="0" applyFont="1" applyBorder="1" applyAlignment="1">
      <alignment horizontal="center" vertical="center"/>
    </xf>
    <xf numFmtId="0" fontId="3" fillId="0" borderId="150" xfId="0" applyFont="1" applyBorder="1" applyAlignment="1">
      <alignment horizontal="center" vertical="center"/>
    </xf>
    <xf numFmtId="0" fontId="3" fillId="0" borderId="151" xfId="0" applyFont="1" applyBorder="1" applyAlignment="1">
      <alignment horizontal="center" vertical="center"/>
    </xf>
    <xf numFmtId="0" fontId="3" fillId="0" borderId="101" xfId="0" applyFont="1" applyBorder="1" applyAlignment="1">
      <alignment horizontal="center" vertical="center" shrinkToFit="1"/>
    </xf>
    <xf numFmtId="198" fontId="3" fillId="0" borderId="101" xfId="0" applyNumberFormat="1" applyFont="1" applyBorder="1" applyAlignment="1">
      <alignment horizontal="right" vertical="center" shrinkToFit="1"/>
    </xf>
    <xf numFmtId="198" fontId="3" fillId="0" borderId="48" xfId="0" applyNumberFormat="1" applyFont="1" applyBorder="1" applyAlignment="1">
      <alignment horizontal="right" vertical="center" shrinkToFit="1"/>
    </xf>
    <xf numFmtId="198" fontId="3" fillId="0" borderId="108" xfId="0" applyNumberFormat="1" applyFont="1" applyBorder="1" applyAlignment="1">
      <alignment horizontal="right" vertical="center" shrinkToFit="1"/>
    </xf>
    <xf numFmtId="0" fontId="3" fillId="0" borderId="108" xfId="0" applyFont="1" applyBorder="1" applyAlignment="1">
      <alignment horizontal="left" vertical="center" shrinkToFit="1"/>
    </xf>
    <xf numFmtId="0" fontId="3" fillId="0" borderId="147" xfId="0" applyFont="1" applyBorder="1" applyAlignment="1">
      <alignment horizontal="center" vertical="center"/>
    </xf>
    <xf numFmtId="0" fontId="3" fillId="0" borderId="148" xfId="0" applyFont="1" applyBorder="1" applyAlignment="1">
      <alignment horizontal="center" vertical="center"/>
    </xf>
    <xf numFmtId="0" fontId="3" fillId="0" borderId="149" xfId="0" applyFont="1" applyBorder="1" applyAlignment="1">
      <alignment horizontal="center" vertical="center"/>
    </xf>
    <xf numFmtId="0" fontId="3" fillId="0" borderId="60" xfId="0" applyFont="1" applyBorder="1" applyAlignment="1">
      <alignment horizontal="left" vertical="center" shrinkToFit="1"/>
    </xf>
    <xf numFmtId="0" fontId="3" fillId="0" borderId="55" xfId="0" applyFont="1" applyBorder="1" applyAlignment="1">
      <alignment horizontal="left" vertical="center" shrinkToFit="1"/>
    </xf>
    <xf numFmtId="0" fontId="3" fillId="0" borderId="145" xfId="0" applyFont="1" applyBorder="1" applyAlignment="1">
      <alignment horizontal="left" vertical="center" shrinkToFit="1"/>
    </xf>
    <xf numFmtId="0" fontId="3" fillId="0" borderId="146" xfId="0" applyFont="1" applyBorder="1" applyAlignment="1">
      <alignment horizontal="center" vertical="center" shrinkToFit="1"/>
    </xf>
    <xf numFmtId="0" fontId="3" fillId="0" borderId="55" xfId="0" applyFont="1" applyBorder="1" applyAlignment="1">
      <alignment horizontal="center" vertical="center" shrinkToFit="1"/>
    </xf>
    <xf numFmtId="193" fontId="3" fillId="0" borderId="55" xfId="0" applyNumberFormat="1" applyFont="1" applyBorder="1" applyAlignment="1">
      <alignment horizontal="right" vertical="center" shrinkToFit="1"/>
    </xf>
    <xf numFmtId="193" fontId="3" fillId="0" borderId="145" xfId="0" applyNumberFormat="1" applyFont="1" applyBorder="1" applyAlignment="1">
      <alignment horizontal="right" vertical="center" shrinkToFit="1"/>
    </xf>
    <xf numFmtId="0" fontId="3" fillId="0" borderId="21"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47" xfId="0" applyFont="1" applyBorder="1" applyAlignment="1">
      <alignment horizontal="center" vertical="center" shrinkToFit="1"/>
    </xf>
    <xf numFmtId="177" fontId="15" fillId="0" borderId="21" xfId="0" applyNumberFormat="1" applyFont="1" applyBorder="1" applyAlignment="1">
      <alignment horizontal="center" vertical="center" shrinkToFit="1"/>
    </xf>
    <xf numFmtId="0" fontId="15" fillId="0" borderId="15" xfId="0" applyFont="1" applyBorder="1" applyAlignment="1">
      <alignment horizontal="center" vertical="center" shrinkToFit="1"/>
    </xf>
    <xf numFmtId="0" fontId="15" fillId="0" borderId="47" xfId="0" applyFont="1" applyBorder="1" applyAlignment="1">
      <alignment horizontal="center" vertical="center" shrinkToFit="1"/>
    </xf>
    <xf numFmtId="0" fontId="15" fillId="0" borderId="16" xfId="0" applyFont="1" applyBorder="1" applyAlignment="1">
      <alignment horizontal="center" vertical="center" shrinkToFit="1"/>
    </xf>
    <xf numFmtId="0" fontId="3" fillId="2" borderId="0" xfId="0" applyFont="1" applyFill="1" applyAlignment="1" applyProtection="1">
      <alignment vertical="center" shrinkToFit="1"/>
      <protection locked="0"/>
    </xf>
    <xf numFmtId="0" fontId="3" fillId="2" borderId="30" xfId="0" applyFont="1" applyFill="1" applyBorder="1" applyAlignment="1" applyProtection="1">
      <alignment vertical="center" shrinkToFit="1"/>
      <protection locked="0"/>
    </xf>
    <xf numFmtId="0" fontId="3" fillId="0" borderId="1" xfId="0" applyFont="1" applyBorder="1" applyAlignment="1">
      <alignment horizontal="center" vertical="center"/>
    </xf>
    <xf numFmtId="0" fontId="3" fillId="0" borderId="1" xfId="0" applyFont="1" applyBorder="1" applyProtection="1">
      <alignment vertical="center"/>
      <protection locked="0"/>
    </xf>
    <xf numFmtId="0" fontId="3" fillId="0" borderId="67" xfId="0" applyFont="1" applyBorder="1" applyAlignment="1">
      <alignment horizontal="center" vertical="center"/>
    </xf>
    <xf numFmtId="0" fontId="3" fillId="0" borderId="67" xfId="0" applyFont="1" applyBorder="1" applyProtection="1">
      <alignment vertical="center"/>
      <protection locked="0"/>
    </xf>
    <xf numFmtId="0" fontId="9" fillId="9" borderId="67" xfId="0" applyFont="1" applyFill="1" applyBorder="1" applyAlignment="1" applyProtection="1">
      <alignment vertical="center" shrinkToFit="1"/>
      <protection locked="0"/>
    </xf>
    <xf numFmtId="0" fontId="4" fillId="0" borderId="0" xfId="0" applyFont="1" applyAlignment="1">
      <alignment horizontal="center" vertical="center"/>
    </xf>
    <xf numFmtId="0" fontId="3" fillId="0" borderId="0" xfId="0" applyFont="1">
      <alignment vertical="center"/>
    </xf>
    <xf numFmtId="0" fontId="3" fillId="2" borderId="35" xfId="0" applyFont="1" applyFill="1" applyBorder="1" applyAlignment="1" applyProtection="1">
      <alignment vertical="center" shrinkToFit="1"/>
      <protection locked="0"/>
    </xf>
    <xf numFmtId="0" fontId="3" fillId="0" borderId="0" xfId="0" applyFont="1" applyAlignment="1" applyProtection="1">
      <alignment horizontal="left" vertical="center" shrinkToFit="1"/>
      <protection locked="0"/>
    </xf>
    <xf numFmtId="0" fontId="3" fillId="0" borderId="35" xfId="0" applyFont="1" applyBorder="1" applyAlignment="1" applyProtection="1">
      <alignment horizontal="left" vertical="center" shrinkToFit="1"/>
      <protection locked="0"/>
    </xf>
    <xf numFmtId="0" fontId="3" fillId="0" borderId="30" xfId="0" applyFont="1" applyBorder="1">
      <alignment vertical="center"/>
    </xf>
    <xf numFmtId="0" fontId="3" fillId="0" borderId="0" xfId="0" applyFont="1" applyAlignment="1" applyProtection="1">
      <alignment horizontal="center" vertical="center" shrinkToFit="1"/>
      <protection locked="0"/>
    </xf>
    <xf numFmtId="0" fontId="3" fillId="0" borderId="30" xfId="0" applyFont="1" applyBorder="1" applyAlignment="1" applyProtection="1">
      <alignment horizontal="center" vertical="center" shrinkToFit="1"/>
      <protection locked="0"/>
    </xf>
    <xf numFmtId="0" fontId="3" fillId="0" borderId="0" xfId="0" applyFont="1" applyBorder="1" applyAlignment="1" applyProtection="1">
      <alignment horizontal="center" vertical="center"/>
    </xf>
    <xf numFmtId="0" fontId="3" fillId="0" borderId="151" xfId="0" applyFont="1" applyBorder="1" applyAlignment="1" applyProtection="1">
      <alignment horizontal="center" vertical="center"/>
    </xf>
    <xf numFmtId="0" fontId="3" fillId="0" borderId="153" xfId="0" applyFont="1" applyBorder="1" applyAlignment="1" applyProtection="1">
      <alignment horizontal="center" vertical="center"/>
    </xf>
    <xf numFmtId="0" fontId="3" fillId="0" borderId="154" xfId="0" applyFont="1" applyBorder="1" applyAlignment="1" applyProtection="1">
      <alignment horizontal="center" vertical="center"/>
    </xf>
    <xf numFmtId="0" fontId="3" fillId="0" borderId="99" xfId="0" applyFont="1" applyFill="1" applyBorder="1" applyAlignment="1" applyProtection="1">
      <alignment vertical="center" shrinkToFit="1"/>
    </xf>
    <xf numFmtId="0" fontId="3" fillId="0" borderId="97" xfId="0" applyFont="1" applyFill="1" applyBorder="1" applyAlignment="1" applyProtection="1">
      <alignment vertical="center" shrinkToFit="1"/>
    </xf>
    <xf numFmtId="177" fontId="3" fillId="0" borderId="98" xfId="0" applyNumberFormat="1" applyFont="1" applyFill="1" applyBorder="1" applyAlignment="1" applyProtection="1">
      <alignment horizontal="right" vertical="center"/>
    </xf>
    <xf numFmtId="0" fontId="3" fillId="0" borderId="152" xfId="0" applyFont="1" applyBorder="1" applyAlignment="1" applyProtection="1">
      <alignment horizontal="center" vertical="center"/>
    </xf>
    <xf numFmtId="0" fontId="3" fillId="0" borderId="150"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67" xfId="0" applyFont="1" applyBorder="1" applyAlignment="1" applyProtection="1">
      <alignment horizontal="center" vertical="center"/>
    </xf>
    <xf numFmtId="0" fontId="3" fillId="0" borderId="1" xfId="0" applyFont="1" applyBorder="1" applyAlignment="1" applyProtection="1">
      <alignment vertical="center"/>
      <protection locked="0"/>
    </xf>
    <xf numFmtId="0" fontId="3" fillId="0" borderId="67" xfId="0" applyFont="1" applyBorder="1" applyAlignment="1" applyProtection="1">
      <alignment vertical="center"/>
      <protection locked="0"/>
    </xf>
    <xf numFmtId="0" fontId="3" fillId="0" borderId="0" xfId="0" applyFont="1" applyBorder="1" applyAlignment="1" applyProtection="1">
      <alignment vertical="center"/>
    </xf>
    <xf numFmtId="0" fontId="3" fillId="0" borderId="30" xfId="0" applyFont="1" applyBorder="1" applyAlignment="1" applyProtection="1">
      <alignment vertical="center"/>
    </xf>
    <xf numFmtId="0" fontId="3" fillId="0" borderId="148" xfId="0" applyFont="1" applyBorder="1" applyAlignment="1" applyProtection="1">
      <alignment horizontal="center" vertical="center"/>
    </xf>
    <xf numFmtId="0" fontId="3" fillId="0" borderId="149" xfId="0" applyFont="1" applyBorder="1" applyAlignment="1" applyProtection="1">
      <alignment horizontal="center" vertical="center"/>
    </xf>
    <xf numFmtId="0" fontId="3" fillId="0" borderId="147" xfId="0" applyFont="1" applyBorder="1" applyAlignment="1" applyProtection="1">
      <alignment horizontal="center" vertical="center"/>
    </xf>
    <xf numFmtId="0" fontId="3" fillId="0" borderId="20" xfId="0" applyFont="1" applyFill="1" applyBorder="1" applyAlignment="1" applyProtection="1">
      <alignment horizontal="center" vertical="center" shrinkToFit="1"/>
    </xf>
    <xf numFmtId="0" fontId="3" fillId="0" borderId="12" xfId="0" applyFont="1" applyFill="1" applyBorder="1" applyAlignment="1" applyProtection="1">
      <alignment horizontal="center" vertical="center" shrinkToFit="1"/>
    </xf>
    <xf numFmtId="0" fontId="3" fillId="0" borderId="61" xfId="0" applyFont="1" applyFill="1" applyBorder="1" applyAlignment="1" applyProtection="1">
      <alignment horizontal="center" vertical="center" shrinkToFit="1"/>
    </xf>
    <xf numFmtId="0" fontId="0" fillId="0" borderId="67" xfId="0" applyFont="1" applyBorder="1" applyAlignment="1" applyProtection="1">
      <alignment horizontal="center" vertical="center"/>
    </xf>
    <xf numFmtId="0" fontId="10" fillId="0" borderId="67" xfId="0" applyFont="1" applyBorder="1" applyAlignment="1" applyProtection="1">
      <alignment horizontal="center" vertical="center"/>
    </xf>
    <xf numFmtId="0" fontId="0" fillId="0" borderId="67" xfId="0" applyFont="1" applyBorder="1" applyAlignment="1" applyProtection="1">
      <alignment horizontal="center" vertical="center"/>
      <protection locked="0"/>
    </xf>
    <xf numFmtId="0" fontId="10" fillId="0" borderId="67" xfId="0" applyFont="1" applyBorder="1" applyAlignment="1" applyProtection="1">
      <alignment horizontal="center" vertical="center"/>
      <protection locked="0"/>
    </xf>
    <xf numFmtId="197" fontId="3" fillId="0" borderId="22" xfId="0" applyNumberFormat="1" applyFont="1" applyFill="1" applyBorder="1" applyAlignment="1" applyProtection="1">
      <alignment horizontal="center" vertical="center"/>
      <protection locked="0"/>
    </xf>
    <xf numFmtId="197" fontId="3" fillId="0" borderId="18" xfId="0" applyNumberFormat="1" applyFont="1" applyFill="1" applyBorder="1" applyAlignment="1" applyProtection="1">
      <alignment horizontal="center" vertical="center"/>
      <protection locked="0"/>
    </xf>
    <xf numFmtId="197" fontId="3" fillId="0" borderId="62" xfId="0" applyNumberFormat="1" applyFont="1" applyFill="1" applyBorder="1" applyAlignment="1" applyProtection="1">
      <alignment horizontal="center" vertical="center"/>
      <protection locked="0"/>
    </xf>
    <xf numFmtId="0" fontId="3" fillId="9" borderId="22" xfId="0" applyNumberFormat="1" applyFont="1" applyFill="1" applyBorder="1" applyAlignment="1" applyProtection="1">
      <alignment horizontal="center" vertical="center"/>
      <protection locked="0"/>
    </xf>
    <xf numFmtId="0" fontId="3" fillId="9" borderId="18" xfId="0" applyNumberFormat="1" applyFont="1" applyFill="1" applyBorder="1" applyAlignment="1" applyProtection="1">
      <alignment horizontal="center" vertical="center"/>
      <protection locked="0"/>
    </xf>
    <xf numFmtId="0" fontId="3" fillId="9" borderId="62" xfId="0" applyNumberFormat="1" applyFont="1" applyFill="1" applyBorder="1" applyAlignment="1" applyProtection="1">
      <alignment horizontal="center" vertical="center"/>
      <protection locked="0"/>
    </xf>
    <xf numFmtId="0" fontId="4" fillId="0" borderId="0" xfId="0" applyFont="1" applyAlignment="1" applyProtection="1">
      <alignment horizontal="center" vertical="center"/>
    </xf>
    <xf numFmtId="177" fontId="15" fillId="0" borderId="96" xfId="0" applyNumberFormat="1" applyFont="1" applyFill="1" applyBorder="1" applyAlignment="1" applyProtection="1">
      <alignment vertical="center"/>
    </xf>
    <xf numFmtId="177" fontId="15" fillId="0" borderId="93" xfId="0" applyNumberFormat="1" applyFont="1" applyFill="1" applyBorder="1" applyAlignment="1" applyProtection="1">
      <alignment vertical="center"/>
    </xf>
    <xf numFmtId="177" fontId="15" fillId="0" borderId="95" xfId="0" applyNumberFormat="1" applyFont="1" applyFill="1" applyBorder="1" applyAlignment="1" applyProtection="1">
      <alignment vertical="center"/>
    </xf>
    <xf numFmtId="0" fontId="3" fillId="0" borderId="30" xfId="0" applyFont="1" applyBorder="1" applyAlignment="1" applyProtection="1">
      <alignment horizontal="center" vertical="center"/>
    </xf>
    <xf numFmtId="0" fontId="3" fillId="2" borderId="0" xfId="0" applyFont="1" applyFill="1" applyBorder="1" applyAlignment="1" applyProtection="1">
      <alignment vertical="center" shrinkToFit="1"/>
      <protection locked="0"/>
    </xf>
    <xf numFmtId="0" fontId="3" fillId="0" borderId="0" xfId="0" applyFont="1" applyFill="1" applyBorder="1" applyAlignment="1" applyProtection="1">
      <alignment horizontal="left" vertical="center" shrinkToFit="1"/>
      <protection locked="0"/>
    </xf>
    <xf numFmtId="0" fontId="3" fillId="0" borderId="35" xfId="0" applyFont="1" applyFill="1" applyBorder="1" applyAlignment="1" applyProtection="1">
      <alignment horizontal="left" vertical="center" shrinkToFit="1"/>
      <protection locked="0"/>
    </xf>
    <xf numFmtId="0" fontId="3" fillId="0" borderId="0" xfId="0" applyFont="1" applyFill="1" applyBorder="1" applyAlignment="1" applyProtection="1">
      <alignment horizontal="center" vertical="center" shrinkToFit="1"/>
      <protection locked="0"/>
    </xf>
    <xf numFmtId="0" fontId="3" fillId="0" borderId="30" xfId="0" applyFont="1" applyFill="1" applyBorder="1" applyAlignment="1" applyProtection="1">
      <alignment horizontal="center" vertical="center" shrinkToFit="1"/>
      <protection locked="0"/>
    </xf>
    <xf numFmtId="0" fontId="3" fillId="2" borderId="30" xfId="0" applyFont="1" applyFill="1" applyBorder="1" applyAlignment="1" applyProtection="1">
      <alignment vertical="center"/>
      <protection locked="0"/>
    </xf>
    <xf numFmtId="0" fontId="3" fillId="2" borderId="37" xfId="0" applyFont="1" applyFill="1" applyBorder="1" applyAlignment="1" applyProtection="1">
      <alignment vertical="center"/>
      <protection locked="0"/>
    </xf>
    <xf numFmtId="0" fontId="3" fillId="2" borderId="32" xfId="0" applyFont="1" applyFill="1" applyBorder="1" applyAlignment="1" applyProtection="1">
      <alignment vertical="center"/>
      <protection locked="0"/>
    </xf>
    <xf numFmtId="0" fontId="3" fillId="2" borderId="33" xfId="0" applyFont="1" applyFill="1" applyBorder="1" applyAlignment="1" applyProtection="1">
      <alignment vertical="center"/>
      <protection locked="0"/>
    </xf>
    <xf numFmtId="0" fontId="3" fillId="0" borderId="109" xfId="0" applyFont="1" applyFill="1" applyBorder="1" applyAlignment="1" applyProtection="1">
      <alignment horizontal="center" vertical="center"/>
    </xf>
    <xf numFmtId="0" fontId="3" fillId="0" borderId="110" xfId="0" applyFont="1" applyFill="1" applyBorder="1" applyAlignment="1" applyProtection="1">
      <alignment horizontal="center" vertical="center"/>
    </xf>
    <xf numFmtId="0" fontId="3" fillId="0" borderId="111" xfId="0" applyFont="1" applyFill="1" applyBorder="1" applyAlignment="1" applyProtection="1">
      <alignment horizontal="center" vertical="center"/>
    </xf>
    <xf numFmtId="177" fontId="3" fillId="0" borderId="141" xfId="0" applyNumberFormat="1" applyFont="1" applyFill="1" applyBorder="1" applyAlignment="1" applyProtection="1">
      <alignment horizontal="right" vertical="center"/>
    </xf>
    <xf numFmtId="177" fontId="3" fillId="0" borderId="142" xfId="0" applyNumberFormat="1" applyFont="1" applyFill="1" applyBorder="1" applyAlignment="1" applyProtection="1">
      <alignment horizontal="right" vertical="center"/>
    </xf>
    <xf numFmtId="177" fontId="3" fillId="0" borderId="144" xfId="0" applyNumberFormat="1" applyFont="1" applyFill="1" applyBorder="1" applyAlignment="1" applyProtection="1">
      <alignment horizontal="right" vertical="center"/>
    </xf>
    <xf numFmtId="0" fontId="3" fillId="0" borderId="32" xfId="0" applyFont="1" applyBorder="1" applyAlignment="1" applyProtection="1">
      <alignment horizontal="center" vertical="center"/>
    </xf>
    <xf numFmtId="0" fontId="21" fillId="0" borderId="29" xfId="0" applyFont="1" applyFill="1" applyBorder="1" applyAlignment="1" applyProtection="1">
      <alignment horizontal="center" vertical="center" textRotation="255" wrapText="1"/>
    </xf>
    <xf numFmtId="0" fontId="21" fillId="0" borderId="125" xfId="0" applyFont="1" applyFill="1" applyBorder="1" applyAlignment="1" applyProtection="1">
      <alignment horizontal="center" vertical="center" textRotation="255"/>
    </xf>
    <xf numFmtId="177" fontId="15" fillId="0" borderId="92" xfId="0" applyNumberFormat="1" applyFont="1" applyFill="1" applyBorder="1" applyAlignment="1" applyProtection="1">
      <alignment horizontal="right" vertical="center"/>
    </xf>
    <xf numFmtId="177" fontId="15" fillId="0" borderId="93" xfId="0" applyNumberFormat="1" applyFont="1" applyFill="1" applyBorder="1" applyAlignment="1" applyProtection="1">
      <alignment horizontal="right" vertical="center"/>
    </xf>
    <xf numFmtId="177" fontId="15" fillId="0" borderId="94" xfId="0" applyNumberFormat="1" applyFont="1" applyFill="1" applyBorder="1" applyAlignment="1" applyProtection="1">
      <alignment horizontal="right" vertical="center"/>
    </xf>
    <xf numFmtId="0" fontId="3" fillId="2" borderId="0" xfId="0" applyFont="1" applyFill="1" applyBorder="1" applyAlignment="1" applyProtection="1">
      <alignment vertical="center"/>
      <protection locked="0"/>
    </xf>
    <xf numFmtId="0" fontId="3" fillId="2" borderId="35" xfId="0" applyFont="1" applyFill="1" applyBorder="1" applyAlignment="1" applyProtection="1">
      <alignment vertical="center"/>
      <protection locked="0"/>
    </xf>
    <xf numFmtId="58" fontId="3" fillId="0" borderId="34" xfId="0" applyNumberFormat="1"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35" xfId="0" applyFont="1" applyFill="1" applyBorder="1" applyAlignment="1" applyProtection="1">
      <alignment horizontal="center" vertical="center"/>
    </xf>
    <xf numFmtId="0" fontId="3" fillId="2" borderId="34" xfId="0" applyFont="1" applyFill="1" applyBorder="1" applyAlignment="1" applyProtection="1">
      <alignment vertical="center"/>
      <protection locked="0"/>
    </xf>
    <xf numFmtId="177" fontId="3" fillId="2" borderId="141" xfId="0" applyNumberFormat="1" applyFont="1" applyFill="1" applyBorder="1" applyAlignment="1" applyProtection="1">
      <alignment horizontal="right" vertical="center"/>
    </xf>
    <xf numFmtId="177" fontId="3" fillId="2" borderId="142" xfId="0" applyNumberFormat="1" applyFont="1" applyFill="1" applyBorder="1" applyAlignment="1" applyProtection="1">
      <alignment horizontal="right" vertical="center"/>
    </xf>
    <xf numFmtId="177" fontId="3" fillId="2" borderId="144" xfId="0" applyNumberFormat="1" applyFont="1" applyFill="1" applyBorder="1" applyAlignment="1" applyProtection="1">
      <alignment horizontal="right" vertical="center"/>
    </xf>
    <xf numFmtId="0" fontId="3" fillId="0" borderId="92" xfId="0" applyFont="1" applyFill="1" applyBorder="1" applyAlignment="1" applyProtection="1">
      <alignment horizontal="center" vertical="center"/>
    </xf>
    <xf numFmtId="0" fontId="3" fillId="0" borderId="93" xfId="0" applyFont="1" applyFill="1" applyBorder="1" applyAlignment="1" applyProtection="1">
      <alignment horizontal="center" vertical="center"/>
    </xf>
    <xf numFmtId="0" fontId="3" fillId="0" borderId="95" xfId="0" applyFont="1" applyFill="1" applyBorder="1" applyAlignment="1" applyProtection="1">
      <alignment horizontal="center" vertical="center"/>
    </xf>
    <xf numFmtId="177" fontId="15" fillId="0" borderId="96" xfId="0" applyNumberFormat="1" applyFont="1" applyFill="1" applyBorder="1" applyAlignment="1" applyProtection="1">
      <alignment horizontal="right" vertical="center"/>
    </xf>
    <xf numFmtId="177" fontId="62" fillId="10" borderId="20" xfId="0" applyNumberFormat="1" applyFont="1" applyFill="1" applyBorder="1" applyAlignment="1" applyProtection="1">
      <alignment horizontal="right" vertical="center"/>
    </xf>
    <xf numFmtId="177" fontId="62" fillId="10" borderId="12" xfId="0" applyNumberFormat="1" applyFont="1" applyFill="1" applyBorder="1" applyAlignment="1" applyProtection="1">
      <alignment horizontal="right" vertical="center"/>
    </xf>
    <xf numFmtId="177" fontId="62" fillId="10" borderId="13" xfId="0" applyNumberFormat="1" applyFont="1" applyFill="1" applyBorder="1" applyAlignment="1" applyProtection="1">
      <alignment horizontal="right" vertical="center"/>
    </xf>
    <xf numFmtId="0" fontId="3" fillId="0" borderId="20" xfId="0" applyFont="1" applyFill="1" applyBorder="1" applyAlignment="1" applyProtection="1">
      <alignment horizontal="left" vertical="center" shrinkToFit="1"/>
    </xf>
    <xf numFmtId="0" fontId="3" fillId="0" borderId="12" xfId="0" applyFont="1" applyFill="1" applyBorder="1" applyAlignment="1" applyProtection="1">
      <alignment horizontal="left" vertical="center" shrinkToFit="1"/>
    </xf>
    <xf numFmtId="0" fontId="3" fillId="0" borderId="61" xfId="0" applyFont="1" applyFill="1" applyBorder="1" applyAlignment="1" applyProtection="1">
      <alignment horizontal="left" vertical="center" shrinkToFit="1"/>
    </xf>
    <xf numFmtId="0" fontId="3" fillId="0" borderId="50" xfId="0" applyFont="1" applyFill="1" applyBorder="1" applyAlignment="1" applyProtection="1">
      <alignment horizontal="left" vertical="center" shrinkToFit="1"/>
    </xf>
    <xf numFmtId="0" fontId="3" fillId="0" borderId="48" xfId="0" applyFont="1" applyFill="1" applyBorder="1" applyAlignment="1" applyProtection="1">
      <alignment horizontal="left" vertical="center" shrinkToFit="1"/>
    </xf>
    <xf numFmtId="0" fontId="3" fillId="0" borderId="50" xfId="0" applyFont="1" applyFill="1" applyBorder="1" applyAlignment="1" applyProtection="1">
      <alignment horizontal="center" vertical="center" shrinkToFit="1"/>
    </xf>
    <xf numFmtId="0" fontId="3" fillId="0" borderId="48" xfId="0" applyFont="1" applyFill="1" applyBorder="1" applyAlignment="1" applyProtection="1">
      <alignment horizontal="center" vertical="center" shrinkToFit="1"/>
    </xf>
    <xf numFmtId="0" fontId="3" fillId="0" borderId="108" xfId="0" applyFont="1" applyFill="1" applyBorder="1" applyAlignment="1" applyProtection="1">
      <alignment horizontal="center" vertical="center" shrinkToFit="1"/>
    </xf>
    <xf numFmtId="0" fontId="3" fillId="0" borderId="108" xfId="0" applyFont="1" applyFill="1" applyBorder="1" applyAlignment="1" applyProtection="1">
      <alignment horizontal="left" vertical="center" shrinkToFit="1"/>
    </xf>
    <xf numFmtId="0" fontId="3" fillId="0" borderId="141" xfId="0" applyFont="1" applyFill="1" applyBorder="1" applyAlignment="1" applyProtection="1">
      <alignment vertical="center" shrinkToFit="1"/>
    </xf>
    <xf numFmtId="0" fontId="3" fillId="0" borderId="142" xfId="0" applyFont="1" applyFill="1" applyBorder="1" applyAlignment="1" applyProtection="1">
      <alignment vertical="center" shrinkToFit="1"/>
    </xf>
    <xf numFmtId="0" fontId="3" fillId="0" borderId="144" xfId="0" applyFont="1" applyFill="1" applyBorder="1" applyAlignment="1" applyProtection="1">
      <alignment vertical="center" shrinkToFit="1"/>
    </xf>
    <xf numFmtId="177" fontId="9" fillId="0" borderId="20" xfId="0" applyNumberFormat="1" applyFont="1" applyFill="1" applyBorder="1" applyAlignment="1" applyProtection="1">
      <alignment horizontal="right" vertical="center"/>
    </xf>
    <xf numFmtId="177" fontId="9" fillId="0" borderId="12" xfId="0" applyNumberFormat="1" applyFont="1" applyFill="1" applyBorder="1" applyAlignment="1" applyProtection="1">
      <alignment horizontal="right" vertical="center"/>
    </xf>
    <xf numFmtId="177" fontId="9" fillId="0" borderId="61" xfId="0" applyNumberFormat="1" applyFont="1" applyFill="1" applyBorder="1" applyAlignment="1" applyProtection="1">
      <alignment horizontal="right" vertical="center"/>
    </xf>
    <xf numFmtId="177" fontId="9" fillId="2" borderId="20" xfId="0" applyNumberFormat="1" applyFont="1" applyFill="1" applyBorder="1" applyAlignment="1" applyProtection="1">
      <alignment horizontal="right" vertical="center"/>
    </xf>
    <xf numFmtId="177" fontId="9" fillId="2" borderId="12" xfId="0" applyNumberFormat="1" applyFont="1" applyFill="1" applyBorder="1" applyAlignment="1" applyProtection="1">
      <alignment horizontal="right" vertical="center"/>
    </xf>
    <xf numFmtId="177" fontId="9" fillId="2" borderId="61" xfId="0" applyNumberFormat="1" applyFont="1" applyFill="1" applyBorder="1" applyAlignment="1" applyProtection="1">
      <alignment horizontal="right" vertical="center"/>
    </xf>
    <xf numFmtId="194" fontId="3" fillId="2" borderId="101" xfId="0" applyNumberFormat="1" applyFont="1" applyFill="1" applyBorder="1" applyAlignment="1" applyProtection="1">
      <alignment horizontal="center" vertical="center" shrinkToFit="1"/>
      <protection locked="0"/>
    </xf>
    <xf numFmtId="194" fontId="3" fillId="2" borderId="108" xfId="0" applyNumberFormat="1" applyFont="1" applyFill="1" applyBorder="1" applyAlignment="1" applyProtection="1">
      <alignment horizontal="center" vertical="center" shrinkToFit="1"/>
      <protection locked="0"/>
    </xf>
    <xf numFmtId="0" fontId="3" fillId="0" borderId="29" xfId="0" applyFont="1" applyFill="1" applyBorder="1" applyAlignment="1" applyProtection="1">
      <alignment horizontal="center" vertical="center" textRotation="255"/>
    </xf>
    <xf numFmtId="0" fontId="3" fillId="0" borderId="82" xfId="0" applyFont="1" applyFill="1" applyBorder="1" applyAlignment="1" applyProtection="1">
      <alignment horizontal="center" vertical="center" textRotation="255"/>
    </xf>
    <xf numFmtId="0" fontId="3" fillId="0" borderId="21" xfId="0" applyFont="1" applyFill="1" applyBorder="1" applyAlignment="1" applyProtection="1">
      <alignment horizontal="center" vertical="center" shrinkToFit="1"/>
    </xf>
    <xf numFmtId="0" fontId="3" fillId="0" borderId="15" xfId="0" applyFont="1" applyFill="1" applyBorder="1" applyAlignment="1" applyProtection="1">
      <alignment horizontal="center" vertical="center" shrinkToFit="1"/>
    </xf>
    <xf numFmtId="0" fontId="3" fillId="0" borderId="47" xfId="0" applyFont="1" applyFill="1" applyBorder="1" applyAlignment="1" applyProtection="1">
      <alignment horizontal="center" vertical="center" shrinkToFit="1"/>
    </xf>
    <xf numFmtId="177" fontId="15" fillId="0" borderId="21" xfId="0" applyNumberFormat="1" applyFont="1" applyFill="1" applyBorder="1" applyAlignment="1" applyProtection="1">
      <alignment horizontal="center" vertical="center" shrinkToFit="1"/>
    </xf>
    <xf numFmtId="0" fontId="15" fillId="0" borderId="15" xfId="0" applyFont="1" applyFill="1" applyBorder="1" applyAlignment="1" applyProtection="1">
      <alignment horizontal="center" vertical="center" shrinkToFit="1"/>
    </xf>
    <xf numFmtId="0" fontId="15" fillId="0" borderId="47" xfId="0" applyFont="1" applyFill="1" applyBorder="1" applyAlignment="1" applyProtection="1">
      <alignment horizontal="center" vertical="center" shrinkToFit="1"/>
    </xf>
    <xf numFmtId="0" fontId="15" fillId="0" borderId="16" xfId="0" applyFont="1" applyFill="1" applyBorder="1" applyAlignment="1" applyProtection="1">
      <alignment horizontal="center" vertical="center" shrinkToFit="1"/>
    </xf>
    <xf numFmtId="0" fontId="3" fillId="0" borderId="60" xfId="0" applyFont="1" applyFill="1" applyBorder="1" applyAlignment="1" applyProtection="1">
      <alignment horizontal="left" vertical="center" shrinkToFit="1"/>
    </xf>
    <xf numFmtId="0" fontId="3" fillId="0" borderId="55" xfId="0" applyFont="1" applyFill="1" applyBorder="1" applyAlignment="1" applyProtection="1">
      <alignment horizontal="left" vertical="center" shrinkToFit="1"/>
    </xf>
    <xf numFmtId="0" fontId="3" fillId="0" borderId="145" xfId="0" applyFont="1" applyFill="1" applyBorder="1" applyAlignment="1" applyProtection="1">
      <alignment horizontal="left" vertical="center" shrinkToFit="1"/>
    </xf>
    <xf numFmtId="193" fontId="3" fillId="0" borderId="55" xfId="0" applyNumberFormat="1" applyFont="1" applyFill="1" applyBorder="1" applyAlignment="1" applyProtection="1">
      <alignment horizontal="right" vertical="center" shrinkToFit="1"/>
    </xf>
    <xf numFmtId="193" fontId="3" fillId="0" borderId="145" xfId="0" applyNumberFormat="1" applyFont="1" applyFill="1" applyBorder="1" applyAlignment="1" applyProtection="1">
      <alignment horizontal="right" vertical="center" shrinkToFit="1"/>
    </xf>
    <xf numFmtId="0" fontId="3" fillId="0" borderId="146" xfId="0" applyFont="1" applyFill="1" applyBorder="1" applyAlignment="1" applyProtection="1">
      <alignment horizontal="center" vertical="center" shrinkToFit="1"/>
    </xf>
    <xf numFmtId="0" fontId="3" fillId="0" borderId="55" xfId="0" applyFont="1" applyFill="1" applyBorder="1" applyAlignment="1" applyProtection="1">
      <alignment horizontal="center" vertical="center" shrinkToFit="1"/>
    </xf>
    <xf numFmtId="0" fontId="3" fillId="0" borderId="101" xfId="0" applyFont="1" applyFill="1" applyBorder="1" applyAlignment="1" applyProtection="1">
      <alignment horizontal="center" vertical="center" shrinkToFit="1"/>
    </xf>
    <xf numFmtId="198" fontId="3" fillId="0" borderId="101" xfId="0" applyNumberFormat="1" applyFont="1" applyFill="1" applyBorder="1" applyAlignment="1" applyProtection="1">
      <alignment horizontal="right" vertical="center" shrinkToFit="1"/>
    </xf>
    <xf numFmtId="198" fontId="3" fillId="0" borderId="48" xfId="0" applyNumberFormat="1" applyFont="1" applyFill="1" applyBorder="1" applyAlignment="1" applyProtection="1">
      <alignment horizontal="right" vertical="center" shrinkToFit="1"/>
    </xf>
    <xf numFmtId="198" fontId="3" fillId="0" borderId="108" xfId="0" applyNumberFormat="1" applyFont="1" applyFill="1" applyBorder="1" applyAlignment="1" applyProtection="1">
      <alignment horizontal="right" vertical="center" shrinkToFit="1"/>
    </xf>
    <xf numFmtId="0" fontId="3" fillId="0" borderId="20" xfId="0" applyFont="1" applyFill="1" applyBorder="1" applyAlignment="1" applyProtection="1">
      <alignment horizontal="center" vertical="center"/>
    </xf>
    <xf numFmtId="0" fontId="3" fillId="0" borderId="12"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16" fillId="0" borderId="32" xfId="0" applyFont="1" applyBorder="1" applyAlignment="1" applyProtection="1">
      <alignment horizontal="center" vertical="center" shrinkToFit="1"/>
    </xf>
    <xf numFmtId="0" fontId="0" fillId="0" borderId="30" xfId="0" applyBorder="1" applyAlignment="1" applyProtection="1">
      <alignment horizontal="center" vertical="center" shrinkToFit="1"/>
    </xf>
    <xf numFmtId="0" fontId="25" fillId="10" borderId="21" xfId="0" applyFont="1" applyFill="1" applyBorder="1" applyAlignment="1" applyProtection="1">
      <alignment horizontal="center" vertical="center"/>
    </xf>
    <xf numFmtId="0" fontId="25" fillId="10" borderId="15" xfId="0" applyFont="1" applyFill="1" applyBorder="1" applyAlignment="1" applyProtection="1">
      <alignment horizontal="center" vertical="center"/>
    </xf>
    <xf numFmtId="38" fontId="63" fillId="0" borderId="21" xfId="1" applyFont="1" applyBorder="1" applyAlignment="1" applyProtection="1">
      <alignment horizontal="right" vertical="center"/>
    </xf>
    <xf numFmtId="38" fontId="63" fillId="0" borderId="15" xfId="1" applyFont="1" applyBorder="1" applyAlignment="1" applyProtection="1">
      <alignment horizontal="right" vertical="center"/>
    </xf>
    <xf numFmtId="38" fontId="47" fillId="0" borderId="0" xfId="1" applyFont="1" applyAlignment="1" applyProtection="1">
      <alignment horizontal="center" vertical="center"/>
    </xf>
    <xf numFmtId="38" fontId="46" fillId="0" borderId="30" xfId="1" applyFont="1" applyFill="1" applyBorder="1" applyAlignment="1" applyProtection="1">
      <alignment horizontal="center" vertical="center"/>
    </xf>
    <xf numFmtId="38" fontId="46" fillId="0" borderId="30" xfId="1" applyFont="1" applyFill="1" applyBorder="1" applyAlignment="1" applyProtection="1">
      <alignment horizontal="left" vertical="center" shrinkToFit="1"/>
    </xf>
    <xf numFmtId="38" fontId="46" fillId="0" borderId="11" xfId="1" applyFont="1" applyBorder="1" applyAlignment="1" applyProtection="1">
      <alignment horizontal="left" vertical="center"/>
    </xf>
    <xf numFmtId="38" fontId="46" fillId="0" borderId="12" xfId="1" applyFont="1" applyBorder="1" applyAlignment="1" applyProtection="1">
      <alignment horizontal="left" vertical="center"/>
    </xf>
    <xf numFmtId="38" fontId="46" fillId="0" borderId="13" xfId="1" applyFont="1" applyBorder="1" applyAlignment="1" applyProtection="1">
      <alignment horizontal="left" vertical="center"/>
    </xf>
    <xf numFmtId="38" fontId="46" fillId="0" borderId="3" xfId="1" applyFont="1" applyFill="1" applyBorder="1" applyAlignment="1" applyProtection="1">
      <alignment horizontal="center" vertical="center"/>
    </xf>
    <xf numFmtId="38" fontId="46" fillId="0" borderId="4" xfId="1" applyFont="1" applyFill="1" applyBorder="1" applyAlignment="1" applyProtection="1">
      <alignment horizontal="center" vertical="center"/>
    </xf>
    <xf numFmtId="38" fontId="46" fillId="0" borderId="31" xfId="1" applyFont="1" applyBorder="1" applyAlignment="1" applyProtection="1">
      <alignment horizontal="left" vertical="center" wrapText="1"/>
    </xf>
    <xf numFmtId="38" fontId="46" fillId="0" borderId="32" xfId="1" applyFont="1" applyBorder="1" applyAlignment="1" applyProtection="1">
      <alignment horizontal="left" vertical="center" wrapText="1"/>
    </xf>
    <xf numFmtId="38" fontId="46" fillId="0" borderId="54" xfId="1" applyFont="1" applyBorder="1" applyAlignment="1" applyProtection="1">
      <alignment horizontal="left" vertical="center" wrapText="1"/>
    </xf>
    <xf numFmtId="38" fontId="46" fillId="0" borderId="58" xfId="1" applyFont="1" applyBorder="1" applyAlignment="1" applyProtection="1">
      <alignment horizontal="left" vertical="center" wrapText="1"/>
    </xf>
    <xf numFmtId="38" fontId="46" fillId="0" borderId="9" xfId="1" applyFont="1" applyBorder="1" applyAlignment="1" applyProtection="1">
      <alignment horizontal="left" vertical="center" wrapText="1"/>
    </xf>
    <xf numFmtId="38" fontId="46" fillId="0" borderId="10" xfId="1" applyFont="1" applyBorder="1" applyAlignment="1" applyProtection="1">
      <alignment horizontal="left" vertical="center" wrapText="1"/>
    </xf>
    <xf numFmtId="38" fontId="46" fillId="0" borderId="52" xfId="1" applyFont="1" applyFill="1" applyBorder="1" applyAlignment="1" applyProtection="1">
      <alignment horizontal="right" vertical="center"/>
    </xf>
    <xf numFmtId="38" fontId="46" fillId="0" borderId="32" xfId="1" applyFont="1" applyFill="1" applyBorder="1" applyAlignment="1" applyProtection="1">
      <alignment horizontal="right" vertical="center"/>
    </xf>
    <xf numFmtId="38" fontId="46" fillId="0" borderId="53" xfId="1" applyFont="1" applyFill="1" applyBorder="1" applyAlignment="1" applyProtection="1">
      <alignment horizontal="right" vertical="center"/>
    </xf>
    <xf numFmtId="38" fontId="46" fillId="0" borderId="30" xfId="1" applyFont="1" applyFill="1" applyBorder="1" applyAlignment="1" applyProtection="1">
      <alignment horizontal="right" vertical="center"/>
    </xf>
    <xf numFmtId="38" fontId="46" fillId="0" borderId="32" xfId="1" applyFont="1" applyBorder="1" applyAlignment="1" applyProtection="1">
      <alignment horizontal="left" vertical="center"/>
    </xf>
    <xf numFmtId="38" fontId="46" fillId="0" borderId="54" xfId="1" applyFont="1" applyBorder="1" applyAlignment="1" applyProtection="1">
      <alignment horizontal="left" vertical="center"/>
    </xf>
    <xf numFmtId="38" fontId="46" fillId="0" borderId="30" xfId="1" applyFont="1" applyBorder="1" applyAlignment="1" applyProtection="1">
      <alignment horizontal="left" vertical="center"/>
    </xf>
    <xf numFmtId="38" fontId="46" fillId="0" borderId="63" xfId="1" applyFont="1" applyBorder="1" applyAlignment="1" applyProtection="1">
      <alignment horizontal="left" vertical="center"/>
    </xf>
    <xf numFmtId="38" fontId="46" fillId="0" borderId="25" xfId="1" applyFont="1" applyBorder="1" applyAlignment="1">
      <alignment horizontal="center" vertical="center"/>
    </xf>
    <xf numFmtId="38" fontId="46" fillId="0" borderId="26" xfId="1" applyFont="1" applyBorder="1" applyAlignment="1">
      <alignment horizontal="center" vertical="center"/>
    </xf>
    <xf numFmtId="38" fontId="46" fillId="0" borderId="27" xfId="1" applyFont="1" applyBorder="1" applyAlignment="1">
      <alignment horizontal="center" vertical="center"/>
    </xf>
    <xf numFmtId="38" fontId="46" fillId="0" borderId="17" xfId="1" applyFont="1" applyBorder="1" applyAlignment="1" applyProtection="1">
      <alignment horizontal="left" vertical="center"/>
    </xf>
    <xf numFmtId="38" fontId="46" fillId="0" borderId="18" xfId="1" applyFont="1" applyBorder="1" applyAlignment="1" applyProtection="1">
      <alignment horizontal="left" vertical="center"/>
    </xf>
    <xf numFmtId="38" fontId="46" fillId="0" borderId="19" xfId="1" applyFont="1" applyBorder="1" applyAlignment="1" applyProtection="1">
      <alignment horizontal="left" vertical="center"/>
    </xf>
    <xf numFmtId="38" fontId="46" fillId="0" borderId="17" xfId="1" applyFont="1" applyBorder="1" applyAlignment="1" applyProtection="1">
      <alignment horizontal="right" vertical="center"/>
    </xf>
    <xf numFmtId="38" fontId="46" fillId="0" borderId="18" xfId="1" applyFont="1" applyBorder="1" applyAlignment="1" applyProtection="1">
      <alignment horizontal="right" vertical="center"/>
    </xf>
    <xf numFmtId="38" fontId="60" fillId="0" borderId="3" xfId="1" applyFont="1" applyBorder="1" applyAlignment="1" applyProtection="1">
      <alignment horizontal="left" vertical="center"/>
    </xf>
    <xf numFmtId="38" fontId="60" fillId="0" borderId="12" xfId="1" applyFont="1" applyBorder="1" applyAlignment="1" applyProtection="1">
      <alignment horizontal="left" vertical="center"/>
    </xf>
    <xf numFmtId="38" fontId="60" fillId="0" borderId="13" xfId="1" applyFont="1" applyBorder="1" applyAlignment="1" applyProtection="1">
      <alignment horizontal="left" vertical="center"/>
    </xf>
    <xf numFmtId="38" fontId="46" fillId="0" borderId="31" xfId="1" applyFont="1" applyBorder="1" applyAlignment="1" applyProtection="1">
      <alignment horizontal="left" vertical="center"/>
    </xf>
    <xf numFmtId="38" fontId="46" fillId="0" borderId="6" xfId="1" applyFont="1" applyFill="1" applyBorder="1" applyAlignment="1" applyProtection="1">
      <alignment horizontal="right" vertical="center"/>
    </xf>
    <xf numFmtId="38" fontId="46" fillId="0" borderId="0" xfId="1" applyFont="1" applyFill="1" applyBorder="1" applyAlignment="1" applyProtection="1">
      <alignment horizontal="right" vertical="center"/>
    </xf>
    <xf numFmtId="38" fontId="46" fillId="0" borderId="0" xfId="1" applyFont="1" applyBorder="1" applyAlignment="1" applyProtection="1">
      <alignment horizontal="left" vertical="center"/>
    </xf>
    <xf numFmtId="38" fontId="46" fillId="0" borderId="7" xfId="1" applyFont="1" applyBorder="1" applyAlignment="1" applyProtection="1">
      <alignment horizontal="left" vertical="center"/>
    </xf>
    <xf numFmtId="38" fontId="46" fillId="0" borderId="34" xfId="1" applyFont="1" applyBorder="1" applyAlignment="1" applyProtection="1">
      <alignment horizontal="left" vertical="center"/>
    </xf>
    <xf numFmtId="184" fontId="46" fillId="0" borderId="6" xfId="24" applyNumberFormat="1" applyFont="1" applyBorder="1" applyAlignment="1" applyProtection="1">
      <alignment horizontal="right" vertical="center"/>
    </xf>
    <xf numFmtId="184" fontId="46" fillId="0" borderId="0" xfId="24" applyNumberFormat="1" applyFont="1" applyBorder="1" applyAlignment="1" applyProtection="1">
      <alignment horizontal="right" vertical="center"/>
    </xf>
    <xf numFmtId="38" fontId="46" fillId="0" borderId="0" xfId="1" applyFont="1" applyFill="1" applyAlignment="1" applyProtection="1">
      <alignment horizontal="center" vertical="center"/>
    </xf>
    <xf numFmtId="38" fontId="46" fillId="0" borderId="30" xfId="1" applyFont="1" applyBorder="1" applyAlignment="1" applyProtection="1">
      <alignment horizontal="center" vertical="center" shrinkToFit="1"/>
    </xf>
    <xf numFmtId="38" fontId="46" fillId="0" borderId="0" xfId="1" applyFont="1" applyAlignment="1" applyProtection="1">
      <alignment horizontal="right" vertical="center"/>
    </xf>
    <xf numFmtId="38" fontId="46" fillId="0" borderId="30" xfId="1" applyFont="1" applyFill="1" applyBorder="1" applyAlignment="1" applyProtection="1">
      <alignment horizontal="center" vertical="center" shrinkToFit="1"/>
    </xf>
    <xf numFmtId="38" fontId="46" fillId="0" borderId="3" xfId="1" applyFont="1" applyBorder="1" applyAlignment="1" applyProtection="1">
      <alignment horizontal="left" vertical="center" wrapText="1"/>
    </xf>
    <xf numFmtId="38" fontId="46" fillId="0" borderId="4" xfId="1" applyFont="1" applyBorder="1" applyAlignment="1" applyProtection="1">
      <alignment horizontal="left" vertical="center" wrapText="1"/>
    </xf>
    <xf numFmtId="38" fontId="46" fillId="0" borderId="5" xfId="1" applyFont="1" applyBorder="1" applyAlignment="1" applyProtection="1">
      <alignment horizontal="left" vertical="center" wrapText="1"/>
    </xf>
    <xf numFmtId="38" fontId="46" fillId="0" borderId="8" xfId="1" applyFont="1" applyBorder="1" applyAlignment="1" applyProtection="1">
      <alignment horizontal="left" vertical="center" wrapText="1"/>
    </xf>
    <xf numFmtId="38" fontId="46" fillId="9" borderId="3" xfId="1" applyFont="1" applyFill="1" applyBorder="1" applyAlignment="1" applyProtection="1">
      <alignment horizontal="center" vertical="center"/>
      <protection locked="0"/>
    </xf>
    <xf numFmtId="38" fontId="46" fillId="9" borderId="4" xfId="1" applyFont="1" applyFill="1" applyBorder="1" applyAlignment="1" applyProtection="1">
      <alignment horizontal="center" vertical="center"/>
      <protection locked="0"/>
    </xf>
    <xf numFmtId="38" fontId="46" fillId="9" borderId="5" xfId="1" applyFont="1" applyFill="1" applyBorder="1" applyAlignment="1" applyProtection="1">
      <alignment horizontal="center" vertical="center"/>
      <protection locked="0"/>
    </xf>
    <xf numFmtId="38" fontId="46" fillId="9" borderId="8" xfId="1" applyFont="1" applyFill="1" applyBorder="1" applyAlignment="1" applyProtection="1">
      <alignment horizontal="center" vertical="center"/>
      <protection locked="0"/>
    </xf>
    <xf numFmtId="38" fontId="46" fillId="9" borderId="9" xfId="1" applyFont="1" applyFill="1" applyBorder="1" applyAlignment="1" applyProtection="1">
      <alignment horizontal="center" vertical="center"/>
      <protection locked="0"/>
    </xf>
    <xf numFmtId="38" fontId="46" fillId="9" borderId="10" xfId="1" applyFont="1" applyFill="1" applyBorder="1" applyAlignment="1" applyProtection="1">
      <alignment horizontal="center" vertical="center"/>
      <protection locked="0"/>
    </xf>
    <xf numFmtId="0" fontId="48" fillId="0" borderId="0" xfId="0" applyFont="1" applyAlignment="1" applyProtection="1">
      <alignment horizontal="center" vertical="center"/>
    </xf>
    <xf numFmtId="38" fontId="46" fillId="0" borderId="25" xfId="0" applyNumberFormat="1" applyFont="1" applyBorder="1" applyAlignment="1" applyProtection="1">
      <alignment horizontal="left" vertical="center" shrinkToFit="1"/>
    </xf>
    <xf numFmtId="38" fontId="46" fillId="0" borderId="27" xfId="0" applyNumberFormat="1" applyFont="1" applyBorder="1" applyAlignment="1" applyProtection="1">
      <alignment horizontal="left" vertical="center" shrinkToFit="1"/>
    </xf>
    <xf numFmtId="0" fontId="45" fillId="0" borderId="64" xfId="0" applyFont="1" applyBorder="1" applyAlignment="1" applyProtection="1">
      <alignment horizontal="center" vertical="center"/>
    </xf>
    <xf numFmtId="0" fontId="45" fillId="0" borderId="119" xfId="0" applyFont="1" applyBorder="1" applyAlignment="1" applyProtection="1">
      <alignment horizontal="center" vertical="center"/>
    </xf>
    <xf numFmtId="0" fontId="45" fillId="0" borderId="84" xfId="0" applyFont="1" applyBorder="1" applyAlignment="1" applyProtection="1">
      <alignment horizontal="center" vertical="center"/>
    </xf>
    <xf numFmtId="0" fontId="45" fillId="0" borderId="3" xfId="0" applyFont="1" applyBorder="1" applyAlignment="1" applyProtection="1">
      <alignment horizontal="center" vertical="center"/>
    </xf>
    <xf numFmtId="0" fontId="45" fillId="0" borderId="4" xfId="0" applyFont="1" applyBorder="1" applyAlignment="1" applyProtection="1">
      <alignment horizontal="center" vertical="center"/>
    </xf>
    <xf numFmtId="0" fontId="45" fillId="0" borderId="5" xfId="0" applyFont="1" applyBorder="1" applyAlignment="1" applyProtection="1">
      <alignment horizontal="center" vertical="center"/>
    </xf>
    <xf numFmtId="0" fontId="45" fillId="0" borderId="6" xfId="0" applyFont="1" applyBorder="1" applyAlignment="1" applyProtection="1">
      <alignment horizontal="center" vertical="center"/>
    </xf>
    <xf numFmtId="0" fontId="45" fillId="0" borderId="0" xfId="0" applyFont="1" applyBorder="1" applyAlignment="1" applyProtection="1">
      <alignment horizontal="center" vertical="center"/>
    </xf>
    <xf numFmtId="0" fontId="45" fillId="0" borderId="7" xfId="0" applyFont="1" applyBorder="1" applyAlignment="1" applyProtection="1">
      <alignment horizontal="center" vertical="center"/>
    </xf>
    <xf numFmtId="0" fontId="45" fillId="0" borderId="8" xfId="0" applyFont="1" applyBorder="1" applyAlignment="1" applyProtection="1">
      <alignment horizontal="center" vertical="center"/>
    </xf>
    <xf numFmtId="0" fontId="45" fillId="0" borderId="9" xfId="0" applyFont="1" applyBorder="1" applyAlignment="1" applyProtection="1">
      <alignment horizontal="center" vertical="center"/>
    </xf>
    <xf numFmtId="0" fontId="45" fillId="0" borderId="10" xfId="0" applyFont="1" applyBorder="1" applyAlignment="1" applyProtection="1">
      <alignment horizontal="center" vertical="center"/>
    </xf>
    <xf numFmtId="0" fontId="45" fillId="0" borderId="64" xfId="0" applyFont="1" applyBorder="1" applyAlignment="1" applyProtection="1">
      <alignment horizontal="center" vertical="center" wrapText="1"/>
    </xf>
    <xf numFmtId="0" fontId="45" fillId="0" borderId="119" xfId="0" applyFont="1" applyBorder="1" applyAlignment="1" applyProtection="1">
      <alignment horizontal="center" vertical="center" wrapText="1"/>
    </xf>
    <xf numFmtId="0" fontId="45" fillId="0" borderId="84" xfId="0" applyFont="1" applyBorder="1" applyAlignment="1" applyProtection="1">
      <alignment horizontal="center" vertical="center" wrapText="1"/>
    </xf>
    <xf numFmtId="0" fontId="45" fillId="0" borderId="11" xfId="0" applyFont="1" applyBorder="1" applyAlignment="1" applyProtection="1">
      <alignment horizontal="center" vertical="center" wrapText="1"/>
    </xf>
    <xf numFmtId="0" fontId="45" fillId="0" borderId="12" xfId="0" applyFont="1" applyBorder="1" applyAlignment="1" applyProtection="1">
      <alignment horizontal="center" vertical="center" wrapText="1"/>
    </xf>
    <xf numFmtId="0" fontId="45" fillId="0" borderId="13" xfId="0" applyFont="1" applyBorder="1" applyAlignment="1" applyProtection="1">
      <alignment horizontal="center" vertical="center" wrapText="1"/>
    </xf>
    <xf numFmtId="0" fontId="49" fillId="0" borderId="72" xfId="0" applyFont="1" applyBorder="1" applyAlignment="1" applyProtection="1">
      <alignment horizontal="center" vertical="center" wrapText="1"/>
    </xf>
    <xf numFmtId="0" fontId="49" fillId="0" borderId="80" xfId="0" applyFont="1" applyBorder="1" applyAlignment="1" applyProtection="1">
      <alignment horizontal="center" vertical="center" wrapText="1"/>
    </xf>
    <xf numFmtId="0" fontId="50" fillId="0" borderId="67" xfId="0" applyFont="1" applyBorder="1" applyAlignment="1" applyProtection="1">
      <alignment horizontal="center" vertical="center" wrapText="1"/>
    </xf>
    <xf numFmtId="0" fontId="50" fillId="0" borderId="73" xfId="0" applyFont="1" applyBorder="1" applyAlignment="1" applyProtection="1">
      <alignment horizontal="center" vertical="center" wrapText="1"/>
    </xf>
    <xf numFmtId="0" fontId="49" fillId="0" borderId="74" xfId="0" applyFont="1" applyBorder="1" applyAlignment="1" applyProtection="1">
      <alignment horizontal="center" vertical="center" wrapText="1"/>
    </xf>
    <xf numFmtId="0" fontId="49" fillId="0" borderId="75" xfId="0" applyFont="1" applyBorder="1" applyAlignment="1" applyProtection="1">
      <alignment horizontal="center" vertical="center" wrapText="1"/>
    </xf>
    <xf numFmtId="0" fontId="45" fillId="0" borderId="67" xfId="0" applyFont="1" applyBorder="1" applyAlignment="1" applyProtection="1">
      <alignment horizontal="center" vertical="center" wrapText="1"/>
    </xf>
    <xf numFmtId="0" fontId="45" fillId="0" borderId="73" xfId="0" applyFont="1" applyBorder="1" applyAlignment="1" applyProtection="1">
      <alignment horizontal="center" vertical="center" wrapText="1"/>
    </xf>
    <xf numFmtId="0" fontId="45" fillId="0" borderId="74" xfId="0" applyFont="1" applyBorder="1" applyAlignment="1" applyProtection="1">
      <alignment horizontal="center" vertical="center"/>
    </xf>
    <xf numFmtId="0" fontId="45" fillId="0" borderId="75" xfId="0" applyFont="1" applyBorder="1" applyAlignment="1" applyProtection="1">
      <alignment horizontal="center" vertical="center"/>
    </xf>
    <xf numFmtId="0" fontId="46" fillId="2" borderId="47" xfId="0" applyFont="1" applyFill="1" applyBorder="1" applyAlignment="1" applyProtection="1">
      <alignment horizontal="center" vertical="center"/>
      <protection locked="0"/>
    </xf>
    <xf numFmtId="0" fontId="46" fillId="2" borderId="1" xfId="0" applyFont="1" applyFill="1" applyBorder="1" applyAlignment="1" applyProtection="1">
      <alignment horizontal="center" vertical="center"/>
      <protection locked="0"/>
    </xf>
    <xf numFmtId="0" fontId="46" fillId="2" borderId="21" xfId="0" applyFont="1" applyFill="1" applyBorder="1" applyAlignment="1" applyProtection="1">
      <alignment horizontal="center" vertical="center"/>
      <protection locked="0"/>
    </xf>
    <xf numFmtId="0" fontId="45" fillId="0" borderId="112" xfId="0" applyFont="1" applyBorder="1" applyAlignment="1" applyProtection="1">
      <alignment horizontal="center" vertical="center"/>
    </xf>
    <xf numFmtId="0" fontId="45" fillId="0" borderId="113" xfId="0" applyFont="1" applyBorder="1" applyAlignment="1" applyProtection="1">
      <alignment horizontal="center" vertical="center"/>
    </xf>
    <xf numFmtId="0" fontId="45" fillId="0" borderId="114" xfId="0" applyFont="1" applyBorder="1" applyAlignment="1" applyProtection="1">
      <alignment horizontal="center" vertical="center"/>
    </xf>
    <xf numFmtId="0" fontId="46" fillId="2" borderId="37" xfId="0" applyFont="1" applyFill="1" applyBorder="1" applyAlignment="1" applyProtection="1">
      <alignment horizontal="center" vertical="center"/>
      <protection locked="0"/>
    </xf>
    <xf numFmtId="0" fontId="46" fillId="2" borderId="43" xfId="0" applyFont="1" applyFill="1" applyBorder="1" applyAlignment="1" applyProtection="1">
      <alignment horizontal="center" vertical="center"/>
      <protection locked="0"/>
    </xf>
    <xf numFmtId="0" fontId="46" fillId="2" borderId="36" xfId="0" applyFont="1" applyFill="1" applyBorder="1" applyAlignment="1" applyProtection="1">
      <alignment horizontal="center" vertical="center"/>
      <protection locked="0"/>
    </xf>
    <xf numFmtId="0" fontId="46" fillId="0" borderId="25" xfId="0" applyFont="1" applyBorder="1" applyAlignment="1" applyProtection="1">
      <alignment horizontal="center" vertical="center"/>
    </xf>
    <xf numFmtId="0" fontId="46" fillId="0" borderId="26" xfId="0" applyFont="1" applyBorder="1" applyAlignment="1" applyProtection="1">
      <alignment horizontal="center" vertical="center"/>
    </xf>
    <xf numFmtId="0" fontId="46" fillId="0" borderId="27" xfId="0" applyFont="1" applyBorder="1" applyAlignment="1" applyProtection="1">
      <alignment horizontal="center" vertical="center"/>
    </xf>
    <xf numFmtId="38" fontId="46" fillId="0" borderId="14" xfId="1" applyFont="1" applyFill="1" applyBorder="1" applyAlignment="1" applyProtection="1">
      <alignment horizontal="right" vertical="center"/>
    </xf>
    <xf numFmtId="38" fontId="46" fillId="0" borderId="15" xfId="1" applyFont="1" applyFill="1" applyBorder="1" applyAlignment="1" applyProtection="1">
      <alignment horizontal="right" vertical="center"/>
    </xf>
    <xf numFmtId="184" fontId="46" fillId="0" borderId="53" xfId="24" applyNumberFormat="1" applyFont="1" applyBorder="1" applyAlignment="1" applyProtection="1">
      <alignment horizontal="right" vertical="center"/>
    </xf>
    <xf numFmtId="184" fontId="46" fillId="0" borderId="30" xfId="24" applyNumberFormat="1" applyFont="1" applyBorder="1" applyAlignment="1" applyProtection="1">
      <alignment horizontal="right" vertical="center"/>
    </xf>
    <xf numFmtId="38" fontId="46" fillId="2" borderId="0" xfId="1" applyFont="1" applyFill="1" applyAlignment="1" applyProtection="1">
      <alignment horizontal="center" vertical="center"/>
    </xf>
    <xf numFmtId="199" fontId="46" fillId="2" borderId="37" xfId="0" applyNumberFormat="1" applyFont="1" applyFill="1" applyBorder="1" applyAlignment="1" applyProtection="1">
      <alignment horizontal="center" vertical="center"/>
      <protection locked="0"/>
    </xf>
    <xf numFmtId="199" fontId="46" fillId="2" borderId="43" xfId="0" applyNumberFormat="1" applyFont="1" applyFill="1" applyBorder="1" applyAlignment="1" applyProtection="1">
      <alignment horizontal="center" vertical="center"/>
      <protection locked="0"/>
    </xf>
    <xf numFmtId="199" fontId="46" fillId="2" borderId="36" xfId="0" applyNumberFormat="1" applyFont="1" applyFill="1" applyBorder="1" applyAlignment="1" applyProtection="1">
      <alignment horizontal="center" vertical="center"/>
      <protection locked="0"/>
    </xf>
    <xf numFmtId="0" fontId="12" fillId="0" borderId="21" xfId="15" applyFont="1" applyBorder="1" applyAlignment="1">
      <alignment horizontal="left" vertical="center" wrapText="1" shrinkToFit="1"/>
    </xf>
    <xf numFmtId="0" fontId="12" fillId="0" borderId="15" xfId="15" applyFont="1" applyBorder="1" applyAlignment="1">
      <alignment horizontal="left" vertical="center" shrinkToFit="1"/>
    </xf>
    <xf numFmtId="0" fontId="12" fillId="0" borderId="47" xfId="15" applyFont="1" applyBorder="1" applyAlignment="1">
      <alignment horizontal="left" vertical="center" shrinkToFit="1"/>
    </xf>
    <xf numFmtId="0" fontId="29" fillId="0" borderId="21" xfId="15" applyFont="1" applyBorder="1" applyAlignment="1">
      <alignment horizontal="left" vertical="center" wrapText="1"/>
    </xf>
    <xf numFmtId="0" fontId="29" fillId="0" borderId="15" xfId="15" applyFont="1" applyBorder="1" applyAlignment="1">
      <alignment horizontal="left" vertical="center" wrapText="1"/>
    </xf>
    <xf numFmtId="0" fontId="29" fillId="0" borderId="47" xfId="15" applyFont="1" applyBorder="1" applyAlignment="1">
      <alignment horizontal="left" vertical="center" wrapText="1"/>
    </xf>
    <xf numFmtId="0" fontId="12" fillId="0" borderId="21" xfId="15" applyFont="1" applyBorder="1" applyAlignment="1">
      <alignment vertical="center" shrinkToFit="1"/>
    </xf>
    <xf numFmtId="0" fontId="12" fillId="0" borderId="15" xfId="15" applyFont="1" applyBorder="1" applyAlignment="1">
      <alignment vertical="center" shrinkToFit="1"/>
    </xf>
    <xf numFmtId="0" fontId="12" fillId="0" borderId="47" xfId="15" applyFont="1" applyBorder="1" applyAlignment="1">
      <alignment vertical="center" shrinkToFit="1"/>
    </xf>
    <xf numFmtId="0" fontId="12" fillId="0" borderId="1" xfId="15" applyFont="1" applyBorder="1" applyAlignment="1">
      <alignment vertical="center" shrinkToFit="1"/>
    </xf>
    <xf numFmtId="0" fontId="12" fillId="0" borderId="1" xfId="15" applyFont="1" applyBorder="1" applyAlignment="1">
      <alignment horizontal="center" vertical="center" wrapText="1" shrinkToFit="1"/>
    </xf>
    <xf numFmtId="0" fontId="12" fillId="0" borderId="31" xfId="15" applyFont="1" applyBorder="1" applyAlignment="1">
      <alignment horizontal="left" vertical="center" shrinkToFit="1"/>
    </xf>
    <xf numFmtId="0" fontId="12" fillId="0" borderId="32" xfId="15" applyFont="1" applyBorder="1" applyAlignment="1">
      <alignment horizontal="left" vertical="center" shrinkToFit="1"/>
    </xf>
    <xf numFmtId="0" fontId="12" fillId="0" borderId="33" xfId="15" applyFont="1" applyBorder="1" applyAlignment="1">
      <alignment horizontal="left" vertical="center" shrinkToFit="1"/>
    </xf>
    <xf numFmtId="0" fontId="12" fillId="0" borderId="36" xfId="15" applyFont="1" applyBorder="1" applyAlignment="1">
      <alignment horizontal="left" vertical="center" shrinkToFit="1"/>
    </xf>
    <xf numFmtId="0" fontId="12" fillId="0" borderId="30" xfId="15" applyFont="1" applyBorder="1" applyAlignment="1">
      <alignment horizontal="left" vertical="center" shrinkToFit="1"/>
    </xf>
    <xf numFmtId="0" fontId="12" fillId="0" borderId="37" xfId="15" applyFont="1" applyBorder="1" applyAlignment="1">
      <alignment horizontal="left" vertical="center" shrinkToFit="1"/>
    </xf>
    <xf numFmtId="0" fontId="29" fillId="0" borderId="21" xfId="15" applyFont="1" applyBorder="1" applyAlignment="1">
      <alignment horizontal="left" vertical="center" wrapText="1" shrinkToFit="1"/>
    </xf>
    <xf numFmtId="0" fontId="29" fillId="0" borderId="15" xfId="15" applyFont="1" applyBorder="1" applyAlignment="1">
      <alignment horizontal="left" vertical="center" wrapText="1" shrinkToFit="1"/>
    </xf>
    <xf numFmtId="0" fontId="29" fillId="0" borderId="47" xfId="15" applyFont="1" applyBorder="1" applyAlignment="1">
      <alignment horizontal="left" vertical="center" wrapText="1" shrinkToFit="1"/>
    </xf>
    <xf numFmtId="0" fontId="12" fillId="0" borderId="67" xfId="15" applyFont="1" applyBorder="1" applyAlignment="1">
      <alignment horizontal="center" vertical="center" shrinkToFit="1"/>
    </xf>
    <xf numFmtId="0" fontId="12" fillId="0" borderId="43" xfId="15" applyFont="1" applyBorder="1" applyAlignment="1">
      <alignment horizontal="center" vertical="center" shrinkToFit="1"/>
    </xf>
    <xf numFmtId="0" fontId="29" fillId="0" borderId="31" xfId="15" applyFont="1" applyBorder="1" applyAlignment="1">
      <alignment horizontal="left" vertical="center" shrinkToFit="1"/>
    </xf>
    <xf numFmtId="0" fontId="29" fillId="0" borderId="32" xfId="15" applyFont="1" applyBorder="1" applyAlignment="1">
      <alignment horizontal="left" vertical="center" shrinkToFit="1"/>
    </xf>
    <xf numFmtId="0" fontId="29" fillId="0" borderId="33" xfId="15" applyFont="1" applyBorder="1" applyAlignment="1">
      <alignment horizontal="left" vertical="center" shrinkToFit="1"/>
    </xf>
    <xf numFmtId="0" fontId="29" fillId="0" borderId="36" xfId="15" applyFont="1" applyBorder="1" applyAlignment="1">
      <alignment horizontal="left" vertical="center" shrinkToFit="1"/>
    </xf>
    <xf numFmtId="0" fontId="29" fillId="0" borderId="30" xfId="15" applyFont="1" applyBorder="1" applyAlignment="1">
      <alignment horizontal="left" vertical="center" shrinkToFit="1"/>
    </xf>
    <xf numFmtId="0" fontId="29" fillId="0" borderId="37" xfId="15" applyFont="1" applyBorder="1" applyAlignment="1">
      <alignment horizontal="left" vertical="center" shrinkToFit="1"/>
    </xf>
    <xf numFmtId="0" fontId="29" fillId="0" borderId="1" xfId="15" applyFont="1" applyBorder="1" applyAlignment="1">
      <alignment vertical="center" shrinkToFit="1"/>
    </xf>
    <xf numFmtId="0" fontId="29" fillId="0" borderId="1" xfId="15" applyFont="1" applyBorder="1" applyAlignment="1">
      <alignment vertical="center" wrapText="1" shrinkToFit="1"/>
    </xf>
    <xf numFmtId="0" fontId="12" fillId="0" borderId="1" xfId="15" applyFont="1" applyBorder="1" applyAlignment="1">
      <alignment vertical="center" wrapText="1" shrinkToFit="1"/>
    </xf>
    <xf numFmtId="0" fontId="12" fillId="0" borderId="68" xfId="15" applyFont="1" applyBorder="1" applyAlignment="1">
      <alignment horizontal="center" vertical="center" shrinkToFit="1"/>
    </xf>
    <xf numFmtId="0" fontId="12" fillId="0" borderId="67" xfId="15" applyFont="1" applyBorder="1" applyAlignment="1">
      <alignment horizontal="left" vertical="center" shrinkToFit="1"/>
    </xf>
    <xf numFmtId="0" fontId="12" fillId="0" borderId="68" xfId="15" applyFont="1" applyBorder="1" applyAlignment="1">
      <alignment horizontal="left" vertical="center" shrinkToFit="1"/>
    </xf>
    <xf numFmtId="0" fontId="12" fillId="0" borderId="43" xfId="15" applyFont="1" applyBorder="1" applyAlignment="1">
      <alignment horizontal="left" vertical="center" shrinkToFit="1"/>
    </xf>
    <xf numFmtId="0" fontId="12" fillId="0" borderId="67" xfId="15" applyFont="1" applyBorder="1" applyAlignment="1">
      <alignment horizontal="left" vertical="center" wrapText="1"/>
    </xf>
    <xf numFmtId="0" fontId="12" fillId="0" borderId="68" xfId="15" applyFont="1" applyBorder="1" applyAlignment="1">
      <alignment horizontal="left" vertical="center" wrapText="1"/>
    </xf>
    <xf numFmtId="0" fontId="12" fillId="0" borderId="43" xfId="15" applyFont="1" applyBorder="1" applyAlignment="1">
      <alignment horizontal="left" vertical="center" wrapText="1"/>
    </xf>
    <xf numFmtId="0" fontId="29" fillId="0" borderId="31" xfId="15" applyFont="1" applyBorder="1" applyAlignment="1">
      <alignment horizontal="left" vertical="center" wrapText="1"/>
    </xf>
    <xf numFmtId="0" fontId="29" fillId="0" borderId="32" xfId="15" applyFont="1" applyBorder="1" applyAlignment="1">
      <alignment horizontal="left" vertical="center" wrapText="1"/>
    </xf>
    <xf numFmtId="0" fontId="29" fillId="0" borderId="33" xfId="15" applyFont="1" applyBorder="1" applyAlignment="1">
      <alignment horizontal="left" vertical="center" wrapText="1"/>
    </xf>
    <xf numFmtId="0" fontId="29" fillId="0" borderId="34" xfId="15" applyFont="1" applyBorder="1" applyAlignment="1">
      <alignment horizontal="left" vertical="center" wrapText="1"/>
    </xf>
    <xf numFmtId="0" fontId="29" fillId="0" borderId="0" xfId="15" applyFont="1" applyAlignment="1">
      <alignment horizontal="left" vertical="center" wrapText="1"/>
    </xf>
    <xf numFmtId="0" fontId="29" fillId="0" borderId="35" xfId="15" applyFont="1" applyBorder="1" applyAlignment="1">
      <alignment horizontal="left" vertical="center" wrapText="1"/>
    </xf>
    <xf numFmtId="0" fontId="29" fillId="0" borderId="36" xfId="15" applyFont="1" applyBorder="1" applyAlignment="1">
      <alignment horizontal="left" vertical="center" wrapText="1"/>
    </xf>
    <xf numFmtId="0" fontId="29" fillId="0" borderId="30" xfId="15" applyFont="1" applyBorder="1" applyAlignment="1">
      <alignment horizontal="left" vertical="center" wrapText="1"/>
    </xf>
    <xf numFmtId="0" fontId="29" fillId="0" borderId="37" xfId="15" applyFont="1" applyBorder="1" applyAlignment="1">
      <alignment horizontal="left" vertical="center" wrapText="1"/>
    </xf>
    <xf numFmtId="0" fontId="12" fillId="0" borderId="31" xfId="15" applyFont="1" applyBorder="1" applyAlignment="1">
      <alignment vertical="center" shrinkToFit="1"/>
    </xf>
    <xf numFmtId="0" fontId="12" fillId="0" borderId="32" xfId="15" applyFont="1" applyBorder="1" applyAlignment="1">
      <alignment vertical="center" shrinkToFit="1"/>
    </xf>
    <xf numFmtId="0" fontId="12" fillId="0" borderId="60" xfId="15" applyFont="1" applyBorder="1" applyAlignment="1">
      <alignment vertical="center" shrinkToFit="1"/>
    </xf>
    <xf numFmtId="0" fontId="12" fillId="0" borderId="55" xfId="15" applyFont="1" applyBorder="1" applyAlignment="1">
      <alignment vertical="center" shrinkToFit="1"/>
    </xf>
    <xf numFmtId="0" fontId="12" fillId="0" borderId="51" xfId="15" applyFont="1" applyBorder="1" applyAlignment="1">
      <alignment vertical="center" shrinkToFit="1"/>
    </xf>
    <xf numFmtId="0" fontId="12" fillId="0" borderId="49" xfId="15" applyFont="1" applyBorder="1" applyAlignment="1">
      <alignment vertical="center" shrinkToFit="1"/>
    </xf>
    <xf numFmtId="0" fontId="12" fillId="0" borderId="1" xfId="15" applyFont="1" applyBorder="1" applyAlignment="1">
      <alignment horizontal="left" vertical="center" shrinkToFit="1"/>
    </xf>
    <xf numFmtId="0" fontId="29" fillId="0" borderId="60" xfId="15" applyFont="1" applyBorder="1" applyAlignment="1">
      <alignment vertical="center" shrinkToFit="1"/>
    </xf>
    <xf numFmtId="0" fontId="12" fillId="0" borderId="50" xfId="15" applyFont="1" applyBorder="1" applyAlignment="1">
      <alignment vertical="center" shrinkToFit="1"/>
    </xf>
    <xf numFmtId="0" fontId="12" fillId="0" borderId="48" xfId="15" applyFont="1" applyBorder="1" applyAlignment="1">
      <alignment vertical="center" shrinkToFit="1"/>
    </xf>
    <xf numFmtId="0" fontId="5" fillId="0" borderId="0" xfId="0" applyFont="1" applyAlignment="1">
      <alignment horizontal="left" vertical="center" shrinkToFit="1"/>
    </xf>
    <xf numFmtId="0" fontId="12" fillId="3" borderId="31" xfId="15" applyFont="1" applyFill="1" applyBorder="1" applyAlignment="1">
      <alignment horizontal="center" vertical="center" shrinkToFit="1"/>
    </xf>
    <xf numFmtId="0" fontId="12" fillId="3" borderId="32" xfId="15" applyFont="1" applyFill="1" applyBorder="1" applyAlignment="1">
      <alignment horizontal="center" vertical="center" shrinkToFit="1"/>
    </xf>
  </cellXfs>
  <cellStyles count="26">
    <cellStyle name="パーセント" xfId="24" builtinId="5"/>
    <cellStyle name="ハイパーリンク" xfId="25" builtinId="8"/>
    <cellStyle name="桁区切り" xfId="1" builtinId="6"/>
    <cellStyle name="桁区切り 2" xfId="3" xr:uid="{00000000-0005-0000-0000-000001000000}"/>
    <cellStyle name="桁区切り 2 2" xfId="4" xr:uid="{00000000-0005-0000-0000-000002000000}"/>
    <cellStyle name="桁区切り 2 2 2" xfId="5" xr:uid="{00000000-0005-0000-0000-000003000000}"/>
    <cellStyle name="桁区切り 2 3" xfId="6" xr:uid="{00000000-0005-0000-0000-000004000000}"/>
    <cellStyle name="桁区切り 3" xfId="7" xr:uid="{00000000-0005-0000-0000-000005000000}"/>
    <cellStyle name="桁区切り 4" xfId="10" xr:uid="{00000000-0005-0000-0000-000006000000}"/>
    <cellStyle name="桁区切り 4 2" xfId="22" xr:uid="{0F2EFDD7-22BC-4CE9-B20E-A5155B791712}"/>
    <cellStyle name="桁区切り 5" xfId="11" xr:uid="{00000000-0005-0000-0000-000007000000}"/>
    <cellStyle name="桁区切り 6" xfId="17" xr:uid="{00000000-0005-0000-0000-000008000000}"/>
    <cellStyle name="通貨 2" xfId="8" xr:uid="{00000000-0005-0000-0000-000009000000}"/>
    <cellStyle name="標準" xfId="0" builtinId="0"/>
    <cellStyle name="標準 10" xfId="20" xr:uid="{FD45BB9A-54B3-425A-BDC0-FDE7E0A0D605}"/>
    <cellStyle name="標準 2" xfId="2" xr:uid="{00000000-0005-0000-0000-00000B000000}"/>
    <cellStyle name="標準 2 2" xfId="12" xr:uid="{00000000-0005-0000-0000-00000C000000}"/>
    <cellStyle name="標準 2 2 2" xfId="23" xr:uid="{72C1FCE9-B870-4B63-B53A-4D9495467EF8}"/>
    <cellStyle name="標準 2 3" xfId="13" xr:uid="{00000000-0005-0000-0000-00000D000000}"/>
    <cellStyle name="標準 28" xfId="21" xr:uid="{F5FE1399-497E-4B87-A777-ACA0B613C186}"/>
    <cellStyle name="標準 3" xfId="9" xr:uid="{00000000-0005-0000-0000-00000E000000}"/>
    <cellStyle name="標準 3 2" xfId="18" xr:uid="{00000000-0005-0000-0000-00000F000000}"/>
    <cellStyle name="標準 4" xfId="14" xr:uid="{00000000-0005-0000-0000-000010000000}"/>
    <cellStyle name="標準 5" xfId="15" xr:uid="{00000000-0005-0000-0000-000011000000}"/>
    <cellStyle name="標準 6" xfId="16" xr:uid="{00000000-0005-0000-0000-000012000000}"/>
    <cellStyle name="標準 6 2" xfId="19" xr:uid="{00000000-0005-0000-0000-000013000000}"/>
  </cellStyles>
  <dxfs count="31">
    <dxf>
      <fill>
        <patternFill patternType="mediumGray">
          <fgColor theme="1"/>
        </patternFill>
      </fill>
    </dxf>
    <dxf>
      <fill>
        <patternFill patternType="mediumGray">
          <fgColor theme="1"/>
          <bgColor auto="1"/>
        </patternFill>
      </fill>
    </dxf>
    <dxf>
      <fill>
        <patternFill>
          <bgColor theme="1"/>
        </patternFill>
      </fill>
    </dxf>
    <dxf>
      <font>
        <color auto="1"/>
      </font>
      <fill>
        <patternFill>
          <fgColor theme="0" tint="-0.499984740745262"/>
          <bgColor theme="0" tint="-0.499984740745262"/>
        </patternFill>
      </fill>
    </dxf>
    <dxf>
      <font>
        <b/>
        <i val="0"/>
        <color rgb="FFFFFF00"/>
      </font>
      <fill>
        <patternFill>
          <bgColor rgb="FFFF0000"/>
        </patternFill>
      </fill>
    </dxf>
    <dxf>
      <font>
        <b/>
        <i val="0"/>
        <color rgb="FFFFFF00"/>
      </font>
      <fill>
        <patternFill>
          <fgColor rgb="FFFF0000"/>
          <bgColor rgb="FFFF0000"/>
        </patternFill>
      </fill>
    </dxf>
    <dxf>
      <font>
        <b/>
        <i val="0"/>
        <color rgb="FFFFFF00"/>
      </font>
      <fill>
        <patternFill>
          <bgColor rgb="FFFF0000"/>
        </patternFill>
      </fill>
    </dxf>
    <dxf>
      <font>
        <b/>
        <i val="0"/>
        <color rgb="FFFFFF00"/>
      </font>
      <fill>
        <patternFill>
          <bgColor rgb="FFFF0000"/>
        </patternFill>
      </fill>
    </dxf>
    <dxf>
      <font>
        <b/>
        <i val="0"/>
        <color rgb="FFFF0000"/>
      </font>
      <fill>
        <patternFill>
          <fgColor rgb="FFFFFF00"/>
          <bgColor rgb="FFFFFF00"/>
        </patternFill>
      </fill>
    </dxf>
    <dxf>
      <fill>
        <patternFill>
          <bgColor rgb="FFFFFFCC"/>
        </patternFill>
      </fill>
    </dxf>
    <dxf>
      <font>
        <b/>
        <i/>
        <color rgb="FFFFFF00"/>
      </font>
      <fill>
        <patternFill>
          <bgColor rgb="FFFF0000"/>
        </patternFill>
      </fill>
    </dxf>
    <dxf>
      <font>
        <color rgb="FFFF0000"/>
      </font>
      <fill>
        <patternFill>
          <bgColor rgb="FFFFFF00"/>
        </patternFill>
      </fill>
    </dxf>
    <dxf>
      <font>
        <color rgb="FF9C0006"/>
      </font>
      <fill>
        <patternFill>
          <bgColor rgb="FFFFC7CE"/>
        </patternFill>
      </fill>
    </dxf>
    <dxf>
      <font>
        <color rgb="FF9C0006"/>
      </font>
      <fill>
        <patternFill>
          <bgColor theme="0" tint="-0.24994659260841701"/>
        </patternFill>
      </fill>
    </dxf>
    <dxf>
      <font>
        <color theme="1"/>
      </font>
      <fill>
        <patternFill>
          <bgColor theme="0" tint="-0.24994659260841701"/>
        </patternFill>
      </fill>
    </dxf>
    <dxf>
      <font>
        <color rgb="FF0070C0"/>
      </font>
      <fill>
        <patternFill>
          <bgColor theme="9" tint="0.79998168889431442"/>
        </patternFill>
      </fill>
    </dxf>
    <dxf>
      <font>
        <b/>
        <i val="0"/>
        <color theme="3"/>
      </font>
      <fill>
        <patternFill>
          <bgColor theme="3" tint="0.59996337778862885"/>
        </patternFill>
      </fill>
    </dxf>
    <dxf>
      <font>
        <b/>
        <i val="0"/>
        <color rgb="FF9C0006"/>
      </font>
      <fill>
        <patternFill>
          <bgColor rgb="FFFFC7CE"/>
        </patternFill>
      </fill>
    </dxf>
    <dxf>
      <font>
        <b/>
        <i val="0"/>
        <color rgb="FF00B050"/>
      </font>
      <fill>
        <patternFill>
          <bgColor theme="6" tint="0.59996337778862885"/>
        </patternFill>
      </fill>
    </dxf>
    <dxf>
      <font>
        <b/>
        <i val="0"/>
        <color rgb="FF7030A0"/>
      </font>
      <fill>
        <patternFill>
          <bgColor theme="7" tint="0.59996337778862885"/>
        </patternFill>
      </fill>
    </dxf>
    <dxf>
      <font>
        <b/>
        <i/>
        <color rgb="FFFFFF00"/>
      </font>
      <fill>
        <patternFill patternType="solid">
          <fgColor auto="1"/>
          <bgColor rgb="FFFF0000"/>
        </patternFill>
      </fill>
    </dxf>
    <dxf>
      <font>
        <b/>
        <i val="0"/>
        <color auto="1"/>
      </font>
    </dxf>
    <dxf>
      <font>
        <color rgb="FFFF0000"/>
      </font>
      <fill>
        <patternFill>
          <bgColor rgb="FFFFFF00"/>
        </patternFill>
      </fill>
    </dxf>
    <dxf>
      <font>
        <b/>
        <i val="0"/>
        <color rgb="FFFF0000"/>
      </font>
      <fill>
        <patternFill>
          <bgColor rgb="FF00B0F0"/>
        </patternFill>
      </fill>
    </dxf>
    <dxf>
      <fill>
        <patternFill patternType="mediumGray">
          <fgColor rgb="FFFFFFCC"/>
          <bgColor rgb="FFFFFFCC"/>
        </patternFill>
      </fill>
    </dxf>
    <dxf>
      <fill>
        <patternFill patternType="lightGray"/>
      </fill>
    </dxf>
    <dxf>
      <fill>
        <patternFill patternType="lightGray"/>
      </fill>
    </dxf>
    <dxf>
      <fill>
        <patternFill patternType="lightGray">
          <fgColor theme="1"/>
          <bgColor theme="0"/>
        </patternFill>
      </fill>
    </dxf>
    <dxf>
      <font>
        <b/>
        <i val="0"/>
        <color rgb="FFFF0000"/>
      </font>
      <fill>
        <patternFill>
          <bgColor rgb="FFFFFF00"/>
        </patternFill>
      </fill>
    </dxf>
    <dxf>
      <font>
        <color auto="1"/>
      </font>
      <fill>
        <patternFill>
          <bgColor theme="1" tint="0.499984740745262"/>
        </patternFill>
      </fill>
    </dxf>
    <dxf>
      <fill>
        <patternFill>
          <bgColor theme="1" tint="0.499984740745262"/>
        </patternFill>
      </fill>
    </dxf>
  </dxfs>
  <tableStyles count="0" defaultTableStyle="TableStyleMedium9" defaultPivotStyle="PivotStyleLight16"/>
  <colors>
    <mruColors>
      <color rgb="FFFFFFCC"/>
      <color rgb="FFCC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400051</xdr:colOff>
      <xdr:row>2</xdr:row>
      <xdr:rowOff>38100</xdr:rowOff>
    </xdr:from>
    <xdr:to>
      <xdr:col>10</xdr:col>
      <xdr:colOff>57151</xdr:colOff>
      <xdr:row>6</xdr:row>
      <xdr:rowOff>171450</xdr:rowOff>
    </xdr:to>
    <xdr:sp macro="" textlink="">
      <xdr:nvSpPr>
        <xdr:cNvPr id="2" name="吹き出し: 角を丸めた四角形 1">
          <a:extLst>
            <a:ext uri="{FF2B5EF4-FFF2-40B4-BE49-F238E27FC236}">
              <a16:creationId xmlns:a16="http://schemas.microsoft.com/office/drawing/2014/main" id="{00000000-0008-0000-0000-000002000000}"/>
            </a:ext>
          </a:extLst>
        </xdr:cNvPr>
        <xdr:cNvSpPr/>
      </xdr:nvSpPr>
      <xdr:spPr>
        <a:xfrm>
          <a:off x="3771901" y="476250"/>
          <a:ext cx="2400300" cy="1009650"/>
        </a:xfrm>
        <a:prstGeom prst="wedgeRoundRectCallout">
          <a:avLst>
            <a:gd name="adj1" fmla="val 45579"/>
            <a:gd name="adj2" fmla="val 271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a:solidFill>
                <a:schemeClr val="bg1"/>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3</xdr:col>
      <xdr:colOff>447675</xdr:colOff>
      <xdr:row>7</xdr:row>
      <xdr:rowOff>85725</xdr:rowOff>
    </xdr:from>
    <xdr:to>
      <xdr:col>10</xdr:col>
      <xdr:colOff>98799</xdr:colOff>
      <xdr:row>13</xdr:row>
      <xdr:rowOff>28575</xdr:rowOff>
    </xdr:to>
    <xdr:sp macro="" textlink="">
      <xdr:nvSpPr>
        <xdr:cNvPr id="3" name="吹き出し: 角を丸めた四角形 2">
          <a:extLst>
            <a:ext uri="{FF2B5EF4-FFF2-40B4-BE49-F238E27FC236}">
              <a16:creationId xmlns:a16="http://schemas.microsoft.com/office/drawing/2014/main" id="{AB49FDAA-6BF4-4FEE-BCA5-8997B3315B3D}"/>
            </a:ext>
          </a:extLst>
        </xdr:cNvPr>
        <xdr:cNvSpPr/>
      </xdr:nvSpPr>
      <xdr:spPr>
        <a:xfrm>
          <a:off x="1762125" y="1619250"/>
          <a:ext cx="4451724" cy="1685925"/>
        </a:xfrm>
        <a:prstGeom prst="wedgeRoundRectCallout">
          <a:avLst>
            <a:gd name="adj1" fmla="val -34790"/>
            <a:gd name="adj2" fmla="val 79691"/>
            <a:gd name="adj3" fmla="val 16667"/>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bg1"/>
              </a:solidFill>
              <a:latin typeface="BIZ UDPゴシック" panose="020B0400000000000000" pitchFamily="50" charset="-128"/>
              <a:ea typeface="BIZ UDPゴシック" panose="020B0400000000000000" pitchFamily="50" charset="-128"/>
            </a:rPr>
            <a:t>必ず電話番号を記入してください（請求書に反映されます）。</a:t>
          </a:r>
          <a:endParaRPr kumimoji="1" lang="en-US" altLang="ja-JP" sz="160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600">
              <a:solidFill>
                <a:schemeClr val="bg1"/>
              </a:solidFill>
              <a:latin typeface="BIZ UDPゴシック" panose="020B0400000000000000" pitchFamily="50" charset="-128"/>
              <a:ea typeface="BIZ UDPゴシック" panose="020B0400000000000000" pitchFamily="50" charset="-128"/>
            </a:rPr>
            <a:t>子育て支援課からの連絡は、原則メールで行いますが、緊急の際や説明を要する場合は、電話します。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28575</xdr:colOff>
      <xdr:row>11</xdr:row>
      <xdr:rowOff>57150</xdr:rowOff>
    </xdr:from>
    <xdr:to>
      <xdr:col>24</xdr:col>
      <xdr:colOff>188301</xdr:colOff>
      <xdr:row>18</xdr:row>
      <xdr:rowOff>168519</xdr:rowOff>
    </xdr:to>
    <xdr:sp macro="" textlink="">
      <xdr:nvSpPr>
        <xdr:cNvPr id="2" name="吹き出し: 角を丸めた四角形 1">
          <a:extLst>
            <a:ext uri="{FF2B5EF4-FFF2-40B4-BE49-F238E27FC236}">
              <a16:creationId xmlns:a16="http://schemas.microsoft.com/office/drawing/2014/main" id="{00000000-0008-0000-0900-000002000000}"/>
            </a:ext>
          </a:extLst>
        </xdr:cNvPr>
        <xdr:cNvSpPr/>
      </xdr:nvSpPr>
      <xdr:spPr>
        <a:xfrm>
          <a:off x="1028700" y="2514600"/>
          <a:ext cx="3960201" cy="1597269"/>
        </a:xfrm>
        <a:prstGeom prst="wedgeRoundRectCallout">
          <a:avLst>
            <a:gd name="adj1" fmla="val 32338"/>
            <a:gd name="adj2" fmla="val 7429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0" u="dbl">
              <a:solidFill>
                <a:schemeClr val="bg1"/>
              </a:solidFill>
              <a:latin typeface="BIZ UDPゴシック" panose="020B0400000000000000" pitchFamily="50" charset="-128"/>
              <a:ea typeface="BIZ UDPゴシック" panose="020B0400000000000000" pitchFamily="50" charset="-128"/>
            </a:rPr>
            <a:t>別紙様式２別添１を入力していただくと、①～⑤は自動で入力されます。</a:t>
          </a:r>
          <a:endParaRPr kumimoji="1" lang="en-US" altLang="ja-JP" sz="1600" b="0" u="dbl">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600" b="0" u="dbl">
              <a:solidFill>
                <a:schemeClr val="bg1"/>
              </a:solidFill>
              <a:latin typeface="BIZ UDPゴシック" panose="020B0400000000000000" pitchFamily="50" charset="-128"/>
              <a:ea typeface="BIZ UDPゴシック" panose="020B0400000000000000" pitchFamily="50" charset="-128"/>
            </a:rPr>
            <a:t>⑥・⑦はタブから選択してください。　　　</a:t>
          </a:r>
          <a:endParaRPr kumimoji="1" lang="en-US" altLang="ja-JP" sz="1600" b="0" u="dbl">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472402</xdr:colOff>
      <xdr:row>19</xdr:row>
      <xdr:rowOff>101021</xdr:rowOff>
    </xdr:from>
    <xdr:to>
      <xdr:col>19</xdr:col>
      <xdr:colOff>892606</xdr:colOff>
      <xdr:row>49</xdr:row>
      <xdr:rowOff>100853</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5963284" y="4695433"/>
          <a:ext cx="11827793" cy="6723361"/>
        </a:xfrm>
        <a:prstGeom prst="rect">
          <a:avLst/>
        </a:prstGeom>
        <a:solidFill>
          <a:srgbClr val="FFFF00"/>
        </a:solidFill>
        <a:ln w="3810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⑤非常勤職員の、１か月あたりの勤務時間を記入（超過勤務時間は含めない）</a:t>
          </a:r>
          <a:endParaRPr kumimoji="1" lang="en-US" altLang="ja-JP"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⑥就業規則で定めた「常勤職員」の勤務時間／月を記入</a:t>
          </a:r>
          <a:endParaRPr kumimoji="1" lang="en-US" altLang="ja-JP"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⑦非常勤職員を常勤職員に換算した値を記入（</a:t>
          </a:r>
          <a:r>
            <a:rPr kumimoji="1" lang="en-US" altLang="ja-JP"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PC</a:t>
          </a:r>
          <a:r>
            <a:rPr kumimoji="1" lang="ja-JP" altLang="en-US"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では自動反映）</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　</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非常勤職員の１か月当たりの勤務時間数</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(⑤)÷</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就業規則等で定めた</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常勤職員の１か月当たりの勤務時間数</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(⑥)</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（小数点第２位を四捨五入）</a:t>
          </a:r>
          <a:r>
            <a:rPr kumimoji="1" lang="ja-JP" altLang="en-US"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　例</a:t>
          </a:r>
          <a:r>
            <a:rPr kumimoji="1" lang="en-US" altLang="ja-JP"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就業規則で、常勤職員が</a:t>
          </a:r>
          <a:r>
            <a:rPr kumimoji="1" lang="en-US" altLang="ja-JP"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160</a:t>
          </a:r>
          <a:r>
            <a:rPr kumimoji="1" lang="ja-JP" altLang="en-US"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時間</a:t>
          </a:r>
          <a:r>
            <a:rPr kumimoji="1" lang="en-US" altLang="ja-JP"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月の場合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　　</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90</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時間</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月の非常勤　→　</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90.0</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160.0</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0.56≒0.6</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人</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60</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時間</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月の非常勤　→　</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60.0</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160.0</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0.37≒0.4</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人</a:t>
          </a:r>
        </a:p>
        <a:p>
          <a:pPr eaLnBrk="1" fontAlgn="auto" latinLnBrk="0" hangingPunct="1"/>
          <a:r>
            <a:rPr kumimoji="1" lang="ja-JP" altLang="ja-JP" sz="1400" b="0" i="0" baseline="0">
              <a:effectLst/>
              <a:latin typeface="HGSｺﾞｼｯｸE" panose="020B0900000000000000" pitchFamily="50" charset="-128"/>
              <a:ea typeface="HGSｺﾞｼｯｸE" panose="020B0900000000000000" pitchFamily="50" charset="-128"/>
              <a:cs typeface="+mn-cs"/>
            </a:rPr>
            <a:t>⑧本事業を適用する月数を記入</a:t>
          </a:r>
          <a:endParaRPr lang="ja-JP" altLang="ja-JP" sz="1400">
            <a:effectLst/>
            <a:latin typeface="HGSｺﾞｼｯｸE" panose="020B0900000000000000" pitchFamily="50" charset="-128"/>
            <a:ea typeface="HGSｺﾞｼｯｸE" panose="020B0900000000000000" pitchFamily="50" charset="-128"/>
          </a:endParaRPr>
        </a:p>
        <a:p>
          <a:pPr eaLnBrk="1" fontAlgn="auto" latinLnBrk="0" hangingPunct="1"/>
          <a:r>
            <a:rPr kumimoji="1" lang="ja-JP" altLang="ja-JP" sz="1400" b="0" i="0" baseline="0">
              <a:effectLst/>
              <a:latin typeface="HG丸ｺﾞｼｯｸM-PRO" panose="020F0600000000000000" pitchFamily="50" charset="-128"/>
              <a:ea typeface="HG丸ｺﾞｼｯｸM-PRO" panose="020F0600000000000000" pitchFamily="50" charset="-128"/>
              <a:cs typeface="+mn-cs"/>
            </a:rPr>
            <a:t>　間に休む月や退職予定があれば対象月、そうでなければ</a:t>
          </a:r>
          <a:r>
            <a:rPr kumimoji="1" lang="en-US" altLang="ja-JP" sz="1400" b="1" i="0" baseline="0">
              <a:effectLst/>
              <a:latin typeface="HG丸ｺﾞｼｯｸM-PRO" panose="020F0600000000000000" pitchFamily="50" charset="-128"/>
              <a:ea typeface="HG丸ｺﾞｼｯｸM-PRO" panose="020F0600000000000000" pitchFamily="50" charset="-128"/>
              <a:cs typeface="+mn-cs"/>
            </a:rPr>
            <a:t>12</a:t>
          </a:r>
          <a:r>
            <a:rPr kumimoji="1" lang="ja-JP" altLang="ja-JP" sz="1400" b="1" i="0" baseline="0">
              <a:effectLst/>
              <a:latin typeface="HG丸ｺﾞｼｯｸM-PRO" panose="020F0600000000000000" pitchFamily="50" charset="-128"/>
              <a:ea typeface="HG丸ｺﾞｼｯｸM-PRO" panose="020F0600000000000000" pitchFamily="50" charset="-128"/>
              <a:cs typeface="+mn-cs"/>
            </a:rPr>
            <a:t>月</a:t>
          </a:r>
          <a:r>
            <a:rPr kumimoji="1" lang="ja-JP" altLang="ja-JP" sz="1400" b="0" i="0" baseline="0">
              <a:effectLst/>
              <a:latin typeface="HG丸ｺﾞｼｯｸM-PRO" panose="020F0600000000000000" pitchFamily="50" charset="-128"/>
              <a:ea typeface="HG丸ｺﾞｼｯｸM-PRO" panose="020F0600000000000000" pitchFamily="50" charset="-128"/>
              <a:cs typeface="+mn-cs"/>
            </a:rPr>
            <a:t>と記入</a:t>
          </a:r>
          <a:endParaRPr lang="ja-JP" altLang="ja-JP" sz="1400">
            <a:effectLst/>
            <a:latin typeface="HG丸ｺﾞｼｯｸM-PRO" panose="020F0600000000000000" pitchFamily="50" charset="-128"/>
            <a:ea typeface="HG丸ｺﾞｼｯｸM-PRO" panose="020F0600000000000000" pitchFamily="50" charset="-128"/>
          </a:endParaRPr>
        </a:p>
        <a:p>
          <a:pPr eaLnBrk="1" fontAlgn="auto" latinLnBrk="0" hangingPunct="1"/>
          <a:r>
            <a:rPr kumimoji="1" lang="ja-JP" altLang="ja-JP" sz="1400" b="0" i="0" baseline="0">
              <a:effectLst/>
              <a:latin typeface="HGSｺﾞｼｯｸE" panose="020B0900000000000000" pitchFamily="50" charset="-128"/>
              <a:ea typeface="HGSｺﾞｼｯｸE" panose="020B0900000000000000" pitchFamily="50" charset="-128"/>
              <a:cs typeface="+mn-cs"/>
            </a:rPr>
            <a:t>⑨自動反映</a:t>
          </a:r>
          <a:r>
            <a:rPr kumimoji="1" lang="en-US" altLang="ja-JP" sz="1400" b="0" i="0" baseline="0">
              <a:effectLst/>
              <a:latin typeface="HGSｺﾞｼｯｸE" panose="020B0900000000000000" pitchFamily="50" charset="-128"/>
              <a:ea typeface="HGSｺﾞｼｯｸE" panose="020B0900000000000000" pitchFamily="50" charset="-128"/>
              <a:cs typeface="+mn-cs"/>
            </a:rPr>
            <a:t>(</a:t>
          </a:r>
          <a:r>
            <a:rPr kumimoji="1" lang="ja-JP" altLang="ja-JP" sz="1400" b="0" i="0" baseline="0">
              <a:effectLst/>
              <a:latin typeface="HGSｺﾞｼｯｸE" panose="020B0900000000000000" pitchFamily="50" charset="-128"/>
              <a:ea typeface="HGSｺﾞｼｯｸE" panose="020B0900000000000000" pitchFamily="50" charset="-128"/>
              <a:cs typeface="+mn-cs"/>
            </a:rPr>
            <a:t>手書きの場合、常勤職員は③</a:t>
          </a:r>
          <a:r>
            <a:rPr kumimoji="1" lang="en-US" altLang="ja-JP" sz="1400" b="0" i="0" baseline="0">
              <a:effectLst/>
              <a:latin typeface="HGSｺﾞｼｯｸE" panose="020B0900000000000000" pitchFamily="50" charset="-128"/>
              <a:ea typeface="HGSｺﾞｼｯｸE" panose="020B0900000000000000" pitchFamily="50" charset="-128"/>
              <a:cs typeface="+mn-cs"/>
            </a:rPr>
            <a:t>×</a:t>
          </a:r>
          <a:r>
            <a:rPr kumimoji="1" lang="ja-JP" altLang="ja-JP" sz="1400" b="0" i="0" baseline="0">
              <a:effectLst/>
              <a:latin typeface="HGSｺﾞｼｯｸE" panose="020B0900000000000000" pitchFamily="50" charset="-128"/>
              <a:ea typeface="HGSｺﾞｼｯｸE" panose="020B0900000000000000" pitchFamily="50" charset="-128"/>
              <a:cs typeface="+mn-cs"/>
            </a:rPr>
            <a:t>④</a:t>
          </a:r>
          <a:r>
            <a:rPr kumimoji="1" lang="en-US" altLang="ja-JP" sz="1400" b="0" i="0" baseline="0">
              <a:effectLst/>
              <a:latin typeface="HGSｺﾞｼｯｸE" panose="020B0900000000000000" pitchFamily="50" charset="-128"/>
              <a:ea typeface="HGSｺﾞｼｯｸE" panose="020B0900000000000000" pitchFamily="50" charset="-128"/>
              <a:cs typeface="+mn-cs"/>
            </a:rPr>
            <a:t>×</a:t>
          </a:r>
          <a:r>
            <a:rPr kumimoji="1" lang="ja-JP" altLang="ja-JP" sz="1400" b="0" i="0" baseline="0">
              <a:effectLst/>
              <a:latin typeface="HGSｺﾞｼｯｸE" panose="020B0900000000000000" pitchFamily="50" charset="-128"/>
              <a:ea typeface="HGSｺﾞｼｯｸE" panose="020B0900000000000000" pitchFamily="50" charset="-128"/>
              <a:cs typeface="+mn-cs"/>
            </a:rPr>
            <a:t>⑧、非常勤職員は③</a:t>
          </a:r>
          <a:r>
            <a:rPr kumimoji="1" lang="en-US" altLang="ja-JP" sz="1400" b="0" i="0" baseline="0">
              <a:effectLst/>
              <a:latin typeface="HGSｺﾞｼｯｸE" panose="020B0900000000000000" pitchFamily="50" charset="-128"/>
              <a:ea typeface="HGSｺﾞｼｯｸE" panose="020B0900000000000000" pitchFamily="50" charset="-128"/>
              <a:cs typeface="+mn-cs"/>
            </a:rPr>
            <a:t>×</a:t>
          </a:r>
          <a:r>
            <a:rPr kumimoji="1" lang="ja-JP" altLang="ja-JP" sz="1400" b="0" i="0" baseline="0">
              <a:effectLst/>
              <a:latin typeface="HGSｺﾞｼｯｸE" panose="020B0900000000000000" pitchFamily="50" charset="-128"/>
              <a:ea typeface="HGSｺﾞｼｯｸE" panose="020B0900000000000000" pitchFamily="50" charset="-128"/>
              <a:cs typeface="+mn-cs"/>
            </a:rPr>
            <a:t>⑦</a:t>
          </a:r>
          <a:r>
            <a:rPr kumimoji="1" lang="en-US" altLang="ja-JP" sz="1400" b="0" i="0" baseline="0">
              <a:effectLst/>
              <a:latin typeface="HGSｺﾞｼｯｸE" panose="020B0900000000000000" pitchFamily="50" charset="-128"/>
              <a:ea typeface="HGSｺﾞｼｯｸE" panose="020B0900000000000000" pitchFamily="50" charset="-128"/>
              <a:cs typeface="+mn-cs"/>
            </a:rPr>
            <a:t>×</a:t>
          </a:r>
          <a:r>
            <a:rPr kumimoji="1" lang="ja-JP" altLang="ja-JP" sz="1400" b="0" i="0" baseline="0">
              <a:effectLst/>
              <a:latin typeface="HGSｺﾞｼｯｸE" panose="020B0900000000000000" pitchFamily="50" charset="-128"/>
              <a:ea typeface="HGSｺﾞｼｯｸE" panose="020B0900000000000000" pitchFamily="50" charset="-128"/>
              <a:cs typeface="+mn-cs"/>
            </a:rPr>
            <a:t>⑧</a:t>
          </a:r>
          <a:r>
            <a:rPr kumimoji="1" lang="en-US" altLang="ja-JP" sz="1400" b="0" i="0" baseline="0">
              <a:effectLst/>
              <a:latin typeface="HGSｺﾞｼｯｸE" panose="020B0900000000000000" pitchFamily="50" charset="-128"/>
              <a:ea typeface="HGSｺﾞｼｯｸE" panose="020B0900000000000000" pitchFamily="50" charset="-128"/>
              <a:cs typeface="+mn-cs"/>
            </a:rPr>
            <a:t>)</a:t>
          </a:r>
          <a:endParaRPr lang="ja-JP" altLang="ja-JP" sz="1400">
            <a:effectLst/>
            <a:latin typeface="HGSｺﾞｼｯｸE" panose="020B0900000000000000" pitchFamily="50" charset="-128"/>
            <a:ea typeface="HGSｺﾞｼｯｸE" panose="020B0900000000000000" pitchFamily="50" charset="-128"/>
          </a:endParaRPr>
        </a:p>
        <a:p>
          <a:pPr eaLnBrk="1" fontAlgn="auto" latinLnBrk="0" hangingPunct="1"/>
          <a:r>
            <a:rPr kumimoji="1" lang="ja-JP" altLang="ja-JP" sz="1400" b="0" i="0" baseline="0">
              <a:effectLst/>
              <a:latin typeface="HGSｺﾞｼｯｸE" panose="020B0900000000000000" pitchFamily="50" charset="-128"/>
              <a:ea typeface="HGSｺﾞｼｯｸE" panose="020B0900000000000000" pitchFamily="50" charset="-128"/>
              <a:cs typeface="+mn-cs"/>
            </a:rPr>
            <a:t>⑩賃金改善額</a:t>
          </a:r>
          <a:endParaRPr lang="ja-JP" altLang="ja-JP" sz="1400">
            <a:effectLst/>
            <a:latin typeface="HGSｺﾞｼｯｸE" panose="020B0900000000000000" pitchFamily="50" charset="-128"/>
            <a:ea typeface="HGSｺﾞｼｯｸE" panose="020B0900000000000000" pitchFamily="50" charset="-128"/>
          </a:endParaRPr>
        </a:p>
        <a:p>
          <a:pPr eaLnBrk="1" fontAlgn="auto" latinLnBrk="0" hangingPunct="1"/>
          <a:r>
            <a:rPr kumimoji="1" lang="ja-JP" altLang="ja-JP" sz="1400" b="0" i="0" baseline="0">
              <a:effectLst/>
              <a:latin typeface="HG丸ｺﾞｼｯｸM-PRO" panose="020F0600000000000000" pitchFamily="50" charset="-128"/>
              <a:ea typeface="HG丸ｺﾞｼｯｸM-PRO" panose="020F0600000000000000" pitchFamily="50" charset="-128"/>
              <a:cs typeface="+mn-cs"/>
            </a:rPr>
            <a:t>　常勤</a:t>
          </a:r>
          <a:r>
            <a:rPr kumimoji="1" lang="en-US" altLang="ja-JP" sz="1400" b="0" i="0" baseline="0">
              <a:effectLst/>
              <a:latin typeface="HG丸ｺﾞｼｯｸM-PRO" panose="020F0600000000000000" pitchFamily="50" charset="-128"/>
              <a:ea typeface="HG丸ｺﾞｼｯｸM-PRO" panose="020F0600000000000000" pitchFamily="50" charset="-128"/>
              <a:cs typeface="+mn-cs"/>
            </a:rPr>
            <a:t>1.0</a:t>
          </a:r>
          <a:r>
            <a:rPr kumimoji="1" lang="ja-JP" altLang="ja-JP" sz="1400" b="0" i="0" baseline="0">
              <a:effectLst/>
              <a:latin typeface="HG丸ｺﾞｼｯｸM-PRO" panose="020F0600000000000000" pitchFamily="50" charset="-128"/>
              <a:ea typeface="HG丸ｺﾞｼｯｸM-PRO" panose="020F0600000000000000" pitchFamily="50" charset="-128"/>
              <a:cs typeface="+mn-cs"/>
            </a:rPr>
            <a:t>人で目安</a:t>
          </a:r>
          <a:r>
            <a:rPr kumimoji="1" lang="en-US" altLang="ja-JP" sz="1400" b="0" i="0" baseline="0">
              <a:effectLst/>
              <a:latin typeface="HG丸ｺﾞｼｯｸM-PRO" panose="020F0600000000000000" pitchFamily="50" charset="-128"/>
              <a:ea typeface="HG丸ｺﾞｼｯｸM-PRO" panose="020F0600000000000000" pitchFamily="50" charset="-128"/>
              <a:cs typeface="+mn-cs"/>
            </a:rPr>
            <a:t>9,000</a:t>
          </a:r>
          <a:r>
            <a:rPr kumimoji="1" lang="ja-JP" altLang="ja-JP" sz="1400" b="0" i="0" baseline="0">
              <a:effectLst/>
              <a:latin typeface="HG丸ｺﾞｼｯｸM-PRO" panose="020F0600000000000000" pitchFamily="50" charset="-128"/>
              <a:ea typeface="HG丸ｺﾞｼｯｸM-PRO" panose="020F0600000000000000" pitchFamily="50" charset="-128"/>
              <a:cs typeface="+mn-cs"/>
            </a:rPr>
            <a:t>円</a:t>
          </a:r>
          <a:r>
            <a:rPr kumimoji="1" lang="en-US" altLang="ja-JP" sz="1400" b="0" i="0" baseline="0">
              <a:effectLst/>
              <a:latin typeface="HG丸ｺﾞｼｯｸM-PRO" panose="020F0600000000000000" pitchFamily="50" charset="-128"/>
              <a:ea typeface="HG丸ｺﾞｼｯｸM-PRO" panose="020F0600000000000000" pitchFamily="50" charset="-128"/>
              <a:cs typeface="+mn-cs"/>
            </a:rPr>
            <a:t>×</a:t>
          </a:r>
          <a:r>
            <a:rPr kumimoji="1" lang="ja-JP" altLang="ja-JP" sz="1400" b="0" i="0" baseline="0">
              <a:effectLst/>
              <a:latin typeface="HG丸ｺﾞｼｯｸM-PRO" panose="020F0600000000000000" pitchFamily="50" charset="-128"/>
              <a:ea typeface="HG丸ｺﾞｼｯｸM-PRO" panose="020F0600000000000000" pitchFamily="50" charset="-128"/>
              <a:cs typeface="+mn-cs"/>
            </a:rPr>
            <a:t>月数　が改善見込額。経験年数等により差額をつけることは可能。ただし不整合な差額は</a:t>
          </a:r>
          <a:r>
            <a:rPr kumimoji="1" lang="en-US" altLang="ja-JP" sz="1400" b="0" i="0" baseline="0">
              <a:effectLst/>
              <a:latin typeface="HG丸ｺﾞｼｯｸM-PRO" panose="020F0600000000000000" pitchFamily="50" charset="-128"/>
              <a:ea typeface="HG丸ｺﾞｼｯｸM-PRO" panose="020F0600000000000000" pitchFamily="50" charset="-128"/>
              <a:cs typeface="+mn-cs"/>
            </a:rPr>
            <a:t>NG</a:t>
          </a:r>
          <a:r>
            <a:rPr kumimoji="1" lang="ja-JP" altLang="ja-JP" sz="1400" b="0" i="0" baseline="0">
              <a:effectLst/>
              <a:latin typeface="HG丸ｺﾞｼｯｸM-PRO" panose="020F0600000000000000" pitchFamily="50" charset="-128"/>
              <a:ea typeface="HG丸ｺﾞｼｯｸM-PRO" panose="020F0600000000000000" pitchFamily="50" charset="-128"/>
              <a:cs typeface="+mn-cs"/>
            </a:rPr>
            <a:t>です。</a:t>
          </a:r>
          <a:endParaRPr lang="ja-JP" altLang="ja-JP" sz="1400">
            <a:effectLst/>
            <a:latin typeface="HG丸ｺﾞｼｯｸM-PRO" panose="020F0600000000000000" pitchFamily="50" charset="-128"/>
            <a:ea typeface="HG丸ｺﾞｼｯｸM-PRO" panose="020F0600000000000000" pitchFamily="50" charset="-128"/>
          </a:endParaRPr>
        </a:p>
        <a:p>
          <a:pPr eaLnBrk="1" fontAlgn="auto" latinLnBrk="0" hangingPunct="1"/>
          <a:r>
            <a:rPr kumimoji="1" lang="ja-JP" altLang="ja-JP" sz="1400" b="0" i="0" baseline="0">
              <a:effectLst/>
              <a:latin typeface="HGSｺﾞｼｯｸE" panose="020B0900000000000000" pitchFamily="50" charset="-128"/>
              <a:ea typeface="HGSｺﾞｼｯｸE" panose="020B0900000000000000" pitchFamily="50" charset="-128"/>
              <a:cs typeface="+mn-cs"/>
            </a:rPr>
            <a:t>⑪基本給又は決まって毎月支払う手当</a:t>
          </a:r>
          <a:endParaRPr lang="ja-JP" altLang="ja-JP" sz="1400">
            <a:effectLst/>
            <a:latin typeface="HGSｺﾞｼｯｸE" panose="020B0900000000000000" pitchFamily="50" charset="-128"/>
            <a:ea typeface="HGSｺﾞｼｯｸE" panose="020B0900000000000000" pitchFamily="50" charset="-128"/>
          </a:endParaRPr>
        </a:p>
        <a:p>
          <a:pPr eaLnBrk="1" fontAlgn="auto" latinLnBrk="0" hangingPunct="1"/>
          <a:r>
            <a:rPr kumimoji="1" lang="ja-JP" altLang="ja-JP" sz="1400" b="0" i="0" baseline="0">
              <a:effectLst/>
              <a:latin typeface="HG丸ｺﾞｼｯｸM-PRO" panose="020F0600000000000000" pitchFamily="50" charset="-128"/>
              <a:ea typeface="HG丸ｺﾞｼｯｸM-PRO" panose="020F0600000000000000" pitchFamily="50" charset="-128"/>
              <a:cs typeface="+mn-cs"/>
            </a:rPr>
            <a:t>　⑩のうち最低</a:t>
          </a:r>
          <a:r>
            <a:rPr kumimoji="1" lang="en-US" altLang="ja-JP" sz="1400" b="0" i="0" baseline="0">
              <a:effectLst/>
              <a:latin typeface="HG丸ｺﾞｼｯｸM-PRO" panose="020F0600000000000000" pitchFamily="50" charset="-128"/>
              <a:ea typeface="HG丸ｺﾞｼｯｸM-PRO" panose="020F0600000000000000" pitchFamily="50" charset="-128"/>
              <a:cs typeface="+mn-cs"/>
            </a:rPr>
            <a:t>2/3</a:t>
          </a:r>
          <a:r>
            <a:rPr kumimoji="1" lang="ja-JP" altLang="ja-JP" sz="1400" b="0" i="0" baseline="0">
              <a:effectLst/>
              <a:latin typeface="HG丸ｺﾞｼｯｸM-PRO" panose="020F0600000000000000" pitchFamily="50" charset="-128"/>
              <a:ea typeface="HG丸ｺﾞｼｯｸM-PRO" panose="020F0600000000000000" pitchFamily="50" charset="-128"/>
              <a:cs typeface="+mn-cs"/>
            </a:rPr>
            <a:t>は毎月支払う額とする。</a:t>
          </a:r>
          <a:endParaRPr lang="ja-JP" altLang="ja-JP" sz="1400">
            <a:effectLst/>
            <a:latin typeface="HG丸ｺﾞｼｯｸM-PRO" panose="020F0600000000000000" pitchFamily="50" charset="-128"/>
            <a:ea typeface="HG丸ｺﾞｼｯｸM-PRO" panose="020F0600000000000000" pitchFamily="50" charset="-128"/>
          </a:endParaRPr>
        </a:p>
        <a:p>
          <a:pPr eaLnBrk="1" fontAlgn="auto" latinLnBrk="0" hangingPunct="1"/>
          <a:r>
            <a:rPr kumimoji="1" lang="ja-JP" altLang="ja-JP" sz="1400" b="0" i="0" baseline="0">
              <a:effectLst/>
              <a:latin typeface="HG丸ｺﾞｼｯｸM-PRO" panose="020F0600000000000000" pitchFamily="50" charset="-128"/>
              <a:ea typeface="HG丸ｺﾞｼｯｸM-PRO" panose="020F0600000000000000" pitchFamily="50" charset="-128"/>
              <a:cs typeface="+mn-cs"/>
            </a:rPr>
            <a:t>　　例）</a:t>
          </a:r>
          <a:r>
            <a:rPr kumimoji="1" lang="en-US" altLang="ja-JP" sz="1400" b="0" i="0" baseline="0">
              <a:effectLst/>
              <a:latin typeface="HG丸ｺﾞｼｯｸM-PRO" panose="020F0600000000000000" pitchFamily="50" charset="-128"/>
              <a:ea typeface="HG丸ｺﾞｼｯｸM-PRO" panose="020F0600000000000000" pitchFamily="50" charset="-128"/>
              <a:cs typeface="+mn-cs"/>
            </a:rPr>
            <a:t>9,000</a:t>
          </a:r>
          <a:r>
            <a:rPr kumimoji="1" lang="ja-JP" altLang="ja-JP" sz="1400" b="0" i="0" baseline="0">
              <a:effectLst/>
              <a:latin typeface="HG丸ｺﾞｼｯｸM-PRO" panose="020F0600000000000000" pitchFamily="50" charset="-128"/>
              <a:ea typeface="HG丸ｺﾞｼｯｸM-PRO" panose="020F0600000000000000" pitchFamily="50" charset="-128"/>
              <a:cs typeface="+mn-cs"/>
            </a:rPr>
            <a:t>円</a:t>
          </a:r>
          <a:r>
            <a:rPr kumimoji="1" lang="en-US" altLang="ja-JP" sz="1400" b="0" i="0" baseline="0">
              <a:effectLst/>
              <a:latin typeface="HG丸ｺﾞｼｯｸM-PRO" panose="020F0600000000000000" pitchFamily="50" charset="-128"/>
              <a:ea typeface="HG丸ｺﾞｼｯｸM-PRO" panose="020F0600000000000000" pitchFamily="50" charset="-128"/>
              <a:cs typeface="+mn-cs"/>
            </a:rPr>
            <a:t>/</a:t>
          </a:r>
          <a:r>
            <a:rPr kumimoji="1" lang="ja-JP" altLang="ja-JP" sz="1400" b="0" i="0" baseline="0">
              <a:effectLst/>
              <a:latin typeface="HG丸ｺﾞｼｯｸM-PRO" panose="020F0600000000000000" pitchFamily="50" charset="-128"/>
              <a:ea typeface="HG丸ｺﾞｼｯｸM-PRO" panose="020F0600000000000000" pitchFamily="50" charset="-128"/>
              <a:cs typeface="+mn-cs"/>
            </a:rPr>
            <a:t>月のうち、</a:t>
          </a:r>
          <a:r>
            <a:rPr kumimoji="1" lang="en-US" altLang="ja-JP" sz="1400" b="0" i="0" baseline="0">
              <a:effectLst/>
              <a:latin typeface="HG丸ｺﾞｼｯｸM-PRO" panose="020F0600000000000000" pitchFamily="50" charset="-128"/>
              <a:ea typeface="HG丸ｺﾞｼｯｸM-PRO" panose="020F0600000000000000" pitchFamily="50" charset="-128"/>
              <a:cs typeface="+mn-cs"/>
            </a:rPr>
            <a:t>6,000</a:t>
          </a:r>
          <a:r>
            <a:rPr kumimoji="1" lang="ja-JP" altLang="ja-JP" sz="1400" b="0" i="0" baseline="0">
              <a:effectLst/>
              <a:latin typeface="HG丸ｺﾞｼｯｸM-PRO" panose="020F0600000000000000" pitchFamily="50" charset="-128"/>
              <a:ea typeface="HG丸ｺﾞｼｯｸM-PRO" panose="020F0600000000000000" pitchFamily="50" charset="-128"/>
              <a:cs typeface="+mn-cs"/>
            </a:rPr>
            <a:t>円</a:t>
          </a:r>
          <a:r>
            <a:rPr kumimoji="1" lang="en-US" altLang="ja-JP" sz="1400" b="0" i="0" baseline="0">
              <a:effectLst/>
              <a:latin typeface="HG丸ｺﾞｼｯｸM-PRO" panose="020F0600000000000000" pitchFamily="50" charset="-128"/>
              <a:ea typeface="HG丸ｺﾞｼｯｸM-PRO" panose="020F0600000000000000" pitchFamily="50" charset="-128"/>
              <a:cs typeface="+mn-cs"/>
            </a:rPr>
            <a:t>/</a:t>
          </a:r>
          <a:r>
            <a:rPr kumimoji="1" lang="ja-JP" altLang="ja-JP" sz="1400" b="0" i="0" baseline="0">
              <a:effectLst/>
              <a:latin typeface="HG丸ｺﾞｼｯｸM-PRO" panose="020F0600000000000000" pitchFamily="50" charset="-128"/>
              <a:ea typeface="HG丸ｺﾞｼｯｸM-PRO" panose="020F0600000000000000" pitchFamily="50" charset="-128"/>
              <a:cs typeface="+mn-cs"/>
            </a:rPr>
            <a:t>月を毎月支払う場合、</a:t>
          </a:r>
          <a:r>
            <a:rPr kumimoji="1" lang="en-US" altLang="ja-JP" sz="1400" b="0" i="0" baseline="0">
              <a:effectLst/>
              <a:latin typeface="HG丸ｺﾞｼｯｸM-PRO" panose="020F0600000000000000" pitchFamily="50" charset="-128"/>
              <a:ea typeface="HG丸ｺﾞｼｯｸM-PRO" panose="020F0600000000000000" pitchFamily="50" charset="-128"/>
              <a:cs typeface="+mn-cs"/>
            </a:rPr>
            <a:t>6,000</a:t>
          </a:r>
          <a:r>
            <a:rPr kumimoji="1" lang="ja-JP" altLang="ja-JP" sz="1400" b="0" i="0" baseline="0">
              <a:effectLst/>
              <a:latin typeface="HG丸ｺﾞｼｯｸM-PRO" panose="020F0600000000000000" pitchFamily="50" charset="-128"/>
              <a:ea typeface="HG丸ｺﾞｼｯｸM-PRO" panose="020F0600000000000000" pitchFamily="50" charset="-128"/>
              <a:cs typeface="+mn-cs"/>
            </a:rPr>
            <a:t>円</a:t>
          </a:r>
          <a:r>
            <a:rPr kumimoji="1" lang="en-US" altLang="ja-JP" sz="1400" b="0" i="0" baseline="0">
              <a:effectLst/>
              <a:latin typeface="HG丸ｺﾞｼｯｸM-PRO" panose="020F0600000000000000" pitchFamily="50" charset="-128"/>
              <a:ea typeface="HG丸ｺﾞｼｯｸM-PRO" panose="020F0600000000000000" pitchFamily="50" charset="-128"/>
              <a:cs typeface="+mn-cs"/>
            </a:rPr>
            <a:t>×</a:t>
          </a:r>
          <a:r>
            <a:rPr kumimoji="1" lang="en-US" altLang="ja-JP" sz="1400" b="1" i="0" baseline="0">
              <a:effectLst/>
              <a:latin typeface="HG丸ｺﾞｼｯｸM-PRO" panose="020F0600000000000000" pitchFamily="50" charset="-128"/>
              <a:ea typeface="HG丸ｺﾞｼｯｸM-PRO" panose="020F0600000000000000" pitchFamily="50" charset="-128"/>
              <a:cs typeface="+mn-cs"/>
            </a:rPr>
            <a:t>12</a:t>
          </a:r>
          <a:r>
            <a:rPr kumimoji="1" lang="ja-JP" altLang="ja-JP" sz="1400" b="1" i="0" baseline="0">
              <a:effectLst/>
              <a:latin typeface="HG丸ｺﾞｼｯｸM-PRO" panose="020F0600000000000000" pitchFamily="50" charset="-128"/>
              <a:ea typeface="HG丸ｺﾞｼｯｸM-PRO" panose="020F0600000000000000" pitchFamily="50" charset="-128"/>
              <a:cs typeface="+mn-cs"/>
            </a:rPr>
            <a:t>月＝</a:t>
          </a:r>
          <a:r>
            <a:rPr kumimoji="1" lang="en-US" altLang="ja-JP" sz="1400" b="1" i="0" u="sng" baseline="0">
              <a:effectLst/>
              <a:latin typeface="HG丸ｺﾞｼｯｸM-PRO" panose="020F0600000000000000" pitchFamily="50" charset="-128"/>
              <a:ea typeface="HG丸ｺﾞｼｯｸM-PRO" panose="020F0600000000000000" pitchFamily="50" charset="-128"/>
              <a:cs typeface="+mn-cs"/>
            </a:rPr>
            <a:t>72,000</a:t>
          </a:r>
          <a:r>
            <a:rPr kumimoji="1" lang="ja-JP" altLang="ja-JP" sz="1400" b="1" i="0" u="sng" baseline="0">
              <a:effectLst/>
              <a:latin typeface="HG丸ｺﾞｼｯｸM-PRO" panose="020F0600000000000000" pitchFamily="50" charset="-128"/>
              <a:ea typeface="HG丸ｺﾞｼｯｸM-PRO" panose="020F0600000000000000" pitchFamily="50" charset="-128"/>
              <a:cs typeface="+mn-cs"/>
            </a:rPr>
            <a:t>円</a:t>
          </a:r>
          <a:r>
            <a:rPr kumimoji="1" lang="ja-JP" altLang="ja-JP" sz="1400" b="0" i="0" baseline="0">
              <a:effectLst/>
              <a:latin typeface="HG丸ｺﾞｼｯｸM-PRO" panose="020F0600000000000000" pitchFamily="50" charset="-128"/>
              <a:ea typeface="HG丸ｺﾞｼｯｸM-PRO" panose="020F0600000000000000" pitchFamily="50" charset="-128"/>
              <a:cs typeface="+mn-cs"/>
            </a:rPr>
            <a:t>となる（残り</a:t>
          </a:r>
          <a:r>
            <a:rPr kumimoji="1" lang="en-US" altLang="ja-JP" sz="1400" b="1" i="0" baseline="0">
              <a:effectLst/>
              <a:latin typeface="HG丸ｺﾞｼｯｸM-PRO" panose="020F0600000000000000" pitchFamily="50" charset="-128"/>
              <a:ea typeface="HG丸ｺﾞｼｯｸM-PRO" panose="020F0600000000000000" pitchFamily="50" charset="-128"/>
              <a:cs typeface="+mn-cs"/>
            </a:rPr>
            <a:t>36,000</a:t>
          </a:r>
          <a:r>
            <a:rPr kumimoji="1" lang="ja-JP" altLang="ja-JP" sz="1400" b="1" i="0" baseline="0">
              <a:effectLst/>
              <a:latin typeface="HG丸ｺﾞｼｯｸM-PRO" panose="020F0600000000000000" pitchFamily="50" charset="-128"/>
              <a:ea typeface="HG丸ｺﾞｼｯｸM-PRO" panose="020F0600000000000000" pitchFamily="50" charset="-128"/>
              <a:cs typeface="+mn-cs"/>
            </a:rPr>
            <a:t>円</a:t>
          </a:r>
          <a:r>
            <a:rPr kumimoji="1" lang="ja-JP" altLang="ja-JP" sz="1400" b="0" i="0" baseline="0">
              <a:effectLst/>
              <a:latin typeface="HG丸ｺﾞｼｯｸM-PRO" panose="020F0600000000000000" pitchFamily="50" charset="-128"/>
              <a:ea typeface="HG丸ｺﾞｼｯｸM-PRO" panose="020F0600000000000000" pitchFamily="50" charset="-128"/>
              <a:cs typeface="+mn-cs"/>
            </a:rPr>
            <a:t>は一時金）</a:t>
          </a:r>
          <a:endParaRPr lang="ja-JP" altLang="ja-JP" sz="1400">
            <a:effectLst/>
            <a:latin typeface="HG丸ｺﾞｼｯｸM-PRO" panose="020F0600000000000000" pitchFamily="50" charset="-128"/>
            <a:ea typeface="HG丸ｺﾞｼｯｸM-PRO" panose="020F0600000000000000" pitchFamily="50" charset="-128"/>
          </a:endParaRPr>
        </a:p>
        <a:p>
          <a:pPr eaLnBrk="1" fontAlgn="auto" latinLnBrk="0" hangingPunct="1"/>
          <a:r>
            <a:rPr kumimoji="1" lang="ja-JP" altLang="ja-JP" sz="1400" b="0" i="0" baseline="0">
              <a:effectLst/>
              <a:latin typeface="HGSｺﾞｼｯｸE" panose="020B0900000000000000" pitchFamily="50" charset="-128"/>
              <a:ea typeface="HGSｺﾞｼｯｸE" panose="020B0900000000000000" pitchFamily="50" charset="-128"/>
              <a:cs typeface="+mn-cs"/>
            </a:rPr>
            <a:t>⑫その他（自動反映）</a:t>
          </a:r>
          <a:endParaRPr lang="ja-JP" altLang="ja-JP" sz="1400">
            <a:effectLst/>
            <a:latin typeface="HGSｺﾞｼｯｸE" panose="020B0900000000000000" pitchFamily="50" charset="-128"/>
            <a:ea typeface="HGSｺﾞｼｯｸE" panose="020B0900000000000000" pitchFamily="50" charset="-128"/>
          </a:endParaRPr>
        </a:p>
        <a:p>
          <a:pPr eaLnBrk="1" fontAlgn="auto" latinLnBrk="0" hangingPunct="1"/>
          <a:r>
            <a:rPr kumimoji="1" lang="ja-JP" altLang="ja-JP" sz="1400" b="0" i="0" baseline="0">
              <a:effectLst/>
              <a:latin typeface="HG丸ｺﾞｼｯｸM-PRO" panose="020F0600000000000000" pitchFamily="50" charset="-128"/>
              <a:ea typeface="HG丸ｺﾞｼｯｸM-PRO" panose="020F0600000000000000" pitchFamily="50" charset="-128"/>
              <a:cs typeface="+mn-cs"/>
            </a:rPr>
            <a:t>　一時金等、決まって毎月支払う以外の金額（手書きの場合⑩</a:t>
          </a:r>
          <a:r>
            <a:rPr kumimoji="1" lang="en-US" altLang="ja-JP" sz="1400" b="0" i="0" baseline="0">
              <a:effectLst/>
              <a:latin typeface="HG丸ｺﾞｼｯｸM-PRO" panose="020F0600000000000000" pitchFamily="50" charset="-128"/>
              <a:ea typeface="HG丸ｺﾞｼｯｸM-PRO" panose="020F0600000000000000" pitchFamily="50" charset="-128"/>
              <a:cs typeface="+mn-cs"/>
            </a:rPr>
            <a:t>-⑪</a:t>
          </a:r>
          <a:r>
            <a:rPr kumimoji="1" lang="ja-JP" altLang="ja-JP" sz="1400" b="0" i="0" baseline="0">
              <a:effectLst/>
              <a:latin typeface="HG丸ｺﾞｼｯｸM-PRO" panose="020F0600000000000000" pitchFamily="50" charset="-128"/>
              <a:ea typeface="HG丸ｺﾞｼｯｸM-PRO" panose="020F0600000000000000" pitchFamily="50" charset="-128"/>
              <a:cs typeface="+mn-cs"/>
            </a:rPr>
            <a:t>）</a:t>
          </a:r>
          <a:endParaRPr lang="ja-JP" altLang="ja-JP" sz="1400">
            <a:effectLst/>
            <a:latin typeface="HG丸ｺﾞｼｯｸM-PRO" panose="020F0600000000000000" pitchFamily="50" charset="-128"/>
            <a:ea typeface="HG丸ｺﾞｼｯｸM-PRO" panose="020F0600000000000000" pitchFamily="50" charset="-128"/>
          </a:endParaRPr>
        </a:p>
        <a:p>
          <a:pPr eaLnBrk="1" fontAlgn="auto" latinLnBrk="0" hangingPunct="1"/>
          <a:r>
            <a:rPr kumimoji="1" lang="ja-JP" altLang="ja-JP" sz="1400" b="0" i="0" baseline="0">
              <a:effectLst/>
              <a:latin typeface="HGSｺﾞｼｯｸE" panose="020B0900000000000000" pitchFamily="50" charset="-128"/>
              <a:ea typeface="HGSｺﾞｼｯｸE" panose="020B0900000000000000" pitchFamily="50" charset="-128"/>
              <a:cs typeface="+mn-cs"/>
            </a:rPr>
            <a:t>⑬事業主負担分の増分</a:t>
          </a:r>
          <a:endParaRPr lang="ja-JP" altLang="ja-JP" sz="1400">
            <a:effectLst/>
            <a:latin typeface="HGSｺﾞｼｯｸE" panose="020B0900000000000000" pitchFamily="50" charset="-128"/>
            <a:ea typeface="HGSｺﾞｼｯｸE" panose="020B0900000000000000" pitchFamily="50" charset="-128"/>
          </a:endParaRPr>
        </a:p>
        <a:p>
          <a:pPr eaLnBrk="1" fontAlgn="auto" latinLnBrk="0" hangingPunct="1"/>
          <a:r>
            <a:rPr kumimoji="1" lang="ja-JP" altLang="ja-JP" sz="1400" b="0" i="0" baseline="0">
              <a:effectLst/>
              <a:latin typeface="HG丸ｺﾞｼｯｸM-PRO" panose="020F0600000000000000" pitchFamily="50" charset="-128"/>
              <a:ea typeface="HG丸ｺﾞｼｯｸM-PRO" panose="020F0600000000000000" pitchFamily="50" charset="-128"/>
              <a:cs typeface="+mn-cs"/>
            </a:rPr>
            <a:t>　本賃金改善により、法定福利費等の事業主負担分が増となる場合には、最下段の合計額にその総額を記入</a:t>
          </a:r>
          <a:endParaRPr lang="ja-JP" altLang="ja-JP" sz="1400">
            <a:effectLst/>
            <a:latin typeface="HG丸ｺﾞｼｯｸM-PRO" panose="020F0600000000000000" pitchFamily="50" charset="-128"/>
            <a:ea typeface="HG丸ｺﾞｼｯｸM-PRO" panose="020F0600000000000000" pitchFamily="50" charset="-128"/>
          </a:endParaRPr>
        </a:p>
        <a:p>
          <a:pPr eaLnBrk="1" fontAlgn="auto" latinLnBrk="0" hangingPunct="1"/>
          <a:r>
            <a:rPr kumimoji="1" lang="ja-JP" altLang="ja-JP" sz="1400" b="0" i="0" baseline="0">
              <a:effectLst/>
              <a:latin typeface="HG丸ｺﾞｼｯｸM-PRO" panose="020F0600000000000000" pitchFamily="50" charset="-128"/>
              <a:ea typeface="HG丸ｺﾞｼｯｸM-PRO" panose="020F0600000000000000" pitchFamily="50" charset="-128"/>
              <a:cs typeface="+mn-cs"/>
            </a:rPr>
            <a:t>　　</a:t>
          </a:r>
          <a:r>
            <a:rPr kumimoji="1" lang="en-US" altLang="ja-JP" sz="1400" b="0" i="0" baseline="0">
              <a:effectLst/>
              <a:latin typeface="HG丸ｺﾞｼｯｸM-PRO" panose="020F0600000000000000" pitchFamily="50" charset="-128"/>
              <a:ea typeface="HG丸ｺﾞｼｯｸM-PRO" panose="020F0600000000000000" pitchFamily="50" charset="-128"/>
              <a:cs typeface="+mn-cs"/>
            </a:rPr>
            <a:t>※ </a:t>
          </a:r>
          <a:r>
            <a:rPr kumimoji="1" lang="ja-JP" altLang="ja-JP" sz="1400" b="0" i="0" baseline="0">
              <a:effectLst/>
              <a:latin typeface="HG丸ｺﾞｼｯｸM-PRO" panose="020F0600000000000000" pitchFamily="50" charset="-128"/>
              <a:ea typeface="HG丸ｺﾞｼｯｸM-PRO" panose="020F0600000000000000" pitchFamily="50" charset="-128"/>
              <a:cs typeface="+mn-cs"/>
            </a:rPr>
            <a:t>法定福利費等の事業主負担分の総額については、以下の算式より算定した金額を</a:t>
          </a:r>
          <a:r>
            <a:rPr kumimoji="1" lang="ja-JP" altLang="ja-JP" sz="1400" b="0" i="0" u="sng" baseline="0">
              <a:effectLst/>
              <a:latin typeface="HG丸ｺﾞｼｯｸM-PRO" panose="020F0600000000000000" pitchFamily="50" charset="-128"/>
              <a:ea typeface="HG丸ｺﾞｼｯｸM-PRO" panose="020F0600000000000000" pitchFamily="50" charset="-128"/>
              <a:cs typeface="+mn-cs"/>
            </a:rPr>
            <a:t>標準</a:t>
          </a:r>
          <a:r>
            <a:rPr kumimoji="1" lang="ja-JP" altLang="ja-JP" sz="1400" b="0" i="0" baseline="0">
              <a:effectLst/>
              <a:latin typeface="HG丸ｺﾞｼｯｸM-PRO" panose="020F0600000000000000" pitchFamily="50" charset="-128"/>
              <a:ea typeface="HG丸ｺﾞｼｯｸM-PRO" panose="020F0600000000000000" pitchFamily="50" charset="-128"/>
              <a:cs typeface="+mn-cs"/>
            </a:rPr>
            <a:t>とする（個々の実情に合わせた算出も可）。</a:t>
          </a:r>
          <a:endParaRPr lang="ja-JP" altLang="ja-JP" sz="1400">
            <a:effectLst/>
            <a:latin typeface="HG丸ｺﾞｼｯｸM-PRO" panose="020F0600000000000000" pitchFamily="50" charset="-128"/>
            <a:ea typeface="HG丸ｺﾞｼｯｸM-PRO" panose="020F0600000000000000" pitchFamily="50" charset="-128"/>
          </a:endParaRPr>
        </a:p>
        <a:p>
          <a:pPr eaLnBrk="1" fontAlgn="auto" latinLnBrk="0" hangingPunct="1"/>
          <a:r>
            <a:rPr kumimoji="1" lang="ja-JP" altLang="ja-JP" sz="1400" b="0" i="0" baseline="0">
              <a:effectLst/>
              <a:latin typeface="HG丸ｺﾞｼｯｸM-PRO" panose="020F0600000000000000" pitchFamily="50" charset="-128"/>
              <a:ea typeface="HG丸ｺﾞｼｯｸM-PRO" panose="020F0600000000000000" pitchFamily="50" charset="-128"/>
              <a:cs typeface="+mn-cs"/>
            </a:rPr>
            <a:t>　　　　＜算式＞「前年度における法定福利費等の事業主負担分の総額」</a:t>
          </a:r>
          <a:r>
            <a:rPr kumimoji="1" lang="en-US" altLang="ja-JP" sz="1400" b="0" i="0" baseline="0">
              <a:effectLst/>
              <a:latin typeface="HG丸ｺﾞｼｯｸM-PRO" panose="020F0600000000000000" pitchFamily="50" charset="-128"/>
              <a:ea typeface="HG丸ｺﾞｼｯｸM-PRO" panose="020F0600000000000000" pitchFamily="50" charset="-128"/>
              <a:cs typeface="+mn-cs"/>
            </a:rPr>
            <a:t>÷</a:t>
          </a:r>
          <a:r>
            <a:rPr kumimoji="1" lang="ja-JP" altLang="ja-JP" sz="1400" b="0" i="0" baseline="0">
              <a:effectLst/>
              <a:latin typeface="HG丸ｺﾞｼｯｸM-PRO" panose="020F0600000000000000" pitchFamily="50" charset="-128"/>
              <a:ea typeface="HG丸ｺﾞｼｯｸM-PRO" panose="020F0600000000000000" pitchFamily="50" charset="-128"/>
              <a:cs typeface="+mn-cs"/>
            </a:rPr>
            <a:t>前年度における</a:t>
          </a:r>
          <a:r>
            <a:rPr kumimoji="1" lang="ja-JP" altLang="ja-JP" sz="1400" b="0" i="0" u="sng" baseline="0">
              <a:effectLst/>
              <a:latin typeface="HG丸ｺﾞｼｯｸM-PRO" panose="020F0600000000000000" pitchFamily="50" charset="-128"/>
              <a:ea typeface="HG丸ｺﾞｼｯｸM-PRO" panose="020F0600000000000000" pitchFamily="50" charset="-128"/>
              <a:cs typeface="+mn-cs"/>
            </a:rPr>
            <a:t>賃金の総額</a:t>
          </a:r>
          <a:r>
            <a:rPr kumimoji="1" lang="ja-JP" altLang="ja-JP" sz="1400" b="0" i="0" baseline="0">
              <a:effectLst/>
              <a:latin typeface="HG丸ｺﾞｼｯｸM-PRO" panose="020F0600000000000000" pitchFamily="50" charset="-128"/>
              <a:ea typeface="HG丸ｺﾞｼｯｸM-PRO" panose="020F0600000000000000" pitchFamily="50" charset="-128"/>
              <a:cs typeface="+mn-cs"/>
            </a:rPr>
            <a:t>」</a:t>
          </a:r>
          <a:r>
            <a:rPr kumimoji="1" lang="en-US" altLang="ja-JP" sz="1400" b="0" i="0" baseline="0">
              <a:effectLst/>
              <a:latin typeface="HG丸ｺﾞｼｯｸM-PRO" panose="020F0600000000000000" pitchFamily="50" charset="-128"/>
              <a:ea typeface="HG丸ｺﾞｼｯｸM-PRO" panose="020F0600000000000000" pitchFamily="50" charset="-128"/>
              <a:cs typeface="+mn-cs"/>
            </a:rPr>
            <a:t>×</a:t>
          </a:r>
          <a:r>
            <a:rPr kumimoji="1" lang="ja-JP" altLang="ja-JP" sz="1400" b="0" i="0" baseline="0">
              <a:effectLst/>
              <a:latin typeface="HG丸ｺﾞｼｯｸM-PRO" panose="020F0600000000000000" pitchFamily="50" charset="-128"/>
              <a:ea typeface="HG丸ｺﾞｼｯｸM-PRO" panose="020F0600000000000000" pitchFamily="50" charset="-128"/>
              <a:cs typeface="+mn-cs"/>
            </a:rPr>
            <a:t>「賃金改善額」</a:t>
          </a:r>
          <a:endParaRPr lang="ja-JP" altLang="ja-JP" sz="1400">
            <a:effectLst/>
            <a:latin typeface="HG丸ｺﾞｼｯｸM-PRO" panose="020F0600000000000000" pitchFamily="50" charset="-128"/>
            <a:ea typeface="HG丸ｺﾞｼｯｸM-PRO" panose="020F0600000000000000" pitchFamily="50" charset="-128"/>
          </a:endParaRPr>
        </a:p>
        <a:p>
          <a:pPr eaLnBrk="1" fontAlgn="auto" latinLnBrk="0" hangingPunct="1"/>
          <a:r>
            <a:rPr kumimoji="1" lang="ja-JP" altLang="ja-JP" sz="1400" b="0" i="0" baseline="0">
              <a:effectLst/>
              <a:latin typeface="HGSｺﾞｼｯｸE" panose="020B0900000000000000" pitchFamily="50" charset="-128"/>
              <a:ea typeface="HGSｺﾞｼｯｸE" panose="020B0900000000000000" pitchFamily="50" charset="-128"/>
              <a:cs typeface="+mn-cs"/>
            </a:rPr>
            <a:t>⑭１月あたりの改善額</a:t>
          </a:r>
          <a:endParaRPr lang="ja-JP" altLang="ja-JP" sz="1400">
            <a:effectLst/>
            <a:latin typeface="HGSｺﾞｼｯｸE" panose="020B0900000000000000" pitchFamily="50" charset="-128"/>
            <a:ea typeface="HGSｺﾞｼｯｸE" panose="020B0900000000000000" pitchFamily="50" charset="-128"/>
          </a:endParaRPr>
        </a:p>
        <a:p>
          <a:pPr eaLnBrk="1" fontAlgn="auto" latinLnBrk="0" hangingPunct="1"/>
          <a:r>
            <a:rPr kumimoji="1" lang="ja-JP" altLang="ja-JP" sz="1400" b="0" i="0" baseline="0">
              <a:effectLst/>
              <a:latin typeface="HG丸ｺﾞｼｯｸM-PRO" panose="020F0600000000000000" pitchFamily="50" charset="-128"/>
              <a:ea typeface="HG丸ｺﾞｼｯｸM-PRO" panose="020F0600000000000000" pitchFamily="50" charset="-128"/>
              <a:cs typeface="+mn-cs"/>
            </a:rPr>
            <a:t>　⑩／⑧の金額を記入（</a:t>
          </a:r>
          <a:r>
            <a:rPr kumimoji="1" lang="en-US" altLang="ja-JP" sz="1400" b="0" i="0" baseline="0">
              <a:effectLst/>
              <a:latin typeface="HG丸ｺﾞｼｯｸM-PRO" panose="020F0600000000000000" pitchFamily="50" charset="-128"/>
              <a:ea typeface="HG丸ｺﾞｼｯｸM-PRO" panose="020F0600000000000000" pitchFamily="50" charset="-128"/>
              <a:cs typeface="+mn-cs"/>
            </a:rPr>
            <a:t>PC</a:t>
          </a:r>
          <a:r>
            <a:rPr kumimoji="1" lang="ja-JP" altLang="ja-JP" sz="1400" b="0" i="0" baseline="0">
              <a:effectLst/>
              <a:latin typeface="HG丸ｺﾞｼｯｸM-PRO" panose="020F0600000000000000" pitchFamily="50" charset="-128"/>
              <a:ea typeface="HG丸ｺﾞｼｯｸM-PRO" panose="020F0600000000000000" pitchFamily="50" charset="-128"/>
              <a:cs typeface="+mn-cs"/>
            </a:rPr>
            <a:t>は自動反映）</a:t>
          </a:r>
          <a:endParaRPr lang="ja-JP" altLang="ja-JP" sz="1400">
            <a:effectLst/>
            <a:latin typeface="HG丸ｺﾞｼｯｸM-PRO" panose="020F0600000000000000" pitchFamily="50" charset="-128"/>
            <a:ea typeface="HG丸ｺﾞｼｯｸM-PRO" panose="020F0600000000000000" pitchFamily="50" charset="-128"/>
          </a:endParaRPr>
        </a:p>
        <a:p>
          <a:pPr eaLnBrk="1" fontAlgn="auto" latinLnBrk="0" hangingPunct="1"/>
          <a:r>
            <a:rPr kumimoji="1" lang="ja-JP" altLang="ja-JP" sz="1400" b="0" i="0" baseline="0">
              <a:effectLst/>
              <a:latin typeface="HGSｺﾞｼｯｸE" panose="020B0900000000000000" pitchFamily="50" charset="-128"/>
              <a:ea typeface="HGSｺﾞｼｯｸE" panose="020B0900000000000000" pitchFamily="50" charset="-128"/>
              <a:cs typeface="+mn-cs"/>
            </a:rPr>
            <a:t>⑮備考</a:t>
          </a:r>
          <a:endParaRPr lang="ja-JP" altLang="ja-JP" sz="1400">
            <a:effectLst/>
            <a:latin typeface="HGSｺﾞｼｯｸE" panose="020B0900000000000000" pitchFamily="50" charset="-128"/>
            <a:ea typeface="HGSｺﾞｼｯｸE" panose="020B0900000000000000" pitchFamily="50" charset="-128"/>
          </a:endParaRPr>
        </a:p>
        <a:p>
          <a:pPr eaLnBrk="1" fontAlgn="auto" latinLnBrk="0" hangingPunct="1"/>
          <a:r>
            <a:rPr kumimoji="1" lang="ja-JP" altLang="ja-JP" sz="1400" b="0" i="0" baseline="0">
              <a:effectLst/>
              <a:latin typeface="HG丸ｺﾞｼｯｸM-PRO" panose="020F0600000000000000" pitchFamily="50" charset="-128"/>
              <a:ea typeface="HG丸ｺﾞｼｯｸM-PRO" panose="020F0600000000000000" pitchFamily="50" charset="-128"/>
              <a:cs typeface="+mn-cs"/>
            </a:rPr>
            <a:t>　年度途中の採用や退職、賃金改善額が他の職員と比較して高額（低額）</a:t>
          </a:r>
          <a:endParaRPr lang="ja-JP" altLang="ja-JP" sz="1400">
            <a:effectLst/>
            <a:latin typeface="HG丸ｺﾞｼｯｸM-PRO" panose="020F0600000000000000" pitchFamily="50" charset="-128"/>
            <a:ea typeface="HG丸ｺﾞｼｯｸM-PRO" panose="020F0600000000000000" pitchFamily="50" charset="-128"/>
          </a:endParaRPr>
        </a:p>
        <a:p>
          <a:pPr eaLnBrk="1" fontAlgn="auto" latinLnBrk="0" hangingPunct="1"/>
          <a:r>
            <a:rPr kumimoji="1" lang="ja-JP" altLang="ja-JP" sz="1400" b="0" i="0" baseline="0">
              <a:effectLst/>
              <a:latin typeface="HG丸ｺﾞｼｯｸM-PRO" panose="020F0600000000000000" pitchFamily="50" charset="-128"/>
              <a:ea typeface="HG丸ｺﾞｼｯｸM-PRO" panose="020F0600000000000000" pitchFamily="50" charset="-128"/>
              <a:cs typeface="+mn-cs"/>
            </a:rPr>
            <a:t>　である場合については「その理由」を記載すること。</a:t>
          </a:r>
          <a:endParaRPr lang="ja-JP" altLang="ja-JP" sz="14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127963</xdr:colOff>
      <xdr:row>19</xdr:row>
      <xdr:rowOff>107757</xdr:rowOff>
    </xdr:from>
    <xdr:to>
      <xdr:col>8</xdr:col>
      <xdr:colOff>268481</xdr:colOff>
      <xdr:row>39</xdr:row>
      <xdr:rowOff>50416</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127963" y="4714393"/>
          <a:ext cx="5647700" cy="4445387"/>
        </a:xfrm>
        <a:prstGeom prst="rect">
          <a:avLst/>
        </a:prstGeom>
        <a:solidFill>
          <a:srgbClr val="FFFF00"/>
        </a:solidFill>
        <a:ln w="3810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職員名：本事業の対象とする職員氏名を記入</a:t>
          </a:r>
          <a:endParaRPr kumimoji="1" lang="en-US" altLang="ja-JP"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①職種：以下の４種から選択</a:t>
          </a:r>
          <a:endParaRPr kumimoji="1" lang="en-US" altLang="ja-JP"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　　　　・</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放課後児童支援員</a:t>
          </a:r>
          <a:endPar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・補助員</a:t>
          </a:r>
          <a:endPar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・育成支援の周辺業務を行う職員</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事務員等のこと</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・その他</a:t>
          </a:r>
          <a:endPar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注意</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4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法人役員等は除きます</a:t>
          </a:r>
          <a:endParaRPr kumimoji="1" lang="en-US" altLang="ja-JP" sz="14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②常勤・非常勤の別：常勤か非常勤かを選択</a:t>
          </a:r>
          <a:endParaRPr kumimoji="1" lang="en-US" altLang="ja-JP"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　　　　</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算定基礎が異なる</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r>
            <a:rPr kumimoji="1" lang="en-US" altLang="ja-JP"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注意</a:t>
          </a:r>
          <a:r>
            <a:rPr kumimoji="1" lang="en-US" altLang="ja-JP"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　　　　非常勤職員でも、１日６時間以上、かつ月</a:t>
          </a:r>
          <a:r>
            <a:rPr kumimoji="1" lang="en-US" altLang="ja-JP"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20</a:t>
          </a:r>
          <a:r>
            <a:rPr kumimoji="1" lang="ja-JP" altLang="en-US"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日以上の</a:t>
          </a:r>
          <a:endParaRPr kumimoji="1" lang="en-US" altLang="ja-JP"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　　　　勤務をしている場合は「常勤職員１人」とする</a:t>
          </a:r>
          <a:endParaRPr kumimoji="1" lang="en-US" altLang="ja-JP"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③補助単価　：自動反映</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手書きの場合　１１，０００円</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④常勤職員数：自動反映</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手書きの場合　１</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０人</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　　　　　　　非常勤職員は記入しない</a:t>
          </a:r>
          <a:endParaRPr kumimoji="1" lang="en-US" altLang="ja-JP" sz="14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57150</xdr:colOff>
      <xdr:row>11</xdr:row>
      <xdr:rowOff>142875</xdr:rowOff>
    </xdr:from>
    <xdr:to>
      <xdr:col>22</xdr:col>
      <xdr:colOff>190500</xdr:colOff>
      <xdr:row>25</xdr:row>
      <xdr:rowOff>114301</xdr:rowOff>
    </xdr:to>
    <xdr:sp macro="" textlink="">
      <xdr:nvSpPr>
        <xdr:cNvPr id="2" name="吹き出し: 角を丸めた四角形 1">
          <a:extLst>
            <a:ext uri="{FF2B5EF4-FFF2-40B4-BE49-F238E27FC236}">
              <a16:creationId xmlns:a16="http://schemas.microsoft.com/office/drawing/2014/main" id="{00000000-0008-0000-0C00-000002000000}"/>
            </a:ext>
          </a:extLst>
        </xdr:cNvPr>
        <xdr:cNvSpPr/>
      </xdr:nvSpPr>
      <xdr:spPr>
        <a:xfrm>
          <a:off x="257175" y="2600325"/>
          <a:ext cx="4333875" cy="2914651"/>
        </a:xfrm>
        <a:prstGeom prst="wedgeRoundRectCallout">
          <a:avLst>
            <a:gd name="adj1" fmla="val 41150"/>
            <a:gd name="adj2" fmla="val 6244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0" u="dbl">
              <a:solidFill>
                <a:schemeClr val="bg1"/>
              </a:solidFill>
              <a:latin typeface="BIZ UDPゴシック" panose="020B0400000000000000" pitchFamily="50" charset="-128"/>
              <a:ea typeface="BIZ UDPゴシック" panose="020B0400000000000000" pitchFamily="50" charset="-128"/>
            </a:rPr>
            <a:t>こちらは計画書です。</a:t>
          </a:r>
          <a:endParaRPr kumimoji="1" lang="en-US" altLang="ja-JP" sz="1600" b="0" u="dbl">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600" b="0" u="dbl">
              <a:solidFill>
                <a:schemeClr val="bg1"/>
              </a:solidFill>
              <a:latin typeface="BIZ UDPゴシック" panose="020B0400000000000000" pitchFamily="50" charset="-128"/>
              <a:ea typeface="BIZ UDPゴシック" panose="020B0400000000000000" pitchFamily="50" charset="-128"/>
            </a:rPr>
            <a:t>本シートは自動で作成されます。</a:t>
          </a:r>
          <a:endParaRPr kumimoji="1" lang="en-US" altLang="ja-JP" sz="1600" b="0" u="dbl">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600" b="0" u="dbl">
              <a:solidFill>
                <a:schemeClr val="bg1"/>
              </a:solidFill>
              <a:latin typeface="BIZ UDPゴシック" panose="020B0400000000000000" pitchFamily="50" charset="-128"/>
              <a:ea typeface="BIZ UDPゴシック" panose="020B0400000000000000" pitchFamily="50" charset="-128"/>
            </a:rPr>
            <a:t>（別紙様式２と同じ内容になるようコピーされます）</a:t>
          </a:r>
          <a:endParaRPr kumimoji="1" lang="en-US" altLang="ja-JP" sz="1600" b="0" u="dbl">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600" b="0" u="dbl">
              <a:solidFill>
                <a:schemeClr val="bg1"/>
              </a:solidFill>
              <a:latin typeface="BIZ UDPゴシック" panose="020B0400000000000000" pitchFamily="50" charset="-128"/>
              <a:ea typeface="BIZ UDPゴシック" panose="020B0400000000000000" pitchFamily="50" charset="-128"/>
            </a:rPr>
            <a:t>内容が別紙様式２と同じになっているか確認のうえ、当初申請を提出した日付を入れてください。日付がわからない場合は、空欄で構いません。</a:t>
          </a:r>
          <a:endParaRPr kumimoji="1" lang="en-US" altLang="ja-JP" sz="1600" b="0" u="dbl">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367393</xdr:colOff>
      <xdr:row>1</xdr:row>
      <xdr:rowOff>122463</xdr:rowOff>
    </xdr:from>
    <xdr:to>
      <xdr:col>7</xdr:col>
      <xdr:colOff>993321</xdr:colOff>
      <xdr:row>13</xdr:row>
      <xdr:rowOff>95248</xdr:rowOff>
    </xdr:to>
    <xdr:sp macro="" textlink="">
      <xdr:nvSpPr>
        <xdr:cNvPr id="2" name="吹き出し: 角を丸めた四角形 1">
          <a:extLst>
            <a:ext uri="{FF2B5EF4-FFF2-40B4-BE49-F238E27FC236}">
              <a16:creationId xmlns:a16="http://schemas.microsoft.com/office/drawing/2014/main" id="{00000000-0008-0000-0D00-000002000000}"/>
            </a:ext>
          </a:extLst>
        </xdr:cNvPr>
        <xdr:cNvSpPr/>
      </xdr:nvSpPr>
      <xdr:spPr>
        <a:xfrm>
          <a:off x="530679" y="353784"/>
          <a:ext cx="4925785" cy="3034393"/>
        </a:xfrm>
        <a:prstGeom prst="wedgeRoundRectCallout">
          <a:avLst>
            <a:gd name="adj1" fmla="val 43724"/>
            <a:gd name="adj2" fmla="val 3911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0" u="dbl">
              <a:solidFill>
                <a:schemeClr val="bg1"/>
              </a:solidFill>
              <a:latin typeface="BIZ UDPゴシック" panose="020B0400000000000000" pitchFamily="50" charset="-128"/>
              <a:ea typeface="BIZ UDPゴシック" panose="020B0400000000000000" pitchFamily="50" charset="-128"/>
            </a:rPr>
            <a:t>本シートは自動で作成されます。</a:t>
          </a:r>
          <a:endParaRPr kumimoji="1" lang="en-US" altLang="ja-JP" sz="1600" b="0" u="dbl">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600" b="0" u="dbl">
              <a:solidFill>
                <a:schemeClr val="bg1"/>
              </a:solidFill>
              <a:latin typeface="BIZ UDPゴシック" panose="020B0400000000000000" pitchFamily="50" charset="-128"/>
              <a:ea typeface="BIZ UDPゴシック" panose="020B0400000000000000" pitchFamily="50" charset="-128"/>
            </a:rPr>
            <a:t>（別紙様式２　別添１と同じ内容になるようコピーされます）</a:t>
          </a:r>
          <a:endParaRPr kumimoji="1" lang="en-US" altLang="ja-JP" sz="1600" b="0" u="dbl">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600" b="0" u="dbl">
              <a:solidFill>
                <a:schemeClr val="bg1"/>
              </a:solidFill>
              <a:latin typeface="BIZ UDPゴシック" panose="020B0400000000000000" pitchFamily="50" charset="-128"/>
              <a:ea typeface="BIZ UDPゴシック" panose="020B0400000000000000" pitchFamily="50" charset="-128"/>
            </a:rPr>
            <a:t>内容が別紙様式２　別添１と同じになっているか確認をしてください。</a:t>
          </a:r>
          <a:endParaRPr kumimoji="1" lang="en-US" altLang="ja-JP" sz="1600" b="0" u="dbl">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600" b="0" u="dbl">
              <a:solidFill>
                <a:schemeClr val="bg1"/>
              </a:solidFill>
              <a:latin typeface="BIZ UDPゴシック" panose="020B0400000000000000" pitchFamily="50" charset="-128"/>
              <a:ea typeface="BIZ UDPゴシック" panose="020B0400000000000000" pitchFamily="50" charset="-128"/>
            </a:rPr>
            <a:t>追加で入力していただく箇所はありません。</a:t>
          </a:r>
          <a:endParaRPr kumimoji="1" lang="en-US" altLang="ja-JP" sz="1600" b="0" u="dbl">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201705</xdr:colOff>
      <xdr:row>9</xdr:row>
      <xdr:rowOff>67236</xdr:rowOff>
    </xdr:from>
    <xdr:to>
      <xdr:col>17</xdr:col>
      <xdr:colOff>56029</xdr:colOff>
      <xdr:row>18</xdr:row>
      <xdr:rowOff>152399</xdr:rowOff>
    </xdr:to>
    <xdr:sp macro="" textlink="">
      <xdr:nvSpPr>
        <xdr:cNvPr id="2" name="吹き出し: 角を丸めた四角形 1">
          <a:extLst>
            <a:ext uri="{FF2B5EF4-FFF2-40B4-BE49-F238E27FC236}">
              <a16:creationId xmlns:a16="http://schemas.microsoft.com/office/drawing/2014/main" id="{00000000-0008-0000-0100-000002000000}"/>
            </a:ext>
          </a:extLst>
        </xdr:cNvPr>
        <xdr:cNvSpPr/>
      </xdr:nvSpPr>
      <xdr:spPr>
        <a:xfrm>
          <a:off x="3529105" y="2327836"/>
          <a:ext cx="4451724" cy="2485463"/>
        </a:xfrm>
        <a:prstGeom prst="wedgeRoundRectCallout">
          <a:avLst>
            <a:gd name="adj1" fmla="val 74973"/>
            <a:gd name="adj2" fmla="val -7382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bg1"/>
              </a:solidFill>
              <a:latin typeface="BIZ UDPゴシック" panose="020B0400000000000000" pitchFamily="50" charset="-128"/>
              <a:ea typeface="BIZ UDPゴシック" panose="020B0400000000000000" pitchFamily="50" charset="-128"/>
            </a:rPr>
            <a:t>年度途中から割引の事由が発生した場合には、割引額を上書きして、</a:t>
          </a:r>
          <a:endParaRPr kumimoji="1" lang="en-US" altLang="ja-JP" sz="160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600">
              <a:solidFill>
                <a:schemeClr val="bg1"/>
              </a:solidFill>
              <a:latin typeface="BIZ UDPゴシック" panose="020B0400000000000000" pitchFamily="50" charset="-128"/>
              <a:ea typeface="BIZ UDPゴシック" panose="020B0400000000000000" pitchFamily="50" charset="-128"/>
            </a:rPr>
            <a:t>１人あたり割引額</a:t>
          </a:r>
          <a:r>
            <a:rPr kumimoji="1" lang="en-US" altLang="ja-JP" sz="1600">
              <a:solidFill>
                <a:schemeClr val="bg1"/>
              </a:solidFill>
              <a:latin typeface="BIZ UDPゴシック" panose="020B0400000000000000" pitchFamily="50" charset="-128"/>
              <a:ea typeface="BIZ UDPゴシック" panose="020B0400000000000000" pitchFamily="50" charset="-128"/>
            </a:rPr>
            <a:t>×</a:t>
          </a:r>
          <a:r>
            <a:rPr kumimoji="1" lang="ja-JP" altLang="en-US" sz="1600">
              <a:solidFill>
                <a:schemeClr val="bg1"/>
              </a:solidFill>
              <a:latin typeface="BIZ UDPゴシック" panose="020B0400000000000000" pitchFamily="50" charset="-128"/>
              <a:ea typeface="BIZ UDPゴシック" panose="020B0400000000000000" pitchFamily="50" charset="-128"/>
            </a:rPr>
            <a:t>対象月の金額を</a:t>
          </a:r>
          <a:endParaRPr kumimoji="1" lang="en-US" altLang="ja-JP" sz="160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600">
              <a:solidFill>
                <a:schemeClr val="bg1"/>
              </a:solidFill>
              <a:latin typeface="BIZ UDPゴシック" panose="020B0400000000000000" pitchFamily="50" charset="-128"/>
              <a:ea typeface="BIZ UDPゴシック" panose="020B0400000000000000" pitchFamily="50" charset="-128"/>
            </a:rPr>
            <a:t>直接入力してください。</a:t>
          </a:r>
          <a:endParaRPr kumimoji="1" lang="en-US" altLang="ja-JP" sz="160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600">
              <a:solidFill>
                <a:schemeClr val="bg1"/>
              </a:solidFill>
              <a:latin typeface="BIZ UDPゴシック" panose="020B0400000000000000" pitchFamily="50" charset="-128"/>
              <a:ea typeface="BIZ UDPゴシック" panose="020B0400000000000000" pitchFamily="50" charset="-128"/>
            </a:rPr>
            <a:t>（これまでお願いしていた２行に分けての記載はしないでください。）</a:t>
          </a:r>
        </a:p>
      </xdr:txBody>
    </xdr:sp>
    <xdr:clientData/>
  </xdr:twoCellAnchor>
  <xdr:twoCellAnchor>
    <xdr:from>
      <xdr:col>7</xdr:col>
      <xdr:colOff>177800</xdr:colOff>
      <xdr:row>20</xdr:row>
      <xdr:rowOff>128496</xdr:rowOff>
    </xdr:from>
    <xdr:to>
      <xdr:col>17</xdr:col>
      <xdr:colOff>263711</xdr:colOff>
      <xdr:row>28</xdr:row>
      <xdr:rowOff>152400</xdr:rowOff>
    </xdr:to>
    <xdr:sp macro="" textlink="">
      <xdr:nvSpPr>
        <xdr:cNvPr id="3" name="吹き出し: 角を丸めた四角形 2">
          <a:extLst>
            <a:ext uri="{FF2B5EF4-FFF2-40B4-BE49-F238E27FC236}">
              <a16:creationId xmlns:a16="http://schemas.microsoft.com/office/drawing/2014/main" id="{00000000-0008-0000-0100-000003000000}"/>
            </a:ext>
          </a:extLst>
        </xdr:cNvPr>
        <xdr:cNvSpPr/>
      </xdr:nvSpPr>
      <xdr:spPr>
        <a:xfrm>
          <a:off x="3505200" y="5322796"/>
          <a:ext cx="4683311" cy="2157504"/>
        </a:xfrm>
        <a:prstGeom prst="wedgeRoundRectCallout">
          <a:avLst>
            <a:gd name="adj1" fmla="val 57089"/>
            <a:gd name="adj2" fmla="val -57083"/>
            <a:gd name="adj3" fmla="val 16667"/>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bg1"/>
              </a:solidFill>
              <a:latin typeface="BIZ UDPゴシック" panose="020B0400000000000000" pitchFamily="50" charset="-128"/>
              <a:ea typeface="BIZ UDPゴシック" panose="020B0400000000000000" pitchFamily="50" charset="-128"/>
            </a:rPr>
            <a:t>長期休暇のみ在籍していた児童についても、</a:t>
          </a:r>
          <a:endParaRPr kumimoji="1" lang="en-US" altLang="ja-JP" sz="160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600">
              <a:solidFill>
                <a:schemeClr val="bg1"/>
              </a:solidFill>
              <a:latin typeface="BIZ UDPゴシック" panose="020B0400000000000000" pitchFamily="50" charset="-128"/>
              <a:ea typeface="BIZ UDPゴシック" panose="020B0400000000000000" pitchFamily="50" charset="-128"/>
            </a:rPr>
            <a:t>利用頻度と在籍月数を記入してください。</a:t>
          </a:r>
          <a:endParaRPr kumimoji="1" lang="en-US" altLang="ja-JP" sz="160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600">
              <a:solidFill>
                <a:schemeClr val="bg1"/>
              </a:solidFill>
              <a:latin typeface="BIZ UDPゴシック" panose="020B0400000000000000" pitchFamily="50" charset="-128"/>
              <a:ea typeface="BIZ UDPゴシック" panose="020B0400000000000000" pitchFamily="50" charset="-128"/>
            </a:rPr>
            <a:t>在籍月数は、クラブにて利用料を何か月分徴収したかに合わせてください（夏休みで、７・８月の２か月分徴収した場合は、「２月」と記入。冬休みで、</a:t>
          </a:r>
          <a:r>
            <a:rPr kumimoji="1" lang="en-US" altLang="ja-JP" sz="1600">
              <a:solidFill>
                <a:schemeClr val="bg1"/>
              </a:solidFill>
              <a:latin typeface="BIZ UDPゴシック" panose="020B0400000000000000" pitchFamily="50" charset="-128"/>
              <a:ea typeface="BIZ UDPゴシック" panose="020B0400000000000000" pitchFamily="50" charset="-128"/>
            </a:rPr>
            <a:t>12</a:t>
          </a:r>
          <a:r>
            <a:rPr kumimoji="1" lang="ja-JP" altLang="en-US" sz="1600">
              <a:solidFill>
                <a:schemeClr val="bg1"/>
              </a:solidFill>
              <a:latin typeface="BIZ UDPゴシック" panose="020B0400000000000000" pitchFamily="50" charset="-128"/>
              <a:ea typeface="BIZ UDPゴシック" panose="020B0400000000000000" pitchFamily="50" charset="-128"/>
            </a:rPr>
            <a:t>・１月の２か月利用しても</a:t>
          </a:r>
          <a:r>
            <a:rPr kumimoji="1" lang="en-US" altLang="ja-JP" sz="1600">
              <a:solidFill>
                <a:schemeClr val="bg1"/>
              </a:solidFill>
              <a:latin typeface="BIZ UDPゴシック" panose="020B0400000000000000" pitchFamily="50" charset="-128"/>
              <a:ea typeface="BIZ UDPゴシック" panose="020B0400000000000000" pitchFamily="50" charset="-128"/>
            </a:rPr>
            <a:t>1</a:t>
          </a:r>
          <a:r>
            <a:rPr kumimoji="1" lang="ja-JP" altLang="en-US" sz="1600">
              <a:solidFill>
                <a:schemeClr val="bg1"/>
              </a:solidFill>
              <a:latin typeface="BIZ UDPゴシック" panose="020B0400000000000000" pitchFamily="50" charset="-128"/>
              <a:ea typeface="BIZ UDPゴシック" panose="020B0400000000000000" pitchFamily="50" charset="-128"/>
            </a:rPr>
            <a:t>か月分徴収した場合は、「１月」と記入。）</a:t>
          </a:r>
          <a:endParaRPr kumimoji="1" lang="en-US" altLang="ja-JP" sz="1600">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394445</xdr:colOff>
      <xdr:row>30</xdr:row>
      <xdr:rowOff>91890</xdr:rowOff>
    </xdr:from>
    <xdr:to>
      <xdr:col>10</xdr:col>
      <xdr:colOff>192740</xdr:colOff>
      <xdr:row>39</xdr:row>
      <xdr:rowOff>25400</xdr:rowOff>
    </xdr:to>
    <xdr:sp macro="" textlink="">
      <xdr:nvSpPr>
        <xdr:cNvPr id="4" name="吹き出し: 角を丸めた四角形 3">
          <a:extLst>
            <a:ext uri="{FF2B5EF4-FFF2-40B4-BE49-F238E27FC236}">
              <a16:creationId xmlns:a16="http://schemas.microsoft.com/office/drawing/2014/main" id="{00000000-0008-0000-0100-000004000000}"/>
            </a:ext>
          </a:extLst>
        </xdr:cNvPr>
        <xdr:cNvSpPr/>
      </xdr:nvSpPr>
      <xdr:spPr>
        <a:xfrm>
          <a:off x="686545" y="7953190"/>
          <a:ext cx="4471895" cy="2333810"/>
        </a:xfrm>
        <a:prstGeom prst="wedgeRoundRectCallout">
          <a:avLst>
            <a:gd name="adj1" fmla="val 57089"/>
            <a:gd name="adj2" fmla="val -5708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bg1"/>
              </a:solidFill>
              <a:latin typeface="BIZ UDPゴシック" panose="020B0400000000000000" pitchFamily="50" charset="-128"/>
              <a:ea typeface="BIZ UDPゴシック" panose="020B0400000000000000" pitchFamily="50" charset="-128"/>
            </a:rPr>
            <a:t>多子世帯利用料割引は、第２子以降に○をします。年度途中できょうだい児が入所・退所した場合は、割引額を上書きして、</a:t>
          </a:r>
          <a:endParaRPr kumimoji="1" lang="en-US" altLang="ja-JP" sz="160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600">
              <a:solidFill>
                <a:schemeClr val="bg1"/>
              </a:solidFill>
              <a:latin typeface="BIZ UDPゴシック" panose="020B0400000000000000" pitchFamily="50" charset="-128"/>
              <a:ea typeface="BIZ UDPゴシック" panose="020B0400000000000000" pitchFamily="50" charset="-128"/>
            </a:rPr>
            <a:t>１人あたり割引額</a:t>
          </a:r>
          <a:r>
            <a:rPr kumimoji="1" lang="en-US" altLang="ja-JP" sz="1600">
              <a:solidFill>
                <a:schemeClr val="bg1"/>
              </a:solidFill>
              <a:latin typeface="BIZ UDPゴシック" panose="020B0400000000000000" pitchFamily="50" charset="-128"/>
              <a:ea typeface="BIZ UDPゴシック" panose="020B0400000000000000" pitchFamily="50" charset="-128"/>
            </a:rPr>
            <a:t>×</a:t>
          </a:r>
          <a:r>
            <a:rPr kumimoji="1" lang="ja-JP" altLang="en-US" sz="1600">
              <a:solidFill>
                <a:schemeClr val="bg1"/>
              </a:solidFill>
              <a:latin typeface="BIZ UDPゴシック" panose="020B0400000000000000" pitchFamily="50" charset="-128"/>
              <a:ea typeface="BIZ UDPゴシック" panose="020B0400000000000000" pitchFamily="50" charset="-128"/>
            </a:rPr>
            <a:t>対象月の金額を</a:t>
          </a:r>
        </a:p>
        <a:p>
          <a:pPr algn="l"/>
          <a:r>
            <a:rPr kumimoji="1" lang="ja-JP" altLang="en-US" sz="1600">
              <a:solidFill>
                <a:schemeClr val="bg1"/>
              </a:solidFill>
              <a:latin typeface="BIZ UDPゴシック" panose="020B0400000000000000" pitchFamily="50" charset="-128"/>
              <a:ea typeface="BIZ UDPゴシック" panose="020B0400000000000000" pitchFamily="50" charset="-128"/>
            </a:rPr>
            <a:t>直接入力してください。</a:t>
          </a:r>
        </a:p>
        <a:p>
          <a:pPr algn="l"/>
          <a:r>
            <a:rPr kumimoji="1" lang="ja-JP" altLang="en-US" sz="1600">
              <a:solidFill>
                <a:schemeClr val="bg1"/>
              </a:solidFill>
              <a:latin typeface="BIZ UDPゴシック" panose="020B0400000000000000" pitchFamily="50" charset="-128"/>
              <a:ea typeface="BIZ UDPゴシック" panose="020B0400000000000000" pitchFamily="50" charset="-128"/>
            </a:rPr>
            <a:t>（これまでお願いしていた２行に分けての記載はしないでください。）</a:t>
          </a:r>
        </a:p>
      </xdr:txBody>
    </xdr:sp>
    <xdr:clientData/>
  </xdr:twoCellAnchor>
  <xdr:twoCellAnchor>
    <xdr:from>
      <xdr:col>2</xdr:col>
      <xdr:colOff>56030</xdr:colOff>
      <xdr:row>2</xdr:row>
      <xdr:rowOff>89647</xdr:rowOff>
    </xdr:from>
    <xdr:to>
      <xdr:col>10</xdr:col>
      <xdr:colOff>328381</xdr:colOff>
      <xdr:row>8</xdr:row>
      <xdr:rowOff>65287</xdr:rowOff>
    </xdr:to>
    <xdr:sp macro="" textlink="">
      <xdr:nvSpPr>
        <xdr:cNvPr id="5" name="吹き出し: 角を丸めた四角形 4">
          <a:extLst>
            <a:ext uri="{FF2B5EF4-FFF2-40B4-BE49-F238E27FC236}">
              <a16:creationId xmlns:a16="http://schemas.microsoft.com/office/drawing/2014/main" id="{00000000-0008-0000-0100-000005000000}"/>
            </a:ext>
          </a:extLst>
        </xdr:cNvPr>
        <xdr:cNvSpPr/>
      </xdr:nvSpPr>
      <xdr:spPr>
        <a:xfrm>
          <a:off x="963706" y="504265"/>
          <a:ext cx="4306469" cy="1544463"/>
        </a:xfrm>
        <a:prstGeom prst="wedgeRoundRectCallout">
          <a:avLst>
            <a:gd name="adj1" fmla="val 64304"/>
            <a:gd name="adj2" fmla="val -3537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latin typeface="BIZ UDPゴシック" panose="020B0400000000000000" pitchFamily="50" charset="-128"/>
              <a:ea typeface="BIZ UDPゴシック" panose="020B0400000000000000" pitchFamily="50" charset="-128"/>
            </a:rPr>
            <a:t>ひとりあたりの金額を入力</a:t>
          </a:r>
          <a:r>
            <a:rPr kumimoji="1" lang="ja-JP" altLang="en-US" sz="1600">
              <a:solidFill>
                <a:schemeClr val="bg1"/>
              </a:solidFill>
              <a:latin typeface="BIZ UDPゴシック" panose="020B0400000000000000" pitchFamily="50" charset="-128"/>
              <a:ea typeface="BIZ UDPゴシック" panose="020B0400000000000000" pitchFamily="50" charset="-128"/>
            </a:rPr>
            <a:t>してください。</a:t>
          </a:r>
          <a:endParaRPr kumimoji="1" lang="en-US" altLang="ja-JP" sz="1600">
            <a:solidFill>
              <a:schemeClr val="bg1"/>
            </a:solidFill>
            <a:latin typeface="BIZ UDPゴシック" panose="020B0400000000000000" pitchFamily="50" charset="-128"/>
            <a:ea typeface="BIZ UDPゴシック" panose="020B0400000000000000" pitchFamily="50" charset="-128"/>
          </a:endParaRPr>
        </a:p>
        <a:p>
          <a:pPr algn="l"/>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600">
              <a:latin typeface="BIZ UDPゴシック" panose="020B0400000000000000" pitchFamily="50" charset="-128"/>
              <a:ea typeface="BIZ UDPゴシック" panose="020B0400000000000000" pitchFamily="50" charset="-128"/>
            </a:rPr>
            <a:t>学年により異なる場合は、最も高い金額を入力</a:t>
          </a:r>
          <a:r>
            <a:rPr kumimoji="1" lang="ja-JP" altLang="en-US" sz="1600">
              <a:solidFill>
                <a:schemeClr val="bg1"/>
              </a:solidFill>
              <a:latin typeface="BIZ UDPゴシック" panose="020B0400000000000000" pitchFamily="50" charset="-128"/>
              <a:ea typeface="BIZ UDPゴシック" panose="020B0400000000000000" pitchFamily="50" charset="-128"/>
            </a:rPr>
            <a:t>してください。</a:t>
          </a:r>
        </a:p>
      </xdr:txBody>
    </xdr:sp>
    <xdr:clientData/>
  </xdr:twoCellAnchor>
  <xdr:twoCellAnchor>
    <xdr:from>
      <xdr:col>11</xdr:col>
      <xdr:colOff>267445</xdr:colOff>
      <xdr:row>48</xdr:row>
      <xdr:rowOff>117290</xdr:rowOff>
    </xdr:from>
    <xdr:to>
      <xdr:col>21</xdr:col>
      <xdr:colOff>383240</xdr:colOff>
      <xdr:row>53</xdr:row>
      <xdr:rowOff>215900</xdr:rowOff>
    </xdr:to>
    <xdr:sp macro="" textlink="">
      <xdr:nvSpPr>
        <xdr:cNvPr id="6" name="吹き出し: 角を丸めた四角形 5">
          <a:extLst>
            <a:ext uri="{FF2B5EF4-FFF2-40B4-BE49-F238E27FC236}">
              <a16:creationId xmlns:a16="http://schemas.microsoft.com/office/drawing/2014/main" id="{577F53D0-9F63-45B2-89D5-183A54F455E2}"/>
            </a:ext>
          </a:extLst>
        </xdr:cNvPr>
        <xdr:cNvSpPr/>
      </xdr:nvSpPr>
      <xdr:spPr>
        <a:xfrm>
          <a:off x="5677645" y="12779190"/>
          <a:ext cx="4471895" cy="1432110"/>
        </a:xfrm>
        <a:prstGeom prst="wedgeRoundRectCallout">
          <a:avLst>
            <a:gd name="adj1" fmla="val -39469"/>
            <a:gd name="adj2" fmla="val -86851"/>
            <a:gd name="adj3" fmla="val 16667"/>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bg1"/>
              </a:solidFill>
              <a:latin typeface="BIZ UDPゴシック" panose="020B0400000000000000" pitchFamily="50" charset="-128"/>
              <a:ea typeface="BIZ UDPゴシック" panose="020B0400000000000000" pitchFamily="50" charset="-128"/>
            </a:rPr>
            <a:t>年度途中から支援級の在籍になったなどの事由が生じた場合は、同じ児童について２行に分けて、それぞれの在籍月数で入力してください。</a:t>
          </a:r>
        </a:p>
      </xdr:txBody>
    </xdr:sp>
    <xdr:clientData/>
  </xdr:twoCellAnchor>
  <xdr:twoCellAnchor>
    <xdr:from>
      <xdr:col>1</xdr:col>
      <xdr:colOff>495300</xdr:colOff>
      <xdr:row>50</xdr:row>
      <xdr:rowOff>254000</xdr:rowOff>
    </xdr:from>
    <xdr:to>
      <xdr:col>10</xdr:col>
      <xdr:colOff>273424</xdr:colOff>
      <xdr:row>56</xdr:row>
      <xdr:rowOff>103838</xdr:rowOff>
    </xdr:to>
    <xdr:sp macro="" textlink="">
      <xdr:nvSpPr>
        <xdr:cNvPr id="8" name="吹き出し: 角を丸めた四角形 7">
          <a:extLst>
            <a:ext uri="{FF2B5EF4-FFF2-40B4-BE49-F238E27FC236}">
              <a16:creationId xmlns:a16="http://schemas.microsoft.com/office/drawing/2014/main" id="{F712BEDD-99F0-4016-B133-75FEE063A848}"/>
            </a:ext>
          </a:extLst>
        </xdr:cNvPr>
        <xdr:cNvSpPr/>
      </xdr:nvSpPr>
      <xdr:spPr>
        <a:xfrm>
          <a:off x="787400" y="13449300"/>
          <a:ext cx="4451724" cy="1450038"/>
        </a:xfrm>
        <a:prstGeom prst="wedgeRoundRectCallout">
          <a:avLst>
            <a:gd name="adj1" fmla="val -42475"/>
            <a:gd name="adj2" fmla="val -92992"/>
            <a:gd name="adj3" fmla="val 16667"/>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bg1"/>
              </a:solidFill>
              <a:latin typeface="BIZ UDPゴシック" panose="020B0400000000000000" pitchFamily="50" charset="-128"/>
              <a:ea typeface="BIZ UDPゴシック" panose="020B0400000000000000" pitchFamily="50" charset="-128"/>
            </a:rPr>
            <a:t>スポット利用の児童（利用しない月があったり、利用しても週あたりの利用頻度も一定でないなど、不定期に利用する児童）については、</a:t>
          </a:r>
          <a:r>
            <a:rPr kumimoji="1" lang="ja-JP" altLang="en-US" sz="1600" u="sng">
              <a:solidFill>
                <a:schemeClr val="bg1"/>
              </a:solidFill>
              <a:latin typeface="BIZ UDPゴシック" panose="020B0400000000000000" pitchFamily="50" charset="-128"/>
              <a:ea typeface="BIZ UDPゴシック" panose="020B0400000000000000" pitchFamily="50" charset="-128"/>
            </a:rPr>
            <a:t>児童名簿に記載しないでください。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254812</xdr:colOff>
      <xdr:row>12</xdr:row>
      <xdr:rowOff>158829</xdr:rowOff>
    </xdr:from>
    <xdr:to>
      <xdr:col>9</xdr:col>
      <xdr:colOff>493059</xdr:colOff>
      <xdr:row>23</xdr:row>
      <xdr:rowOff>224117</xdr:rowOff>
    </xdr:to>
    <xdr:sp macro="" textlink="">
      <xdr:nvSpPr>
        <xdr:cNvPr id="2" name="吹き出し: 角を丸めた四角形 1">
          <a:extLst>
            <a:ext uri="{FF2B5EF4-FFF2-40B4-BE49-F238E27FC236}">
              <a16:creationId xmlns:a16="http://schemas.microsoft.com/office/drawing/2014/main" id="{00000000-0008-0000-0200-000002000000}"/>
            </a:ext>
          </a:extLst>
        </xdr:cNvPr>
        <xdr:cNvSpPr/>
      </xdr:nvSpPr>
      <xdr:spPr>
        <a:xfrm>
          <a:off x="635812" y="2265535"/>
          <a:ext cx="4518894" cy="2037523"/>
        </a:xfrm>
        <a:prstGeom prst="wedgeRoundRectCallout">
          <a:avLst>
            <a:gd name="adj1" fmla="val -39702"/>
            <a:gd name="adj2" fmla="val -5979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latin typeface="BIZ UDPゴシック" panose="020B0400000000000000" pitchFamily="50" charset="-128"/>
              <a:ea typeface="BIZ UDPゴシック" panose="020B0400000000000000" pitchFamily="50" charset="-128"/>
            </a:rPr>
            <a:t>手書きの場合</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600">
              <a:latin typeface="BIZ UDPゴシック" panose="020B0400000000000000" pitchFamily="50" charset="-128"/>
              <a:ea typeface="BIZ UDPゴシック" panose="020B0400000000000000" pitchFamily="50" charset="-128"/>
            </a:rPr>
            <a:t>①クラブ児童数</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600">
              <a:latin typeface="BIZ UDPゴシック" panose="020B0400000000000000" pitchFamily="50" charset="-128"/>
              <a:ea typeface="BIZ UDPゴシック" panose="020B0400000000000000" pitchFamily="50" charset="-128"/>
            </a:rPr>
            <a:t>週の利用頻度により分けて入力</a:t>
          </a:r>
          <a:r>
            <a:rPr kumimoji="1" lang="ja-JP" altLang="en-US" sz="1600">
              <a:solidFill>
                <a:schemeClr val="bg1"/>
              </a:solidFill>
              <a:latin typeface="BIZ UDPゴシック" panose="020B0400000000000000" pitchFamily="50" charset="-128"/>
              <a:ea typeface="BIZ UDPゴシック" panose="020B0400000000000000" pitchFamily="50" charset="-128"/>
            </a:rPr>
            <a:t>してください。</a:t>
          </a:r>
          <a:endParaRPr kumimoji="1" lang="en-US" altLang="ja-JP" sz="160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600">
              <a:solidFill>
                <a:schemeClr val="bg1"/>
              </a:solidFill>
              <a:latin typeface="BIZ UDPゴシック" panose="020B0400000000000000" pitchFamily="50" charset="-128"/>
              <a:ea typeface="BIZ UDPゴシック" panose="020B0400000000000000" pitchFamily="50" charset="-128"/>
            </a:rPr>
            <a:t>・週５利用→１人　　　　・週４利用→</a:t>
          </a:r>
          <a:r>
            <a:rPr kumimoji="1" lang="en-US" altLang="ja-JP" sz="1600">
              <a:solidFill>
                <a:schemeClr val="bg1"/>
              </a:solidFill>
              <a:latin typeface="BIZ UDPゴシック" panose="020B0400000000000000" pitchFamily="50" charset="-128"/>
              <a:ea typeface="BIZ UDPゴシック" panose="020B0400000000000000" pitchFamily="50" charset="-128"/>
            </a:rPr>
            <a:t>0.8</a:t>
          </a:r>
          <a:r>
            <a:rPr kumimoji="1" lang="ja-JP" altLang="en-US" sz="1600">
              <a:solidFill>
                <a:schemeClr val="bg1"/>
              </a:solidFill>
              <a:latin typeface="BIZ UDPゴシック" panose="020B0400000000000000" pitchFamily="50" charset="-128"/>
              <a:ea typeface="BIZ UDPゴシック" panose="020B0400000000000000" pitchFamily="50" charset="-128"/>
            </a:rPr>
            <a:t>人</a:t>
          </a:r>
        </a:p>
        <a:p>
          <a:pPr algn="l"/>
          <a:r>
            <a:rPr kumimoji="1" lang="ja-JP" altLang="en-US" sz="1600">
              <a:solidFill>
                <a:schemeClr val="bg1"/>
              </a:solidFill>
              <a:latin typeface="BIZ UDPゴシック" panose="020B0400000000000000" pitchFamily="50" charset="-128"/>
              <a:ea typeface="BIZ UDPゴシック" panose="020B0400000000000000" pitchFamily="50" charset="-128"/>
            </a:rPr>
            <a:t>・週３利用→</a:t>
          </a:r>
          <a:r>
            <a:rPr kumimoji="1" lang="en-US" altLang="ja-JP" sz="1600">
              <a:solidFill>
                <a:schemeClr val="bg1"/>
              </a:solidFill>
              <a:latin typeface="BIZ UDPゴシック" panose="020B0400000000000000" pitchFamily="50" charset="-128"/>
              <a:ea typeface="BIZ UDPゴシック" panose="020B0400000000000000" pitchFamily="50" charset="-128"/>
            </a:rPr>
            <a:t>0.6</a:t>
          </a:r>
          <a:r>
            <a:rPr kumimoji="1" lang="ja-JP" altLang="en-US" sz="1600">
              <a:solidFill>
                <a:schemeClr val="bg1"/>
              </a:solidFill>
              <a:latin typeface="BIZ UDPゴシック" panose="020B0400000000000000" pitchFamily="50" charset="-128"/>
              <a:ea typeface="BIZ UDPゴシック" panose="020B0400000000000000" pitchFamily="50" charset="-128"/>
            </a:rPr>
            <a:t>人　　・週２利用→</a:t>
          </a:r>
          <a:r>
            <a:rPr kumimoji="1" lang="en-US" altLang="ja-JP" sz="1600">
              <a:solidFill>
                <a:schemeClr val="bg1"/>
              </a:solidFill>
              <a:latin typeface="BIZ UDPゴシック" panose="020B0400000000000000" pitchFamily="50" charset="-128"/>
              <a:ea typeface="BIZ UDPゴシック" panose="020B0400000000000000" pitchFamily="50" charset="-128"/>
            </a:rPr>
            <a:t>0.4</a:t>
          </a:r>
          <a:r>
            <a:rPr kumimoji="1" lang="ja-JP" altLang="en-US" sz="1600">
              <a:solidFill>
                <a:schemeClr val="bg1"/>
              </a:solidFill>
              <a:latin typeface="BIZ UDPゴシック" panose="020B0400000000000000" pitchFamily="50" charset="-128"/>
              <a:ea typeface="BIZ UDPゴシック" panose="020B0400000000000000" pitchFamily="50" charset="-128"/>
            </a:rPr>
            <a:t>人</a:t>
          </a:r>
        </a:p>
        <a:p>
          <a:pPr algn="l"/>
          <a:r>
            <a:rPr kumimoji="1" lang="ja-JP" altLang="en-US" sz="1600">
              <a:solidFill>
                <a:schemeClr val="bg1"/>
              </a:solidFill>
              <a:latin typeface="BIZ UDPゴシック" panose="020B0400000000000000" pitchFamily="50" charset="-128"/>
              <a:ea typeface="BIZ UDPゴシック" panose="020B0400000000000000" pitchFamily="50" charset="-128"/>
            </a:rPr>
            <a:t>・週１利用→</a:t>
          </a:r>
          <a:r>
            <a:rPr kumimoji="1" lang="en-US" altLang="ja-JP" sz="1600">
              <a:solidFill>
                <a:schemeClr val="bg1"/>
              </a:solidFill>
              <a:latin typeface="BIZ UDPゴシック" panose="020B0400000000000000" pitchFamily="50" charset="-128"/>
              <a:ea typeface="BIZ UDPゴシック" panose="020B0400000000000000" pitchFamily="50" charset="-128"/>
            </a:rPr>
            <a:t>0.2</a:t>
          </a:r>
          <a:r>
            <a:rPr kumimoji="1" lang="ja-JP" altLang="en-US" sz="1600">
              <a:solidFill>
                <a:schemeClr val="bg1"/>
              </a:solidFill>
              <a:latin typeface="BIZ UDPゴシック" panose="020B0400000000000000" pitchFamily="50" charset="-128"/>
              <a:ea typeface="BIZ UDPゴシック" panose="020B0400000000000000" pitchFamily="50" charset="-128"/>
            </a:rPr>
            <a:t>人　　で計算してください。</a:t>
          </a:r>
        </a:p>
        <a:p>
          <a:pPr algn="l"/>
          <a:endParaRPr kumimoji="1" lang="en-US" altLang="ja-JP" sz="1600">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375541</xdr:colOff>
      <xdr:row>13</xdr:row>
      <xdr:rowOff>12668</xdr:rowOff>
    </xdr:from>
    <xdr:to>
      <xdr:col>16</xdr:col>
      <xdr:colOff>1790406</xdr:colOff>
      <xdr:row>20</xdr:row>
      <xdr:rowOff>45798</xdr:rowOff>
    </xdr:to>
    <xdr:sp macro="" textlink="">
      <xdr:nvSpPr>
        <xdr:cNvPr id="3" name="吹き出し: 角を丸めた四角形 2">
          <a:extLst>
            <a:ext uri="{FF2B5EF4-FFF2-40B4-BE49-F238E27FC236}">
              <a16:creationId xmlns:a16="http://schemas.microsoft.com/office/drawing/2014/main" id="{00000000-0008-0000-0200-000003000000}"/>
            </a:ext>
          </a:extLst>
        </xdr:cNvPr>
        <xdr:cNvSpPr/>
      </xdr:nvSpPr>
      <xdr:spPr>
        <a:xfrm>
          <a:off x="5552171" y="2348364"/>
          <a:ext cx="4520844" cy="1292086"/>
        </a:xfrm>
        <a:prstGeom prst="wedgeRoundRectCallout">
          <a:avLst>
            <a:gd name="adj1" fmla="val 42302"/>
            <a:gd name="adj2" fmla="val -11849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latin typeface="BIZ UDPゴシック" panose="020B0400000000000000" pitchFamily="50" charset="-128"/>
              <a:ea typeface="BIZ UDPゴシック" panose="020B0400000000000000" pitchFamily="50" charset="-128"/>
            </a:rPr>
            <a:t>様式１と比較し、合計が合っていない場合は</a:t>
          </a:r>
        </a:p>
        <a:p>
          <a:pPr algn="l"/>
          <a:r>
            <a:rPr kumimoji="1" lang="ja-JP" altLang="en-US" sz="1600">
              <a:latin typeface="BIZ UDPゴシック" panose="020B0400000000000000" pitchFamily="50" charset="-128"/>
              <a:ea typeface="BIZ UDPゴシック" panose="020B0400000000000000" pitchFamily="50" charset="-128"/>
            </a:rPr>
            <a:t>エラーが出ます。</a:t>
          </a:r>
        </a:p>
        <a:p>
          <a:pPr algn="l"/>
          <a:r>
            <a:rPr kumimoji="1" lang="ja-JP" altLang="en-US" sz="1600">
              <a:latin typeface="BIZ UDPゴシック" panose="020B0400000000000000" pitchFamily="50" charset="-128"/>
              <a:ea typeface="BIZ UDPゴシック" panose="020B0400000000000000" pitchFamily="50" charset="-128"/>
            </a:rPr>
            <a:t>「</a:t>
          </a:r>
          <a:r>
            <a:rPr kumimoji="1" lang="en-US" altLang="ja-JP" sz="1600">
              <a:latin typeface="BIZ UDPゴシック" panose="020B0400000000000000" pitchFamily="50" charset="-128"/>
              <a:ea typeface="BIZ UDPゴシック" panose="020B0400000000000000" pitchFamily="50" charset="-128"/>
            </a:rPr>
            <a:t>OK</a:t>
          </a:r>
          <a:r>
            <a:rPr kumimoji="1" lang="ja-JP" altLang="en-US" sz="1600">
              <a:latin typeface="BIZ UDPゴシック" panose="020B0400000000000000" pitchFamily="50" charset="-128"/>
              <a:ea typeface="BIZ UDPゴシック" panose="020B0400000000000000" pitchFamily="50" charset="-128"/>
            </a:rPr>
            <a:t>」のみになれば提出可能です。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257734</xdr:colOff>
      <xdr:row>13</xdr:row>
      <xdr:rowOff>212910</xdr:rowOff>
    </xdr:from>
    <xdr:to>
      <xdr:col>15</xdr:col>
      <xdr:colOff>327892</xdr:colOff>
      <xdr:row>16</xdr:row>
      <xdr:rowOff>201705</xdr:rowOff>
    </xdr:to>
    <xdr:sp macro="" textlink="">
      <xdr:nvSpPr>
        <xdr:cNvPr id="2" name="吹き出し: 角を丸めた四角形 1">
          <a:extLst>
            <a:ext uri="{FF2B5EF4-FFF2-40B4-BE49-F238E27FC236}">
              <a16:creationId xmlns:a16="http://schemas.microsoft.com/office/drawing/2014/main" id="{00000000-0008-0000-0300-000002000000}"/>
            </a:ext>
          </a:extLst>
        </xdr:cNvPr>
        <xdr:cNvSpPr/>
      </xdr:nvSpPr>
      <xdr:spPr>
        <a:xfrm>
          <a:off x="1557616" y="4616822"/>
          <a:ext cx="4518894" cy="1333501"/>
        </a:xfrm>
        <a:prstGeom prst="wedgeRoundRectCallout">
          <a:avLst>
            <a:gd name="adj1" fmla="val -36726"/>
            <a:gd name="adj2" fmla="val -6987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latin typeface="BIZ UDPゴシック" panose="020B0400000000000000" pitchFamily="50" charset="-128"/>
              <a:ea typeface="BIZ UDPゴシック" panose="020B0400000000000000" pitchFamily="50" charset="-128"/>
            </a:rPr>
            <a:t>年度途中で支援員になった場合は、</a:t>
          </a:r>
        </a:p>
        <a:p>
          <a:pPr algn="l"/>
          <a:r>
            <a:rPr kumimoji="1" lang="ja-JP" altLang="en-US" sz="1600">
              <a:latin typeface="BIZ UDPゴシック" panose="020B0400000000000000" pitchFamily="50" charset="-128"/>
              <a:ea typeface="BIZ UDPゴシック" panose="020B0400000000000000" pitchFamily="50" charset="-128"/>
            </a:rPr>
            <a:t>二段に分けて記入してください。</a:t>
          </a:r>
        </a:p>
        <a:p>
          <a:pPr algn="l"/>
          <a:r>
            <a:rPr kumimoji="1" lang="ja-JP" altLang="en-US" sz="1600">
              <a:solidFill>
                <a:schemeClr val="bg1"/>
              </a:solidFill>
              <a:latin typeface="BIZ UDPゴシック" panose="020B0400000000000000" pitchFamily="50" charset="-128"/>
              <a:ea typeface="BIZ UDPゴシック" panose="020B0400000000000000" pitchFamily="50" charset="-128"/>
            </a:rPr>
            <a:t>キャリアアップの支給額は支援員</a:t>
          </a:r>
          <a:r>
            <a:rPr kumimoji="1" lang="ja-JP" altLang="en-US" sz="1600">
              <a:latin typeface="BIZ UDPゴシック" panose="020B0400000000000000" pitchFamily="50" charset="-128"/>
              <a:ea typeface="BIZ UDPゴシック" panose="020B0400000000000000" pitchFamily="50" charset="-128"/>
            </a:rPr>
            <a:t>の行に入力してください。</a:t>
          </a:r>
          <a:endParaRPr kumimoji="1" lang="en-US" altLang="ja-JP" sz="1600">
            <a:latin typeface="BIZ UDPゴシック" panose="020B0400000000000000" pitchFamily="50" charset="-128"/>
            <a:ea typeface="BIZ UDPゴシック" panose="020B0400000000000000" pitchFamily="50" charset="-128"/>
          </a:endParaRPr>
        </a:p>
      </xdr:txBody>
    </xdr:sp>
    <xdr:clientData/>
  </xdr:twoCellAnchor>
  <xdr:twoCellAnchor>
    <xdr:from>
      <xdr:col>22</xdr:col>
      <xdr:colOff>736600</xdr:colOff>
      <xdr:row>22</xdr:row>
      <xdr:rowOff>398929</xdr:rowOff>
    </xdr:from>
    <xdr:to>
      <xdr:col>28</xdr:col>
      <xdr:colOff>152400</xdr:colOff>
      <xdr:row>27</xdr:row>
      <xdr:rowOff>1</xdr:rowOff>
    </xdr:to>
    <xdr:sp macro="" textlink="">
      <xdr:nvSpPr>
        <xdr:cNvPr id="5" name="吹き出し: 角を丸めた四角形 4">
          <a:extLst>
            <a:ext uri="{FF2B5EF4-FFF2-40B4-BE49-F238E27FC236}">
              <a16:creationId xmlns:a16="http://schemas.microsoft.com/office/drawing/2014/main" id="{00000000-0008-0000-0300-000005000000}"/>
            </a:ext>
          </a:extLst>
        </xdr:cNvPr>
        <xdr:cNvSpPr/>
      </xdr:nvSpPr>
      <xdr:spPr>
        <a:xfrm>
          <a:off x="13830300" y="8806329"/>
          <a:ext cx="6350000" cy="1823572"/>
        </a:xfrm>
        <a:prstGeom prst="wedgeRoundRectCallout">
          <a:avLst>
            <a:gd name="adj1" fmla="val -35266"/>
            <a:gd name="adj2" fmla="val 7783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latin typeface="BIZ UDPゴシック" panose="020B0400000000000000" pitchFamily="50" charset="-128"/>
              <a:ea typeface="BIZ UDPゴシック" panose="020B0400000000000000" pitchFamily="50" charset="-128"/>
            </a:rPr>
            <a:t>処遇改善により法定福利費が増となる場合は、</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600">
              <a:latin typeface="BIZ UDPゴシック" panose="020B0400000000000000" pitchFamily="50" charset="-128"/>
              <a:ea typeface="BIZ UDPゴシック" panose="020B0400000000000000" pitchFamily="50" charset="-128"/>
            </a:rPr>
            <a:t>補助基準額から支出可能です。</a:t>
          </a:r>
          <a:endParaRPr kumimoji="1" lang="en-US" altLang="ja-JP" sz="1600">
            <a:latin typeface="BIZ UDPゴシック" panose="020B0400000000000000" pitchFamily="50" charset="-128"/>
            <a:ea typeface="BIZ UDPゴシック" panose="020B0400000000000000" pitchFamily="50" charset="-128"/>
          </a:endParaRPr>
        </a:p>
        <a:p>
          <a:pPr algn="l"/>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600">
              <a:latin typeface="BIZ UDPゴシック" panose="020B0400000000000000" pitchFamily="50" charset="-128"/>
              <a:ea typeface="BIZ UDPゴシック" panose="020B0400000000000000" pitchFamily="50" charset="-128"/>
            </a:rPr>
            <a:t>＊常勤職員の処遇改善で充てられる中退共については、「法定福利費」に含めてください。</a:t>
          </a:r>
        </a:p>
        <a:p>
          <a:pPr algn="l"/>
          <a:endParaRPr kumimoji="1" lang="en-US" altLang="ja-JP" sz="1600">
            <a:latin typeface="BIZ UDPゴシック" panose="020B0400000000000000" pitchFamily="50" charset="-128"/>
            <a:ea typeface="BIZ UDPゴシック" panose="020B0400000000000000" pitchFamily="50" charset="-128"/>
          </a:endParaRPr>
        </a:p>
        <a:p>
          <a:pPr algn="l"/>
          <a:endParaRPr kumimoji="1" lang="en-US" altLang="ja-JP" sz="1600">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414616</xdr:colOff>
      <xdr:row>28</xdr:row>
      <xdr:rowOff>201704</xdr:rowOff>
    </xdr:from>
    <xdr:to>
      <xdr:col>20</xdr:col>
      <xdr:colOff>1074163</xdr:colOff>
      <xdr:row>32</xdr:row>
      <xdr:rowOff>156883</xdr:rowOff>
    </xdr:to>
    <xdr:sp macro="" textlink="">
      <xdr:nvSpPr>
        <xdr:cNvPr id="6" name="吹き出し: 角を丸めた四角形 5">
          <a:extLst>
            <a:ext uri="{FF2B5EF4-FFF2-40B4-BE49-F238E27FC236}">
              <a16:creationId xmlns:a16="http://schemas.microsoft.com/office/drawing/2014/main" id="{00000000-0008-0000-0300-000006000000}"/>
            </a:ext>
          </a:extLst>
        </xdr:cNvPr>
        <xdr:cNvSpPr/>
      </xdr:nvSpPr>
      <xdr:spPr>
        <a:xfrm>
          <a:off x="3955675" y="11105028"/>
          <a:ext cx="8907076" cy="1591237"/>
        </a:xfrm>
        <a:prstGeom prst="wedgeRoundRectCallout">
          <a:avLst>
            <a:gd name="adj1" fmla="val 52220"/>
            <a:gd name="adj2" fmla="val 8458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bg1"/>
              </a:solidFill>
              <a:latin typeface="BIZ UDPゴシック" panose="020B0400000000000000" pitchFamily="50" charset="-128"/>
              <a:ea typeface="BIZ UDPゴシック" panose="020B0400000000000000" pitchFamily="50" charset="-128"/>
            </a:rPr>
            <a:t>支給した額の総合計が補助上限額を超えると、チェック欄に「上限超」と表示されます。</a:t>
          </a:r>
        </a:p>
        <a:p>
          <a:pPr algn="l"/>
          <a:r>
            <a:rPr kumimoji="1" lang="ja-JP" altLang="en-US" sz="1600">
              <a:solidFill>
                <a:schemeClr val="bg1"/>
              </a:solidFill>
              <a:latin typeface="BIZ UDPゴシック" panose="020B0400000000000000" pitchFamily="50" charset="-128"/>
              <a:ea typeface="BIZ UDPゴシック" panose="020B0400000000000000" pitchFamily="50" charset="-128"/>
            </a:rPr>
            <a:t>処遇改善の種類で（</a:t>
          </a:r>
          <a:r>
            <a:rPr kumimoji="1" lang="en-US" altLang="ja-JP" sz="1600">
              <a:solidFill>
                <a:schemeClr val="bg1"/>
              </a:solidFill>
              <a:latin typeface="BIZ UDPゴシック" panose="020B0400000000000000" pitchFamily="50" charset="-128"/>
              <a:ea typeface="BIZ UDPゴシック" panose="020B0400000000000000" pitchFamily="50" charset="-128"/>
            </a:rPr>
            <a:t>B</a:t>
          </a:r>
          <a:r>
            <a:rPr kumimoji="1" lang="ja-JP" altLang="en-US" sz="1600">
              <a:solidFill>
                <a:schemeClr val="bg1"/>
              </a:solidFill>
              <a:latin typeface="BIZ UDPゴシック" panose="020B0400000000000000" pitchFamily="50" charset="-128"/>
              <a:ea typeface="BIZ UDPゴシック" panose="020B0400000000000000" pitchFamily="50" charset="-128"/>
            </a:rPr>
            <a:t>）を選択している場合は、別シートの「●常勤処遇改善の交付額」を入力した後にチェック欄をご確認ください。チェック欄に「処遇改善の上限額がマイナスです」と表示されている場合は、処遇改善の種類を（</a:t>
          </a:r>
          <a:r>
            <a:rPr kumimoji="1" lang="en-US" altLang="ja-JP" sz="1600">
              <a:solidFill>
                <a:schemeClr val="bg1"/>
              </a:solidFill>
              <a:latin typeface="BIZ UDPゴシック" panose="020B0400000000000000" pitchFamily="50" charset="-128"/>
              <a:ea typeface="BIZ UDPゴシック" panose="020B0400000000000000" pitchFamily="50" charset="-128"/>
            </a:rPr>
            <a:t>A</a:t>
          </a:r>
          <a:r>
            <a:rPr kumimoji="1" lang="ja-JP" altLang="en-US" sz="1600">
              <a:solidFill>
                <a:schemeClr val="bg1"/>
              </a:solidFill>
              <a:latin typeface="BIZ UDPゴシック" panose="020B0400000000000000" pitchFamily="50" charset="-128"/>
              <a:ea typeface="BIZ UDPゴシック" panose="020B0400000000000000" pitchFamily="50" charset="-128"/>
            </a:rPr>
            <a:t>）に変更することをご検討ください。</a:t>
          </a:r>
          <a:endParaRPr kumimoji="1" lang="en-US" altLang="ja-JP" sz="1600">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21</xdr:col>
      <xdr:colOff>596900</xdr:colOff>
      <xdr:row>2</xdr:row>
      <xdr:rowOff>12701</xdr:rowOff>
    </xdr:from>
    <xdr:to>
      <xdr:col>23</xdr:col>
      <xdr:colOff>908358</xdr:colOff>
      <xdr:row>4</xdr:row>
      <xdr:rowOff>215901</xdr:rowOff>
    </xdr:to>
    <xdr:sp macro="" textlink="">
      <xdr:nvSpPr>
        <xdr:cNvPr id="3" name="吹き出し: 角を丸めた四角形 2">
          <a:extLst>
            <a:ext uri="{FF2B5EF4-FFF2-40B4-BE49-F238E27FC236}">
              <a16:creationId xmlns:a16="http://schemas.microsoft.com/office/drawing/2014/main" id="{7B8C9B41-3B37-40FF-AF81-0B1EF9484880}"/>
            </a:ext>
          </a:extLst>
        </xdr:cNvPr>
        <xdr:cNvSpPr/>
      </xdr:nvSpPr>
      <xdr:spPr>
        <a:xfrm>
          <a:off x="13690600" y="495301"/>
          <a:ext cx="2699058" cy="685800"/>
        </a:xfrm>
        <a:prstGeom prst="wedgeRoundRectCallout">
          <a:avLst>
            <a:gd name="adj1" fmla="val 67324"/>
            <a:gd name="adj2" fmla="val -57043"/>
            <a:gd name="adj3" fmla="val 16667"/>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latin typeface="BIZ UDPゴシック" panose="020B0400000000000000" pitchFamily="50" charset="-128"/>
              <a:ea typeface="BIZ UDPゴシック" panose="020B0400000000000000" pitchFamily="50" charset="-128"/>
            </a:rPr>
            <a:t>入力漏れが多い箇所です。</a:t>
          </a:r>
          <a:endParaRPr kumimoji="1" lang="en-US" altLang="ja-JP" sz="1600">
            <a:latin typeface="BIZ UDPゴシック" panose="020B0400000000000000" pitchFamily="50" charset="-128"/>
            <a:ea typeface="BIZ UDPゴシック" panose="020B0400000000000000" pitchFamily="50" charset="-128"/>
          </a:endParaRPr>
        </a:p>
      </xdr:txBody>
    </xdr:sp>
    <xdr:clientData/>
  </xdr:twoCellAnchor>
  <xdr:twoCellAnchor>
    <xdr:from>
      <xdr:col>15</xdr:col>
      <xdr:colOff>342900</xdr:colOff>
      <xdr:row>7</xdr:row>
      <xdr:rowOff>139700</xdr:rowOff>
    </xdr:from>
    <xdr:to>
      <xdr:col>20</xdr:col>
      <xdr:colOff>336858</xdr:colOff>
      <xdr:row>12</xdr:row>
      <xdr:rowOff>228599</xdr:rowOff>
    </xdr:to>
    <xdr:sp macro="" textlink="">
      <xdr:nvSpPr>
        <xdr:cNvPr id="4" name="吹き出し: 角を丸めた四角形 3">
          <a:extLst>
            <a:ext uri="{FF2B5EF4-FFF2-40B4-BE49-F238E27FC236}">
              <a16:creationId xmlns:a16="http://schemas.microsoft.com/office/drawing/2014/main" id="{B0AE9A86-8B10-4D5E-A641-8F815BC0DE04}"/>
            </a:ext>
          </a:extLst>
        </xdr:cNvPr>
        <xdr:cNvSpPr/>
      </xdr:nvSpPr>
      <xdr:spPr>
        <a:xfrm>
          <a:off x="6172200" y="1879600"/>
          <a:ext cx="5200958" cy="2311399"/>
        </a:xfrm>
        <a:prstGeom prst="wedgeRoundRectCallout">
          <a:avLst>
            <a:gd name="adj1" fmla="val -59185"/>
            <a:gd name="adj2" fmla="val -43958"/>
            <a:gd name="adj3" fmla="val 16667"/>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latin typeface="BIZ UDPゴシック" panose="020B0400000000000000" pitchFamily="50" charset="-128"/>
              <a:ea typeface="BIZ UDPゴシック" panose="020B0400000000000000" pitchFamily="50" charset="-128"/>
            </a:rPr>
            <a:t>「常勤職員」の定義は以下のとおりです。</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600">
              <a:latin typeface="BIZ UDPゴシック" panose="020B0400000000000000" pitchFamily="50" charset="-128"/>
              <a:ea typeface="BIZ UDPゴシック" panose="020B0400000000000000" pitchFamily="50" charset="-128"/>
            </a:rPr>
            <a:t>事業者と雇用契約を締結して、事業所ごとに定める運営規程に記載されている「開所している日及び時間」に従事している職員。</a:t>
          </a:r>
          <a:endParaRPr kumimoji="1" lang="en-US" altLang="ja-JP" sz="1600">
            <a:latin typeface="BIZ UDPゴシック" panose="020B0400000000000000" pitchFamily="50" charset="-128"/>
            <a:ea typeface="BIZ UDPゴシック" panose="020B0400000000000000" pitchFamily="50" charset="-128"/>
          </a:endParaRPr>
        </a:p>
        <a:p>
          <a:pPr algn="l"/>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600">
              <a:latin typeface="BIZ UDPゴシック" panose="020B0400000000000000" pitchFamily="50" charset="-128"/>
              <a:ea typeface="BIZ UDPゴシック" panose="020B0400000000000000" pitchFamily="50" charset="-128"/>
            </a:rPr>
            <a:t>※</a:t>
          </a:r>
          <a:r>
            <a:rPr kumimoji="1" lang="ja-JP" altLang="en-US" sz="1600">
              <a:latin typeface="BIZ UDPゴシック" panose="020B0400000000000000" pitchFamily="50" charset="-128"/>
              <a:ea typeface="BIZ UDPゴシック" panose="020B0400000000000000" pitchFamily="50" charset="-128"/>
            </a:rPr>
            <a:t>各事業所で定める雇用形態ではないので、ご確認ください。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397565</xdr:colOff>
      <xdr:row>25</xdr:row>
      <xdr:rowOff>91109</xdr:rowOff>
    </xdr:from>
    <xdr:to>
      <xdr:col>16</xdr:col>
      <xdr:colOff>356152</xdr:colOff>
      <xdr:row>30</xdr:row>
      <xdr:rowOff>149087</xdr:rowOff>
    </xdr:to>
    <xdr:sp macro="" textlink="">
      <xdr:nvSpPr>
        <xdr:cNvPr id="3" name="吹き出し: 角を丸めた四角形 2">
          <a:extLst>
            <a:ext uri="{FF2B5EF4-FFF2-40B4-BE49-F238E27FC236}">
              <a16:creationId xmlns:a16="http://schemas.microsoft.com/office/drawing/2014/main" id="{00000000-0008-0000-0400-000003000000}"/>
            </a:ext>
          </a:extLst>
        </xdr:cNvPr>
        <xdr:cNvSpPr/>
      </xdr:nvSpPr>
      <xdr:spPr>
        <a:xfrm>
          <a:off x="2998304" y="5789544"/>
          <a:ext cx="7835348" cy="969065"/>
        </a:xfrm>
        <a:prstGeom prst="wedgeRoundRectCallout">
          <a:avLst>
            <a:gd name="adj1" fmla="val 48056"/>
            <a:gd name="adj2" fmla="val 33512"/>
            <a:gd name="adj3" fmla="val 16667"/>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latin typeface="BIZ UDPゴシック" panose="020B0400000000000000" pitchFamily="50" charset="-128"/>
              <a:ea typeface="BIZ UDPゴシック" panose="020B0400000000000000" pitchFamily="50" charset="-128"/>
            </a:rPr>
            <a:t>事前に送付した開所カレンダーからコピーして作成する場合は、「値」を貼り付けしてください。</a:t>
          </a:r>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solidFill>
                <a:schemeClr val="bg1"/>
              </a:solidFill>
              <a:latin typeface="BIZ UDPゴシック" panose="020B0400000000000000" pitchFamily="50" charset="-128"/>
              <a:ea typeface="BIZ UDPゴシック" panose="020B0400000000000000" pitchFamily="50" charset="-128"/>
            </a:rPr>
            <a:t>開所日の区分・クリーム</a:t>
          </a:r>
          <a:r>
            <a:rPr kumimoji="1" lang="ja-JP" altLang="en-US" sz="1400">
              <a:latin typeface="BIZ UDPゴシック" panose="020B0400000000000000" pitchFamily="50" charset="-128"/>
              <a:ea typeface="BIZ UDPゴシック" panose="020B0400000000000000" pitchFamily="50" charset="-128"/>
            </a:rPr>
            <a:t>・青色のセルのみ貼り付けができるようになっています。</a:t>
          </a:r>
          <a:endParaRPr kumimoji="1" lang="en-US" altLang="ja-JP" sz="1400">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448235</xdr:colOff>
      <xdr:row>372</xdr:row>
      <xdr:rowOff>90133</xdr:rowOff>
    </xdr:from>
    <xdr:to>
      <xdr:col>15</xdr:col>
      <xdr:colOff>336175</xdr:colOff>
      <xdr:row>374</xdr:row>
      <xdr:rowOff>179294</xdr:rowOff>
    </xdr:to>
    <xdr:sp macro="" textlink="">
      <xdr:nvSpPr>
        <xdr:cNvPr id="4" name="吹き出し: 角を丸めた四角形 3">
          <a:extLst>
            <a:ext uri="{FF2B5EF4-FFF2-40B4-BE49-F238E27FC236}">
              <a16:creationId xmlns:a16="http://schemas.microsoft.com/office/drawing/2014/main" id="{00000000-0008-0000-0400-000004000000}"/>
            </a:ext>
          </a:extLst>
        </xdr:cNvPr>
        <xdr:cNvSpPr/>
      </xdr:nvSpPr>
      <xdr:spPr>
        <a:xfrm>
          <a:off x="3070411" y="68098633"/>
          <a:ext cx="5927911" cy="447749"/>
        </a:xfrm>
        <a:prstGeom prst="wedgeRoundRectCallout">
          <a:avLst>
            <a:gd name="adj1" fmla="val -39919"/>
            <a:gd name="adj2" fmla="val -11107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latin typeface="BIZ UDPゴシック" panose="020B0400000000000000" pitchFamily="50" charset="-128"/>
              <a:ea typeface="BIZ UDPゴシック" panose="020B0400000000000000" pitchFamily="50" charset="-128"/>
            </a:rPr>
            <a:t>エラーメッセージが出たら入力内容を確認してください。</a:t>
          </a:r>
          <a:endParaRPr kumimoji="1" lang="en-US" altLang="ja-JP" sz="1400">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118393</xdr:colOff>
      <xdr:row>357</xdr:row>
      <xdr:rowOff>105725</xdr:rowOff>
    </xdr:from>
    <xdr:to>
      <xdr:col>11</xdr:col>
      <xdr:colOff>829234</xdr:colOff>
      <xdr:row>360</xdr:row>
      <xdr:rowOff>114008</xdr:rowOff>
    </xdr:to>
    <xdr:sp macro="" textlink="">
      <xdr:nvSpPr>
        <xdr:cNvPr id="5" name="吹き出し: 角を丸めた四角形 4">
          <a:extLst>
            <a:ext uri="{FF2B5EF4-FFF2-40B4-BE49-F238E27FC236}">
              <a16:creationId xmlns:a16="http://schemas.microsoft.com/office/drawing/2014/main" id="{00000000-0008-0000-0400-000005000000}"/>
            </a:ext>
          </a:extLst>
        </xdr:cNvPr>
        <xdr:cNvSpPr/>
      </xdr:nvSpPr>
      <xdr:spPr>
        <a:xfrm>
          <a:off x="2740569" y="65379990"/>
          <a:ext cx="5518165" cy="546165"/>
        </a:xfrm>
        <a:prstGeom prst="wedgeRoundRectCallout">
          <a:avLst>
            <a:gd name="adj1" fmla="val -42864"/>
            <a:gd name="adj2" fmla="val -3304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chemeClr val="bg1"/>
              </a:solidFill>
              <a:latin typeface="BIZ UDPゴシック" panose="020B0400000000000000" pitchFamily="50" charset="-128"/>
              <a:ea typeface="BIZ UDPゴシック" panose="020B0400000000000000" pitchFamily="50" charset="-128"/>
            </a:rPr>
            <a:t>提出日以降の日にち分は、見込みで入力してください。</a:t>
          </a:r>
          <a:endParaRPr kumimoji="1" lang="en-US" altLang="ja-JP" sz="1400">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480391</xdr:colOff>
      <xdr:row>11</xdr:row>
      <xdr:rowOff>165653</xdr:rowOff>
    </xdr:from>
    <xdr:to>
      <xdr:col>29</xdr:col>
      <xdr:colOff>269137</xdr:colOff>
      <xdr:row>21</xdr:row>
      <xdr:rowOff>132522</xdr:rowOff>
    </xdr:to>
    <xdr:sp macro="" textlink="">
      <xdr:nvSpPr>
        <xdr:cNvPr id="7" name="吹き出し: 角を丸めた四角形 6">
          <a:extLst>
            <a:ext uri="{FF2B5EF4-FFF2-40B4-BE49-F238E27FC236}">
              <a16:creationId xmlns:a16="http://schemas.microsoft.com/office/drawing/2014/main" id="{00000000-0008-0000-0400-000007000000}"/>
            </a:ext>
          </a:extLst>
        </xdr:cNvPr>
        <xdr:cNvSpPr/>
      </xdr:nvSpPr>
      <xdr:spPr>
        <a:xfrm>
          <a:off x="12059478" y="3313044"/>
          <a:ext cx="6340289" cy="1789043"/>
        </a:xfrm>
        <a:prstGeom prst="wedgeRoundRectCallout">
          <a:avLst>
            <a:gd name="adj1" fmla="val 57910"/>
            <a:gd name="adj2" fmla="val -7111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bg1"/>
              </a:solidFill>
              <a:latin typeface="BIZ UDPゴシック" panose="020B0400000000000000" pitchFamily="50" charset="-128"/>
              <a:ea typeface="BIZ UDPゴシック" panose="020B0400000000000000" pitchFamily="50" charset="-128"/>
            </a:rPr>
            <a:t>配置基準を満たしているかを確認します。</a:t>
          </a:r>
          <a:endParaRPr kumimoji="1" lang="en-US" altLang="ja-JP" sz="160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600">
              <a:solidFill>
                <a:schemeClr val="bg1"/>
              </a:solidFill>
              <a:latin typeface="BIZ UDPゴシック" panose="020B0400000000000000" pitchFamily="50" charset="-128"/>
              <a:ea typeface="BIZ UDPゴシック" panose="020B0400000000000000" pitchFamily="50" charset="-128"/>
            </a:rPr>
            <a:t>勤務している職員が５名以上いる場合は、６人目以降は入力を省略してかまいません。</a:t>
          </a:r>
          <a:endParaRPr kumimoji="1" lang="en-US" altLang="ja-JP" sz="160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600">
              <a:solidFill>
                <a:schemeClr val="bg1"/>
              </a:solidFill>
              <a:latin typeface="BIZ UDPゴシック" panose="020B0400000000000000" pitchFamily="50" charset="-128"/>
              <a:ea typeface="BIZ UDPゴシック" panose="020B0400000000000000" pitchFamily="50" charset="-128"/>
            </a:rPr>
            <a:t>主に勤務していた職員や、加配対象の職員を優先して記載してください。</a:t>
          </a:r>
          <a:endParaRPr kumimoji="1" lang="en-US" altLang="ja-JP" sz="1600">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472987</xdr:colOff>
      <xdr:row>12</xdr:row>
      <xdr:rowOff>5263</xdr:rowOff>
    </xdr:from>
    <xdr:to>
      <xdr:col>11</xdr:col>
      <xdr:colOff>861392</xdr:colOff>
      <xdr:row>23</xdr:row>
      <xdr:rowOff>68036</xdr:rowOff>
    </xdr:to>
    <xdr:sp macro="" textlink="">
      <xdr:nvSpPr>
        <xdr:cNvPr id="8" name="吹き出し: 角を丸めた四角形 7">
          <a:extLst>
            <a:ext uri="{FF2B5EF4-FFF2-40B4-BE49-F238E27FC236}">
              <a16:creationId xmlns:a16="http://schemas.microsoft.com/office/drawing/2014/main" id="{00000000-0008-0000-0400-000008000000}"/>
            </a:ext>
          </a:extLst>
        </xdr:cNvPr>
        <xdr:cNvSpPr/>
      </xdr:nvSpPr>
      <xdr:spPr>
        <a:xfrm>
          <a:off x="3071951" y="3284584"/>
          <a:ext cx="5259762" cy="2008595"/>
        </a:xfrm>
        <a:prstGeom prst="wedgeRoundRectCallout">
          <a:avLst>
            <a:gd name="adj1" fmla="val -41763"/>
            <a:gd name="adj2" fmla="val -64215"/>
            <a:gd name="adj3" fmla="val 16667"/>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bg1"/>
              </a:solidFill>
              <a:latin typeface="BIZ UDPゴシック" panose="020B0400000000000000" pitchFamily="50" charset="-128"/>
              <a:ea typeface="BIZ UDPゴシック" panose="020B0400000000000000" pitchFamily="50" charset="-128"/>
            </a:rPr>
            <a:t>平日の開所時刻は、最初に児童が来所する時刻や小学校の授業終了に合わせてください。</a:t>
          </a:r>
          <a:endParaRPr kumimoji="1" lang="en-US" altLang="ja-JP" sz="160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600" b="0" u="none">
              <a:solidFill>
                <a:schemeClr val="bg1"/>
              </a:solidFill>
              <a:latin typeface="BIZ UDPゴシック" panose="020B0400000000000000" pitchFamily="50" charset="-128"/>
              <a:ea typeface="BIZ UDPゴシック" panose="020B0400000000000000" pitchFamily="50" charset="-128"/>
            </a:rPr>
            <a:t>もともと土・日・祝日だった日に学校の行事（運動会・土曜参観等）がある日は、「平日」を選んでください。平日扱いになるので、３時間以上開所すれば開所日として認められます。</a:t>
          </a:r>
          <a:endParaRPr kumimoji="1" lang="en-US" altLang="ja-JP" sz="1600" b="0" u="none">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21</xdr:col>
      <xdr:colOff>136071</xdr:colOff>
      <xdr:row>369</xdr:row>
      <xdr:rowOff>156884</xdr:rowOff>
    </xdr:from>
    <xdr:to>
      <xdr:col>31</xdr:col>
      <xdr:colOff>44395</xdr:colOff>
      <xdr:row>374</xdr:row>
      <xdr:rowOff>449037</xdr:rowOff>
    </xdr:to>
    <xdr:sp macro="" textlink="">
      <xdr:nvSpPr>
        <xdr:cNvPr id="11" name="吹き出し: 角を丸めた四角形 10">
          <a:extLst>
            <a:ext uri="{FF2B5EF4-FFF2-40B4-BE49-F238E27FC236}">
              <a16:creationId xmlns:a16="http://schemas.microsoft.com/office/drawing/2014/main" id="{00000000-0008-0000-0400-00000B000000}"/>
            </a:ext>
          </a:extLst>
        </xdr:cNvPr>
        <xdr:cNvSpPr/>
      </xdr:nvSpPr>
      <xdr:spPr>
        <a:xfrm>
          <a:off x="11756571" y="67906848"/>
          <a:ext cx="5881860" cy="1203832"/>
        </a:xfrm>
        <a:prstGeom prst="wedgeRoundRectCallout">
          <a:avLst>
            <a:gd name="adj1" fmla="val -58167"/>
            <a:gd name="adj2" fmla="val 66764"/>
            <a:gd name="adj3" fmla="val 16667"/>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latin typeface="BIZ UDPゴシック" panose="020B0400000000000000" pitchFamily="50" charset="-128"/>
              <a:ea typeface="BIZ UDPゴシック" panose="020B0400000000000000" pitchFamily="50" charset="-128"/>
            </a:rPr>
            <a:t>入力もれが多い箇所です。</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600">
              <a:latin typeface="BIZ UDPゴシック" panose="020B0400000000000000" pitchFamily="50" charset="-128"/>
              <a:ea typeface="BIZ UDPゴシック" panose="020B0400000000000000" pitchFamily="50" charset="-128"/>
            </a:rPr>
            <a:t>開所とみなす閉所をした場合は、日にちと理由を記入してください。</a:t>
          </a:r>
          <a:endParaRPr kumimoji="1" lang="en-US" altLang="ja-JP" sz="1600">
            <a:latin typeface="BIZ UDPゴシック" panose="020B0400000000000000" pitchFamily="50" charset="-128"/>
            <a:ea typeface="BIZ UDPゴシック" panose="020B0400000000000000" pitchFamily="50" charset="-128"/>
          </a:endParaRPr>
        </a:p>
      </xdr:txBody>
    </xdr:sp>
    <xdr:clientData/>
  </xdr:twoCellAnchor>
  <xdr:twoCellAnchor>
    <xdr:from>
      <xdr:col>32</xdr:col>
      <xdr:colOff>145677</xdr:colOff>
      <xdr:row>9</xdr:row>
      <xdr:rowOff>78441</xdr:rowOff>
    </xdr:from>
    <xdr:to>
      <xdr:col>36</xdr:col>
      <xdr:colOff>302559</xdr:colOff>
      <xdr:row>18</xdr:row>
      <xdr:rowOff>56029</xdr:rowOff>
    </xdr:to>
    <xdr:sp macro="" textlink="">
      <xdr:nvSpPr>
        <xdr:cNvPr id="2" name="吹き出し: 角を丸めた四角形 1">
          <a:extLst>
            <a:ext uri="{FF2B5EF4-FFF2-40B4-BE49-F238E27FC236}">
              <a16:creationId xmlns:a16="http://schemas.microsoft.com/office/drawing/2014/main" id="{035BC60C-AF9E-4D92-A3B1-9024ED0B5C20}"/>
            </a:ext>
          </a:extLst>
        </xdr:cNvPr>
        <xdr:cNvSpPr/>
      </xdr:nvSpPr>
      <xdr:spPr>
        <a:xfrm>
          <a:off x="18937942" y="2835088"/>
          <a:ext cx="3742764" cy="1591235"/>
        </a:xfrm>
        <a:prstGeom prst="wedgeRoundRectCallout">
          <a:avLst>
            <a:gd name="adj1" fmla="val 55291"/>
            <a:gd name="adj2" fmla="val -97533"/>
            <a:gd name="adj3" fmla="val 16667"/>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0" u="none">
              <a:solidFill>
                <a:schemeClr val="bg1"/>
              </a:solidFill>
              <a:latin typeface="BIZ UDPゴシック" panose="020B0400000000000000" pitchFamily="50" charset="-128"/>
              <a:ea typeface="BIZ UDPゴシック" panose="020B0400000000000000" pitchFamily="50" charset="-128"/>
            </a:rPr>
            <a:t>エラーがある場合は、入力に誤りがあります。</a:t>
          </a:r>
          <a:endParaRPr kumimoji="1" lang="en-US" altLang="ja-JP" sz="1600" b="0" u="none">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600" b="0" u="none">
              <a:solidFill>
                <a:schemeClr val="bg1"/>
              </a:solidFill>
              <a:latin typeface="BIZ UDPゴシック" panose="020B0400000000000000" pitchFamily="50" charset="-128"/>
              <a:ea typeface="BIZ UDPゴシック" panose="020B0400000000000000" pitchFamily="50" charset="-128"/>
            </a:rPr>
            <a:t>内容をご確認いただき、修正をお願いします。</a:t>
          </a:r>
          <a:endParaRPr kumimoji="1" lang="en-US" altLang="ja-JP" sz="1600" b="0" u="none">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481854</xdr:colOff>
      <xdr:row>35</xdr:row>
      <xdr:rowOff>61631</xdr:rowOff>
    </xdr:from>
    <xdr:to>
      <xdr:col>13</xdr:col>
      <xdr:colOff>201708</xdr:colOff>
      <xdr:row>43</xdr:row>
      <xdr:rowOff>61631</xdr:rowOff>
    </xdr:to>
    <xdr:sp macro="" textlink="">
      <xdr:nvSpPr>
        <xdr:cNvPr id="6" name="吹き出し: 角を丸めた四角形 5">
          <a:extLst>
            <a:ext uri="{FF2B5EF4-FFF2-40B4-BE49-F238E27FC236}">
              <a16:creationId xmlns:a16="http://schemas.microsoft.com/office/drawing/2014/main" id="{D01B8AAB-562A-4E9E-93CE-90A1DD3BEF1D}"/>
            </a:ext>
          </a:extLst>
        </xdr:cNvPr>
        <xdr:cNvSpPr/>
      </xdr:nvSpPr>
      <xdr:spPr>
        <a:xfrm>
          <a:off x="3720354" y="7491131"/>
          <a:ext cx="5793442" cy="1434353"/>
        </a:xfrm>
        <a:prstGeom prst="wedgeRoundRectCallout">
          <a:avLst>
            <a:gd name="adj1" fmla="val -48042"/>
            <a:gd name="adj2" fmla="val 7633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chemeClr val="bg1"/>
              </a:solidFill>
              <a:latin typeface="BIZ UDPゴシック" panose="020B0400000000000000" pitchFamily="50" charset="-128"/>
              <a:ea typeface="BIZ UDPゴシック" panose="020B0400000000000000" pitchFamily="50" charset="-128"/>
            </a:rPr>
            <a:t>開所とみなす閉所の場合は、開所・閉所時刻は運営規程で定めている時刻を入力してください。なお、利用児童数、職員欄は、入力しないでください。最下部の「開所とみなす閉所の日付及び理由」欄にも記入してください。</a:t>
          </a:r>
          <a:endParaRPr kumimoji="1" lang="en-US" altLang="ja-JP" sz="1400">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85725</xdr:colOff>
          <xdr:row>53</xdr:row>
          <xdr:rowOff>66675</xdr:rowOff>
        </xdr:from>
        <xdr:to>
          <xdr:col>9</xdr:col>
          <xdr:colOff>123825</xdr:colOff>
          <xdr:row>54</xdr:row>
          <xdr:rowOff>85725</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5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55</xdr:row>
          <xdr:rowOff>28575</xdr:rowOff>
        </xdr:from>
        <xdr:to>
          <xdr:col>9</xdr:col>
          <xdr:colOff>123825</xdr:colOff>
          <xdr:row>56</xdr:row>
          <xdr:rowOff>85725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5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55</xdr:row>
          <xdr:rowOff>66675</xdr:rowOff>
        </xdr:from>
        <xdr:to>
          <xdr:col>20</xdr:col>
          <xdr:colOff>152400</xdr:colOff>
          <xdr:row>56</xdr:row>
          <xdr:rowOff>123825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5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104775</xdr:colOff>
          <xdr:row>53</xdr:row>
          <xdr:rowOff>66675</xdr:rowOff>
        </xdr:from>
        <xdr:to>
          <xdr:col>20</xdr:col>
          <xdr:colOff>142875</xdr:colOff>
          <xdr:row>54</xdr:row>
          <xdr:rowOff>85725</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5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60</xdr:row>
          <xdr:rowOff>76200</xdr:rowOff>
        </xdr:from>
        <xdr:to>
          <xdr:col>3</xdr:col>
          <xdr:colOff>114300</xdr:colOff>
          <xdr:row>61</xdr:row>
          <xdr:rowOff>142875</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5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58</xdr:row>
          <xdr:rowOff>66675</xdr:rowOff>
        </xdr:from>
        <xdr:to>
          <xdr:col>3</xdr:col>
          <xdr:colOff>114300</xdr:colOff>
          <xdr:row>59</xdr:row>
          <xdr:rowOff>85725</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5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53</xdr:row>
          <xdr:rowOff>66675</xdr:rowOff>
        </xdr:from>
        <xdr:to>
          <xdr:col>9</xdr:col>
          <xdr:colOff>123825</xdr:colOff>
          <xdr:row>54</xdr:row>
          <xdr:rowOff>85725</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5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55</xdr:row>
          <xdr:rowOff>28575</xdr:rowOff>
        </xdr:from>
        <xdr:to>
          <xdr:col>9</xdr:col>
          <xdr:colOff>123825</xdr:colOff>
          <xdr:row>56</xdr:row>
          <xdr:rowOff>85725</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5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55</xdr:row>
          <xdr:rowOff>66675</xdr:rowOff>
        </xdr:from>
        <xdr:to>
          <xdr:col>20</xdr:col>
          <xdr:colOff>152400</xdr:colOff>
          <xdr:row>56</xdr:row>
          <xdr:rowOff>123825</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5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104775</xdr:colOff>
          <xdr:row>53</xdr:row>
          <xdr:rowOff>66675</xdr:rowOff>
        </xdr:from>
        <xdr:to>
          <xdr:col>20</xdr:col>
          <xdr:colOff>142875</xdr:colOff>
          <xdr:row>54</xdr:row>
          <xdr:rowOff>85725</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5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60</xdr:row>
          <xdr:rowOff>76200</xdr:rowOff>
        </xdr:from>
        <xdr:to>
          <xdr:col>3</xdr:col>
          <xdr:colOff>114300</xdr:colOff>
          <xdr:row>61</xdr:row>
          <xdr:rowOff>142875</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5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58</xdr:row>
          <xdr:rowOff>66675</xdr:rowOff>
        </xdr:from>
        <xdr:to>
          <xdr:col>3</xdr:col>
          <xdr:colOff>114300</xdr:colOff>
          <xdr:row>59</xdr:row>
          <xdr:rowOff>85725</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5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38100</xdr:colOff>
      <xdr:row>45</xdr:row>
      <xdr:rowOff>142875</xdr:rowOff>
    </xdr:from>
    <xdr:to>
      <xdr:col>21</xdr:col>
      <xdr:colOff>257175</xdr:colOff>
      <xdr:row>48</xdr:row>
      <xdr:rowOff>104775</xdr:rowOff>
    </xdr:to>
    <xdr:sp macro="" textlink="">
      <xdr:nvSpPr>
        <xdr:cNvPr id="14" name="楕円 13">
          <a:extLst>
            <a:ext uri="{FF2B5EF4-FFF2-40B4-BE49-F238E27FC236}">
              <a16:creationId xmlns:a16="http://schemas.microsoft.com/office/drawing/2014/main" id="{00000000-0008-0000-0500-00000E000000}"/>
            </a:ext>
          </a:extLst>
        </xdr:cNvPr>
        <xdr:cNvSpPr/>
      </xdr:nvSpPr>
      <xdr:spPr>
        <a:xfrm>
          <a:off x="5943600" y="8020050"/>
          <a:ext cx="514350" cy="476250"/>
        </a:xfrm>
        <a:prstGeom prst="ellipse">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印</a:t>
          </a:r>
        </a:p>
      </xdr:txBody>
    </xdr:sp>
    <xdr:clientData/>
  </xdr:twoCellAnchor>
  <xdr:twoCellAnchor>
    <xdr:from>
      <xdr:col>7</xdr:col>
      <xdr:colOff>219075</xdr:colOff>
      <xdr:row>34</xdr:row>
      <xdr:rowOff>28575</xdr:rowOff>
    </xdr:from>
    <xdr:to>
      <xdr:col>21</xdr:col>
      <xdr:colOff>180975</xdr:colOff>
      <xdr:row>43</xdr:row>
      <xdr:rowOff>119061</xdr:rowOff>
    </xdr:to>
    <xdr:sp macro="" textlink="">
      <xdr:nvSpPr>
        <xdr:cNvPr id="15" name="吹き出し: 角を丸めた四角形 14">
          <a:extLst>
            <a:ext uri="{FF2B5EF4-FFF2-40B4-BE49-F238E27FC236}">
              <a16:creationId xmlns:a16="http://schemas.microsoft.com/office/drawing/2014/main" id="{00000000-0008-0000-0500-00000F000000}"/>
            </a:ext>
          </a:extLst>
        </xdr:cNvPr>
        <xdr:cNvSpPr/>
      </xdr:nvSpPr>
      <xdr:spPr>
        <a:xfrm>
          <a:off x="2286000" y="6019800"/>
          <a:ext cx="4095750" cy="1633536"/>
        </a:xfrm>
        <a:prstGeom prst="wedgeRoundRectCallout">
          <a:avLst>
            <a:gd name="adj1" fmla="val 41911"/>
            <a:gd name="adj2" fmla="val 75507"/>
            <a:gd name="adj3" fmla="val 16667"/>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t>口座が、法人・クラブ名義でない場合は、ここに押印が必須です。</a:t>
          </a:r>
          <a:endParaRPr kumimoji="1" lang="en-US" altLang="ja-JP" sz="1600" b="1"/>
        </a:p>
        <a:p>
          <a:pPr algn="l"/>
          <a:r>
            <a:rPr kumimoji="1" lang="ja-JP" altLang="en-US" sz="1600" b="1">
              <a:solidFill>
                <a:schemeClr val="bg1"/>
              </a:solidFill>
            </a:rPr>
            <a:t>様式５のみ郵送</a:t>
          </a:r>
          <a:r>
            <a:rPr kumimoji="1" lang="ja-JP" altLang="en-US" sz="1600" b="1"/>
            <a:t>で提出してください。</a:t>
          </a:r>
          <a:endParaRPr kumimoji="1" lang="en-US" altLang="ja-JP" sz="16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52595</xdr:colOff>
      <xdr:row>8</xdr:row>
      <xdr:rowOff>63776</xdr:rowOff>
    </xdr:from>
    <xdr:to>
      <xdr:col>26</xdr:col>
      <xdr:colOff>85725</xdr:colOff>
      <xdr:row>15</xdr:row>
      <xdr:rowOff>97291</xdr:rowOff>
    </xdr:to>
    <xdr:sp macro="" textlink="">
      <xdr:nvSpPr>
        <xdr:cNvPr id="2" name="吹き出し: 角を丸めた四角形 1">
          <a:extLst>
            <a:ext uri="{FF2B5EF4-FFF2-40B4-BE49-F238E27FC236}">
              <a16:creationId xmlns:a16="http://schemas.microsoft.com/office/drawing/2014/main" id="{8D6A4CE5-3B71-4CE9-B528-D15C2F8DF272}"/>
            </a:ext>
          </a:extLst>
        </xdr:cNvPr>
        <xdr:cNvSpPr/>
      </xdr:nvSpPr>
      <xdr:spPr>
        <a:xfrm>
          <a:off x="2710070" y="1549676"/>
          <a:ext cx="5052805" cy="1652765"/>
        </a:xfrm>
        <a:prstGeom prst="wedgeRoundRectCallout">
          <a:avLst>
            <a:gd name="adj1" fmla="val -55093"/>
            <a:gd name="adj2" fmla="val 70886"/>
            <a:gd name="adj3" fmla="val 16667"/>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0" u="dbl">
              <a:latin typeface="BIZ UDPゴシック" panose="020B0400000000000000" pitchFamily="50" charset="-128"/>
              <a:ea typeface="BIZ UDPゴシック" panose="020B0400000000000000" pitchFamily="50" charset="-128"/>
            </a:rPr>
            <a:t>常勤支援員２名配置の補助基準額を活用しているクラブは、タブで</a:t>
          </a:r>
          <a:r>
            <a:rPr kumimoji="1" lang="en-US" altLang="ja-JP" sz="1400" b="0" u="dbl">
              <a:latin typeface="BIZ UDPゴシック" panose="020B0400000000000000" pitchFamily="50" charset="-128"/>
              <a:ea typeface="BIZ UDPゴシック" panose="020B0400000000000000" pitchFamily="50" charset="-128"/>
            </a:rPr>
            <a:t>【</a:t>
          </a:r>
          <a:r>
            <a:rPr kumimoji="1" lang="ja-JP" altLang="en-US" sz="1400" b="0" u="dbl">
              <a:latin typeface="BIZ UDPゴシック" panose="020B0400000000000000" pitchFamily="50" charset="-128"/>
              <a:ea typeface="BIZ UDPゴシック" panose="020B0400000000000000" pitchFamily="50" charset="-128"/>
            </a:rPr>
            <a:t>常勤２名</a:t>
          </a:r>
          <a:r>
            <a:rPr kumimoji="1" lang="en-US" altLang="ja-JP" sz="1400" b="0" u="dbl">
              <a:latin typeface="BIZ UDPゴシック" panose="020B0400000000000000" pitchFamily="50" charset="-128"/>
              <a:ea typeface="BIZ UDPゴシック" panose="020B0400000000000000" pitchFamily="50" charset="-128"/>
            </a:rPr>
            <a:t>】</a:t>
          </a:r>
          <a:r>
            <a:rPr kumimoji="1" lang="ja-JP" altLang="en-US" sz="1400" b="0" u="dbl">
              <a:latin typeface="BIZ UDPゴシック" panose="020B0400000000000000" pitchFamily="50" charset="-128"/>
              <a:ea typeface="BIZ UDPゴシック" panose="020B0400000000000000" pitchFamily="50" charset="-128"/>
            </a:rPr>
            <a:t>を選択してください。</a:t>
          </a:r>
          <a:endParaRPr kumimoji="1" lang="en-US" altLang="ja-JP" sz="1400" b="0" u="dbl">
            <a:latin typeface="BIZ UDPゴシック" panose="020B0400000000000000" pitchFamily="50" charset="-128"/>
            <a:ea typeface="BIZ UDPゴシック" panose="020B0400000000000000" pitchFamily="50" charset="-128"/>
          </a:endParaRPr>
        </a:p>
        <a:p>
          <a:pPr algn="l"/>
          <a:r>
            <a:rPr kumimoji="1" lang="ja-JP" altLang="en-US" sz="1400" b="0" u="dbl">
              <a:solidFill>
                <a:schemeClr val="bg1"/>
              </a:solidFill>
              <a:latin typeface="BIZ UDPゴシック" panose="020B0400000000000000" pitchFamily="50" charset="-128"/>
              <a:ea typeface="BIZ UDPゴシック" panose="020B0400000000000000" pitchFamily="50" charset="-128"/>
            </a:rPr>
            <a:t>年度途中で常勤職員に変更があったクラブ、当初申請で「●常勤２名の対象職員報告シート」を提出していないクラブは、シートをご提出ください。</a:t>
          </a:r>
          <a:endParaRPr kumimoji="1" lang="en-US" altLang="ja-JP" sz="1400" b="0" u="dbl">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250305</xdr:colOff>
      <xdr:row>24</xdr:row>
      <xdr:rowOff>133350</xdr:rowOff>
    </xdr:from>
    <xdr:to>
      <xdr:col>22</xdr:col>
      <xdr:colOff>142477</xdr:colOff>
      <xdr:row>28</xdr:row>
      <xdr:rowOff>91348</xdr:rowOff>
    </xdr:to>
    <xdr:sp macro="" textlink="">
      <xdr:nvSpPr>
        <xdr:cNvPr id="4" name="吹き出し: 角を丸めた四角形 3">
          <a:extLst>
            <a:ext uri="{FF2B5EF4-FFF2-40B4-BE49-F238E27FC236}">
              <a16:creationId xmlns:a16="http://schemas.microsoft.com/office/drawing/2014/main" id="{2AA2E13E-E765-403B-9269-EF94D126B8D3}"/>
            </a:ext>
          </a:extLst>
        </xdr:cNvPr>
        <xdr:cNvSpPr/>
      </xdr:nvSpPr>
      <xdr:spPr>
        <a:xfrm>
          <a:off x="3203055" y="5553075"/>
          <a:ext cx="3435472" cy="910498"/>
        </a:xfrm>
        <a:prstGeom prst="wedgeRoundRectCallout">
          <a:avLst>
            <a:gd name="adj1" fmla="val -48468"/>
            <a:gd name="adj2" fmla="val 1604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0" u="dbl">
              <a:latin typeface="BIZ UDPゴシック" panose="020B0400000000000000" pitchFamily="50" charset="-128"/>
              <a:ea typeface="BIZ UDPゴシック" panose="020B0400000000000000" pitchFamily="50" charset="-128"/>
            </a:rPr>
            <a:t>３か所手入力の箇所があります。</a:t>
          </a:r>
          <a:endParaRPr kumimoji="1" lang="en-US" altLang="ja-JP" sz="1400" b="0" u="dbl">
            <a:latin typeface="BIZ UDPゴシック" panose="020B0400000000000000" pitchFamily="50" charset="-128"/>
            <a:ea typeface="BIZ UDPゴシック" panose="020B0400000000000000" pitchFamily="50" charset="-128"/>
          </a:endParaRPr>
        </a:p>
        <a:p>
          <a:pPr algn="l"/>
          <a:r>
            <a:rPr kumimoji="1" lang="ja-JP" altLang="en-US" sz="1400" b="0" u="dbl">
              <a:latin typeface="BIZ UDPゴシック" panose="020B0400000000000000" pitchFamily="50" charset="-128"/>
              <a:ea typeface="BIZ UDPゴシック" panose="020B0400000000000000" pitchFamily="50" charset="-128"/>
            </a:rPr>
            <a:t>（送迎支援、研修受講費、家賃補助）</a:t>
          </a:r>
          <a:endParaRPr kumimoji="1" lang="en-US" altLang="ja-JP" sz="1400" b="0" u="dbl">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200025</xdr:colOff>
      <xdr:row>28</xdr:row>
      <xdr:rowOff>47625</xdr:rowOff>
    </xdr:from>
    <xdr:to>
      <xdr:col>10</xdr:col>
      <xdr:colOff>285750</xdr:colOff>
      <xdr:row>31</xdr:row>
      <xdr:rowOff>38100</xdr:rowOff>
    </xdr:to>
    <xdr:cxnSp macro="">
      <xdr:nvCxnSpPr>
        <xdr:cNvPr id="5" name="直線矢印コネクタ 4">
          <a:extLst>
            <a:ext uri="{FF2B5EF4-FFF2-40B4-BE49-F238E27FC236}">
              <a16:creationId xmlns:a16="http://schemas.microsoft.com/office/drawing/2014/main" id="{A80C58A5-6954-40D0-92E2-DC4DF1469CDE}"/>
            </a:ext>
          </a:extLst>
        </xdr:cNvPr>
        <xdr:cNvCxnSpPr/>
      </xdr:nvCxnSpPr>
      <xdr:spPr>
        <a:xfrm flipH="1">
          <a:off x="2857500" y="6419850"/>
          <a:ext cx="381000" cy="704850"/>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38100</xdr:colOff>
      <xdr:row>28</xdr:row>
      <xdr:rowOff>57150</xdr:rowOff>
    </xdr:from>
    <xdr:to>
      <xdr:col>11</xdr:col>
      <xdr:colOff>9525</xdr:colOff>
      <xdr:row>35</xdr:row>
      <xdr:rowOff>47625</xdr:rowOff>
    </xdr:to>
    <xdr:cxnSp macro="">
      <xdr:nvCxnSpPr>
        <xdr:cNvPr id="6" name="直線矢印コネクタ 5">
          <a:extLst>
            <a:ext uri="{FF2B5EF4-FFF2-40B4-BE49-F238E27FC236}">
              <a16:creationId xmlns:a16="http://schemas.microsoft.com/office/drawing/2014/main" id="{64B9400A-C34D-4F8A-81A6-841D7C334C9E}"/>
            </a:ext>
          </a:extLst>
        </xdr:cNvPr>
        <xdr:cNvCxnSpPr/>
      </xdr:nvCxnSpPr>
      <xdr:spPr>
        <a:xfrm flipH="1">
          <a:off x="2990850" y="6429375"/>
          <a:ext cx="266700" cy="1657350"/>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161925</xdr:colOff>
      <xdr:row>28</xdr:row>
      <xdr:rowOff>57150</xdr:rowOff>
    </xdr:from>
    <xdr:to>
      <xdr:col>10</xdr:col>
      <xdr:colOff>285750</xdr:colOff>
      <xdr:row>34</xdr:row>
      <xdr:rowOff>57150</xdr:rowOff>
    </xdr:to>
    <xdr:cxnSp macro="">
      <xdr:nvCxnSpPr>
        <xdr:cNvPr id="7" name="直線矢印コネクタ 6">
          <a:extLst>
            <a:ext uri="{FF2B5EF4-FFF2-40B4-BE49-F238E27FC236}">
              <a16:creationId xmlns:a16="http://schemas.microsoft.com/office/drawing/2014/main" id="{CEE3FF0D-2202-453B-9833-2C1185B9F15E}"/>
            </a:ext>
          </a:extLst>
        </xdr:cNvPr>
        <xdr:cNvCxnSpPr/>
      </xdr:nvCxnSpPr>
      <xdr:spPr>
        <a:xfrm flipH="1">
          <a:off x="2819400" y="6429375"/>
          <a:ext cx="419100" cy="1428750"/>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3386</xdr:colOff>
      <xdr:row>39</xdr:row>
      <xdr:rowOff>62533</xdr:rowOff>
    </xdr:from>
    <xdr:to>
      <xdr:col>24</xdr:col>
      <xdr:colOff>181097</xdr:colOff>
      <xdr:row>49</xdr:row>
      <xdr:rowOff>28575</xdr:rowOff>
    </xdr:to>
    <xdr:sp macro="" textlink="">
      <xdr:nvSpPr>
        <xdr:cNvPr id="8" name="吹き出し: 角を丸めた四角形 7">
          <a:extLst>
            <a:ext uri="{FF2B5EF4-FFF2-40B4-BE49-F238E27FC236}">
              <a16:creationId xmlns:a16="http://schemas.microsoft.com/office/drawing/2014/main" id="{E8EEFDDE-1B70-4F73-8AA5-49984F0C3C8E}"/>
            </a:ext>
          </a:extLst>
        </xdr:cNvPr>
        <xdr:cNvSpPr/>
      </xdr:nvSpPr>
      <xdr:spPr>
        <a:xfrm>
          <a:off x="3546686" y="9292258"/>
          <a:ext cx="3721011" cy="1785317"/>
        </a:xfrm>
        <a:prstGeom prst="wedgeRoundRectCallout">
          <a:avLst>
            <a:gd name="adj1" fmla="val 3765"/>
            <a:gd name="adj2" fmla="val -8034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0" u="dbl">
              <a:solidFill>
                <a:schemeClr val="bg1"/>
              </a:solidFill>
              <a:latin typeface="BIZ UDPゴシック" panose="020B0400000000000000" pitchFamily="50" charset="-128"/>
              <a:ea typeface="BIZ UDPゴシック" panose="020B0400000000000000" pitchFamily="50" charset="-128"/>
            </a:rPr>
            <a:t>令和６年度までに開所したクラブは、</a:t>
          </a:r>
          <a:endParaRPr kumimoji="1" lang="en-US" altLang="ja-JP" sz="1400" b="0" u="dbl">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400" b="0" u="dbl">
              <a:solidFill>
                <a:schemeClr val="bg1"/>
              </a:solidFill>
              <a:latin typeface="BIZ UDPゴシック" panose="020B0400000000000000" pitchFamily="50" charset="-128"/>
              <a:ea typeface="BIZ UDPゴシック" panose="020B0400000000000000" pitchFamily="50" charset="-128"/>
            </a:rPr>
            <a:t>いずれも「０」を入力してください。</a:t>
          </a:r>
          <a:endParaRPr kumimoji="1" lang="en-US" altLang="ja-JP" sz="1400" b="0" u="dbl">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400" b="0" u="dbl">
              <a:solidFill>
                <a:schemeClr val="bg1"/>
              </a:solidFill>
              <a:latin typeface="BIZ UDPゴシック" panose="020B0400000000000000" pitchFamily="50" charset="-128"/>
              <a:ea typeface="BIZ UDPゴシック" panose="020B0400000000000000" pitchFamily="50" charset="-128"/>
            </a:rPr>
            <a:t>ここに入力するのは、令和７年度に新規開設したクラブのうち、令和７年度中に当該備品を購入したクラブのみです。</a:t>
          </a:r>
          <a:endParaRPr kumimoji="1" lang="en-US" altLang="ja-JP" sz="1400" b="0" u="dbl">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209550</xdr:colOff>
      <xdr:row>7</xdr:row>
      <xdr:rowOff>133350</xdr:rowOff>
    </xdr:from>
    <xdr:to>
      <xdr:col>26</xdr:col>
      <xdr:colOff>102576</xdr:colOff>
      <xdr:row>15</xdr:row>
      <xdr:rowOff>197094</xdr:rowOff>
    </xdr:to>
    <xdr:sp macro="" textlink="">
      <xdr:nvSpPr>
        <xdr:cNvPr id="2" name="吹き出し: 角を丸めた四角形 1">
          <a:extLst>
            <a:ext uri="{FF2B5EF4-FFF2-40B4-BE49-F238E27FC236}">
              <a16:creationId xmlns:a16="http://schemas.microsoft.com/office/drawing/2014/main" id="{00000000-0008-0000-0600-000002000000}"/>
            </a:ext>
          </a:extLst>
        </xdr:cNvPr>
        <xdr:cNvSpPr/>
      </xdr:nvSpPr>
      <xdr:spPr>
        <a:xfrm>
          <a:off x="3457575" y="1438275"/>
          <a:ext cx="4322151" cy="1863969"/>
        </a:xfrm>
        <a:prstGeom prst="wedgeRoundRectCallout">
          <a:avLst>
            <a:gd name="adj1" fmla="val -62907"/>
            <a:gd name="adj2" fmla="val 5401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0" u="dbl">
              <a:latin typeface="BIZ UDPゴシック" panose="020B0400000000000000" pitchFamily="50" charset="-128"/>
              <a:ea typeface="BIZ UDPゴシック" panose="020B0400000000000000" pitchFamily="50" charset="-128"/>
            </a:rPr>
            <a:t>常勤支援員２名配置の補助基準額を活用しているクラブは、タブで</a:t>
          </a:r>
          <a:r>
            <a:rPr kumimoji="1" lang="en-US" altLang="ja-JP" sz="1600" b="0" u="dbl">
              <a:latin typeface="BIZ UDPゴシック" panose="020B0400000000000000" pitchFamily="50" charset="-128"/>
              <a:ea typeface="BIZ UDPゴシック" panose="020B0400000000000000" pitchFamily="50" charset="-128"/>
            </a:rPr>
            <a:t>【</a:t>
          </a:r>
          <a:r>
            <a:rPr kumimoji="1" lang="ja-JP" altLang="en-US" sz="1600" b="0" u="dbl">
              <a:latin typeface="BIZ UDPゴシック" panose="020B0400000000000000" pitchFamily="50" charset="-128"/>
              <a:ea typeface="BIZ UDPゴシック" panose="020B0400000000000000" pitchFamily="50" charset="-128"/>
            </a:rPr>
            <a:t>常勤２名</a:t>
          </a:r>
          <a:r>
            <a:rPr kumimoji="1" lang="en-US" altLang="ja-JP" sz="1600" b="0" u="dbl">
              <a:latin typeface="BIZ UDPゴシック" panose="020B0400000000000000" pitchFamily="50" charset="-128"/>
              <a:ea typeface="BIZ UDPゴシック" panose="020B0400000000000000" pitchFamily="50" charset="-128"/>
            </a:rPr>
            <a:t>】</a:t>
          </a:r>
          <a:r>
            <a:rPr kumimoji="1" lang="ja-JP" altLang="en-US" sz="1600" b="0" u="dbl">
              <a:latin typeface="BIZ UDPゴシック" panose="020B0400000000000000" pitchFamily="50" charset="-128"/>
              <a:ea typeface="BIZ UDPゴシック" panose="020B0400000000000000" pitchFamily="50" charset="-128"/>
            </a:rPr>
            <a:t>を選択してください。併せて、常勤２名配置を開始した月の入力もお願いします。</a:t>
          </a:r>
          <a:endParaRPr kumimoji="1" lang="en-US" altLang="ja-JP" sz="1600" b="0" u="dbl">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14</xdr:col>
      <xdr:colOff>19050</xdr:colOff>
      <xdr:row>31</xdr:row>
      <xdr:rowOff>123825</xdr:rowOff>
    </xdr:from>
    <xdr:to>
      <xdr:col>26</xdr:col>
      <xdr:colOff>142876</xdr:colOff>
      <xdr:row>36</xdr:row>
      <xdr:rowOff>47625</xdr:rowOff>
    </xdr:to>
    <xdr:sp macro="" textlink="">
      <xdr:nvSpPr>
        <xdr:cNvPr id="3" name="吹き出し: 角を丸めた四角形 2">
          <a:extLst>
            <a:ext uri="{FF2B5EF4-FFF2-40B4-BE49-F238E27FC236}">
              <a16:creationId xmlns:a16="http://schemas.microsoft.com/office/drawing/2014/main" id="{00000000-0008-0000-0600-000003000000}"/>
            </a:ext>
          </a:extLst>
        </xdr:cNvPr>
        <xdr:cNvSpPr/>
      </xdr:nvSpPr>
      <xdr:spPr>
        <a:xfrm>
          <a:off x="4152900" y="7258050"/>
          <a:ext cx="3667126" cy="1114425"/>
        </a:xfrm>
        <a:prstGeom prst="wedgeRoundRectCallout">
          <a:avLst>
            <a:gd name="adj1" fmla="val -36493"/>
            <a:gd name="adj2" fmla="val 7310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0" u="dbl">
              <a:solidFill>
                <a:schemeClr val="lt1"/>
              </a:solidFill>
              <a:latin typeface="BIZ UDPゴシック" panose="020B0400000000000000" pitchFamily="50" charset="-128"/>
              <a:ea typeface="BIZ UDPゴシック" panose="020B0400000000000000" pitchFamily="50" charset="-128"/>
            </a:rPr>
            <a:t>令和５年度までに</a:t>
          </a:r>
          <a:r>
            <a:rPr kumimoji="1" lang="ja-JP" altLang="en-US" sz="1600" b="0" u="dbl">
              <a:solidFill>
                <a:schemeClr val="bg1"/>
              </a:solidFill>
              <a:latin typeface="BIZ UDPゴシック" panose="020B0400000000000000" pitchFamily="50" charset="-128"/>
              <a:ea typeface="BIZ UDPゴシック" panose="020B0400000000000000" pitchFamily="50" charset="-128"/>
            </a:rPr>
            <a:t>開所したクラブは、</a:t>
          </a:r>
          <a:endParaRPr kumimoji="1" lang="en-US" altLang="ja-JP" sz="1600" b="0" u="dbl">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600" b="0" u="dbl">
              <a:solidFill>
                <a:schemeClr val="bg1"/>
              </a:solidFill>
              <a:latin typeface="BIZ UDPゴシック" panose="020B0400000000000000" pitchFamily="50" charset="-128"/>
              <a:ea typeface="BIZ UDPゴシック" panose="020B0400000000000000" pitchFamily="50" charset="-128"/>
            </a:rPr>
            <a:t>いずれも「０」を入力してください。</a:t>
          </a:r>
          <a:endParaRPr kumimoji="1" lang="en-US" altLang="ja-JP" sz="1600" b="0" u="dbl">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12</xdr:col>
      <xdr:colOff>180975</xdr:colOff>
      <xdr:row>25</xdr:row>
      <xdr:rowOff>180975</xdr:rowOff>
    </xdr:from>
    <xdr:to>
      <xdr:col>24</xdr:col>
      <xdr:colOff>101113</xdr:colOff>
      <xdr:row>30</xdr:row>
      <xdr:rowOff>169984</xdr:rowOff>
    </xdr:to>
    <xdr:sp macro="" textlink="">
      <xdr:nvSpPr>
        <xdr:cNvPr id="4" name="吹き出し: 角を丸めた四角形 3">
          <a:extLst>
            <a:ext uri="{FF2B5EF4-FFF2-40B4-BE49-F238E27FC236}">
              <a16:creationId xmlns:a16="http://schemas.microsoft.com/office/drawing/2014/main" id="{00000000-0008-0000-0600-000004000000}"/>
            </a:ext>
          </a:extLst>
        </xdr:cNvPr>
        <xdr:cNvSpPr/>
      </xdr:nvSpPr>
      <xdr:spPr>
        <a:xfrm>
          <a:off x="3724275" y="5886450"/>
          <a:ext cx="3463438" cy="1179634"/>
        </a:xfrm>
        <a:prstGeom prst="wedgeRoundRectCallout">
          <a:avLst>
            <a:gd name="adj1" fmla="val -48468"/>
            <a:gd name="adj2" fmla="val 1604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0" u="dbl">
              <a:latin typeface="BIZ UDPゴシック" panose="020B0400000000000000" pitchFamily="50" charset="-128"/>
              <a:ea typeface="BIZ UDPゴシック" panose="020B0400000000000000" pitchFamily="50" charset="-128"/>
            </a:rPr>
            <a:t>３か所手入力の箇所があります。</a:t>
          </a:r>
          <a:endParaRPr kumimoji="1" lang="en-US" altLang="ja-JP" sz="1600" b="0" u="dbl">
            <a:latin typeface="BIZ UDPゴシック" panose="020B0400000000000000" pitchFamily="50" charset="-128"/>
            <a:ea typeface="BIZ UDPゴシック" panose="020B0400000000000000" pitchFamily="50" charset="-128"/>
          </a:endParaRPr>
        </a:p>
        <a:p>
          <a:pPr algn="l"/>
          <a:r>
            <a:rPr kumimoji="1" lang="ja-JP" altLang="en-US" sz="1600" b="0" u="dbl">
              <a:latin typeface="BIZ UDPゴシック" panose="020B0400000000000000" pitchFamily="50" charset="-128"/>
              <a:ea typeface="BIZ UDPゴシック" panose="020B0400000000000000" pitchFamily="50" charset="-128"/>
            </a:rPr>
            <a:t>（送迎支援、研修受講費、家賃補助）</a:t>
          </a:r>
          <a:endParaRPr kumimoji="1" lang="en-US" altLang="ja-JP" sz="1600" b="0" u="dbl">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276225</xdr:colOff>
      <xdr:row>30</xdr:row>
      <xdr:rowOff>76200</xdr:rowOff>
    </xdr:from>
    <xdr:to>
      <xdr:col>12</xdr:col>
      <xdr:colOff>211013</xdr:colOff>
      <xdr:row>32</xdr:row>
      <xdr:rowOff>95983</xdr:rowOff>
    </xdr:to>
    <xdr:cxnSp macro="">
      <xdr:nvCxnSpPr>
        <xdr:cNvPr id="5" name="直線矢印コネクタ 4">
          <a:extLst>
            <a:ext uri="{FF2B5EF4-FFF2-40B4-BE49-F238E27FC236}">
              <a16:creationId xmlns:a16="http://schemas.microsoft.com/office/drawing/2014/main" id="{00000000-0008-0000-0600-000005000000}"/>
            </a:ext>
          </a:extLst>
        </xdr:cNvPr>
        <xdr:cNvCxnSpPr/>
      </xdr:nvCxnSpPr>
      <xdr:spPr>
        <a:xfrm flipH="1">
          <a:off x="2933700" y="6972300"/>
          <a:ext cx="820613" cy="496033"/>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276225</xdr:colOff>
      <xdr:row>30</xdr:row>
      <xdr:rowOff>47625</xdr:rowOff>
    </xdr:from>
    <xdr:to>
      <xdr:col>12</xdr:col>
      <xdr:colOff>201488</xdr:colOff>
      <xdr:row>36</xdr:row>
      <xdr:rowOff>115033</xdr:rowOff>
    </xdr:to>
    <xdr:cxnSp macro="">
      <xdr:nvCxnSpPr>
        <xdr:cNvPr id="6" name="直線矢印コネクタ 5">
          <a:extLst>
            <a:ext uri="{FF2B5EF4-FFF2-40B4-BE49-F238E27FC236}">
              <a16:creationId xmlns:a16="http://schemas.microsoft.com/office/drawing/2014/main" id="{00000000-0008-0000-0600-000006000000}"/>
            </a:ext>
          </a:extLst>
        </xdr:cNvPr>
        <xdr:cNvCxnSpPr/>
      </xdr:nvCxnSpPr>
      <xdr:spPr>
        <a:xfrm flipH="1">
          <a:off x="2933700" y="6943725"/>
          <a:ext cx="811088" cy="1496158"/>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228600</xdr:colOff>
      <xdr:row>30</xdr:row>
      <xdr:rowOff>114300</xdr:rowOff>
    </xdr:from>
    <xdr:to>
      <xdr:col>12</xdr:col>
      <xdr:colOff>172913</xdr:colOff>
      <xdr:row>35</xdr:row>
      <xdr:rowOff>115033</xdr:rowOff>
    </xdr:to>
    <xdr:cxnSp macro="">
      <xdr:nvCxnSpPr>
        <xdr:cNvPr id="7" name="直線矢印コネクタ 6">
          <a:extLst>
            <a:ext uri="{FF2B5EF4-FFF2-40B4-BE49-F238E27FC236}">
              <a16:creationId xmlns:a16="http://schemas.microsoft.com/office/drawing/2014/main" id="{00000000-0008-0000-0600-000007000000}"/>
            </a:ext>
          </a:extLst>
        </xdr:cNvPr>
        <xdr:cNvCxnSpPr/>
      </xdr:nvCxnSpPr>
      <xdr:spPr>
        <a:xfrm flipH="1">
          <a:off x="2886075" y="7010400"/>
          <a:ext cx="830138" cy="1191358"/>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76741</xdr:colOff>
      <xdr:row>2</xdr:row>
      <xdr:rowOff>85692</xdr:rowOff>
    </xdr:from>
    <xdr:to>
      <xdr:col>3</xdr:col>
      <xdr:colOff>3114260</xdr:colOff>
      <xdr:row>4</xdr:row>
      <xdr:rowOff>99391</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408045" y="433562"/>
          <a:ext cx="4536672" cy="535503"/>
        </a:xfrm>
        <a:prstGeom prst="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100"/>
            <a:t>様式３　処遇改善の種類が「</a:t>
          </a:r>
          <a:r>
            <a:rPr kumimoji="1" lang="en-US" altLang="ja-JP" sz="1100"/>
            <a:t>B</a:t>
          </a:r>
          <a:r>
            <a:rPr kumimoji="1" lang="ja-JP" altLang="en-US" sz="1100"/>
            <a:t>」の場合のみ、人件費の総額を入力してください</a:t>
          </a:r>
        </a:p>
      </xdr:txBody>
    </xdr:sp>
    <xdr:clientData/>
  </xdr:twoCellAnchor>
  <xdr:twoCellAnchor>
    <xdr:from>
      <xdr:col>1</xdr:col>
      <xdr:colOff>157370</xdr:colOff>
      <xdr:row>11</xdr:row>
      <xdr:rowOff>24848</xdr:rowOff>
    </xdr:from>
    <xdr:to>
      <xdr:col>4</xdr:col>
      <xdr:colOff>336081</xdr:colOff>
      <xdr:row>23</xdr:row>
      <xdr:rowOff>8284</xdr:rowOff>
    </xdr:to>
    <xdr:sp macro="" textlink="">
      <xdr:nvSpPr>
        <xdr:cNvPr id="3" name="吹き出し: 角を丸めた四角形 2">
          <a:extLst>
            <a:ext uri="{FF2B5EF4-FFF2-40B4-BE49-F238E27FC236}">
              <a16:creationId xmlns:a16="http://schemas.microsoft.com/office/drawing/2014/main" id="{00000000-0008-0000-0700-000003000000}"/>
            </a:ext>
          </a:extLst>
        </xdr:cNvPr>
        <xdr:cNvSpPr/>
      </xdr:nvSpPr>
      <xdr:spPr>
        <a:xfrm>
          <a:off x="488674" y="2120348"/>
          <a:ext cx="4908081" cy="2120349"/>
        </a:xfrm>
        <a:prstGeom prst="wedgeRoundRectCallout">
          <a:avLst>
            <a:gd name="adj1" fmla="val 111002"/>
            <a:gd name="adj2" fmla="val 2101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latin typeface="BIZ UDPゴシック" panose="020B0400000000000000" pitchFamily="50" charset="-128"/>
              <a:ea typeface="BIZ UDPゴシック" panose="020B0400000000000000" pitchFamily="50" charset="-128"/>
            </a:rPr>
            <a:t>様式３　処遇改善の種類で（</a:t>
          </a:r>
          <a:r>
            <a:rPr kumimoji="1" lang="en-US" altLang="ja-JP" sz="1400">
              <a:latin typeface="BIZ UDPゴシック" panose="020B0400000000000000" pitchFamily="50" charset="-128"/>
              <a:ea typeface="BIZ UDPゴシック" panose="020B0400000000000000" pitchFamily="50" charset="-128"/>
            </a:rPr>
            <a:t>B</a:t>
          </a:r>
          <a:r>
            <a:rPr kumimoji="1" lang="ja-JP" altLang="en-US" sz="1400">
              <a:latin typeface="BIZ UDPゴシック" panose="020B0400000000000000" pitchFamily="50" charset="-128"/>
              <a:ea typeface="BIZ UDPゴシック" panose="020B0400000000000000" pitchFamily="50" charset="-128"/>
            </a:rPr>
            <a:t>）を選んだクラブは、</a:t>
          </a:r>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本シートで処遇改善の交付額を計算し、補助基準額（</a:t>
          </a:r>
          <a:r>
            <a:rPr kumimoji="1" lang="en-US" altLang="ja-JP" sz="1400">
              <a:latin typeface="BIZ UDPゴシック" panose="020B0400000000000000" pitchFamily="50" charset="-128"/>
              <a:ea typeface="BIZ UDPゴシック" panose="020B0400000000000000" pitchFamily="50" charset="-128"/>
            </a:rPr>
            <a:t>3,330,000</a:t>
          </a:r>
          <a:r>
            <a:rPr kumimoji="1" lang="ja-JP" altLang="en-US" sz="1400">
              <a:latin typeface="BIZ UDPゴシック" panose="020B0400000000000000" pitchFamily="50" charset="-128"/>
              <a:ea typeface="BIZ UDPゴシック" panose="020B0400000000000000" pitchFamily="50" charset="-128"/>
            </a:rPr>
            <a:t>円）と比較して少ない方が補助上限額となります。</a:t>
          </a:r>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B)</a:t>
          </a:r>
          <a:r>
            <a:rPr kumimoji="1" lang="ja-JP" altLang="en-US" sz="1400">
              <a:latin typeface="BIZ UDPゴシック" panose="020B0400000000000000" pitchFamily="50" charset="-128"/>
              <a:ea typeface="BIZ UDPゴシック" panose="020B0400000000000000" pitchFamily="50" charset="-128"/>
            </a:rPr>
            <a:t>常勤職員の処遇改善交付額」がマイナスになっている場合は、処遇改善の種類を（</a:t>
          </a:r>
          <a:r>
            <a:rPr kumimoji="1" lang="en-US" altLang="ja-JP" sz="1400">
              <a:latin typeface="BIZ UDPゴシック" panose="020B0400000000000000" pitchFamily="50" charset="-128"/>
              <a:ea typeface="BIZ UDPゴシック" panose="020B0400000000000000" pitchFamily="50" charset="-128"/>
            </a:rPr>
            <a:t>A)</a:t>
          </a:r>
          <a:r>
            <a:rPr kumimoji="1" lang="ja-JP" altLang="en-US" sz="1400">
              <a:latin typeface="BIZ UDPゴシック" panose="020B0400000000000000" pitchFamily="50" charset="-128"/>
              <a:ea typeface="BIZ UDPゴシック" panose="020B0400000000000000" pitchFamily="50" charset="-128"/>
            </a:rPr>
            <a:t>に変更することをご検討ください。</a:t>
          </a:r>
          <a:endParaRPr kumimoji="1" lang="en-US" altLang="ja-JP" sz="1400">
            <a:latin typeface="BIZ UDPゴシック" panose="020B0400000000000000" pitchFamily="50" charset="-128"/>
            <a:ea typeface="BIZ UDPゴシック" panose="020B0400000000000000" pitchFamily="50" charset="-128"/>
          </a:endParaRPr>
        </a:p>
        <a:p>
          <a:pPr algn="l"/>
          <a:endParaRPr kumimoji="1" lang="en-US" altLang="ja-JP" sz="1600">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563217</xdr:colOff>
      <xdr:row>0</xdr:row>
      <xdr:rowOff>82829</xdr:rowOff>
    </xdr:from>
    <xdr:to>
      <xdr:col>6</xdr:col>
      <xdr:colOff>1082952</xdr:colOff>
      <xdr:row>4</xdr:row>
      <xdr:rowOff>82829</xdr:rowOff>
    </xdr:to>
    <xdr:sp macro="" textlink="">
      <xdr:nvSpPr>
        <xdr:cNvPr id="4" name="吹き出し: 角を丸めた四角形 3">
          <a:extLst>
            <a:ext uri="{FF2B5EF4-FFF2-40B4-BE49-F238E27FC236}">
              <a16:creationId xmlns:a16="http://schemas.microsoft.com/office/drawing/2014/main" id="{00000000-0008-0000-0700-000004000000}"/>
            </a:ext>
          </a:extLst>
        </xdr:cNvPr>
        <xdr:cNvSpPr/>
      </xdr:nvSpPr>
      <xdr:spPr>
        <a:xfrm>
          <a:off x="5623891" y="82829"/>
          <a:ext cx="3667126" cy="695739"/>
        </a:xfrm>
        <a:prstGeom prst="wedgeRoundRectCallout">
          <a:avLst>
            <a:gd name="adj1" fmla="val 36337"/>
            <a:gd name="adj2" fmla="val 7893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0" u="dbl">
              <a:solidFill>
                <a:schemeClr val="bg1"/>
              </a:solidFill>
              <a:latin typeface="BIZ UDPゴシック" panose="020B0400000000000000" pitchFamily="50" charset="-128"/>
              <a:ea typeface="BIZ UDPゴシック" panose="020B0400000000000000" pitchFamily="50" charset="-128"/>
            </a:rPr>
            <a:t>人件費の総額を入力してください。</a:t>
          </a:r>
          <a:endParaRPr kumimoji="1" lang="en-US" altLang="ja-JP" sz="1400" b="0" u="dbl">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jack\v3_fsroot\FS\&#23376;&#32946;&#12390;&#25903;&#25588;&#35506;&#20849;&#26377;\&#12295;&#25918;&#35506;&#24460;&#20816;&#31461;&#23550;&#31574;&#20418;\R07%20&#25918;&#35506;&#24460;&#20816;&#31461;&#20581;&#20840;&#32946;&#25104;&#20107;&#26989;&#38306;&#20418;\02&#12304;&#27665;&#35373;&#12305;&#25918;&#35506;&#24460;&#20816;&#31461;&#12463;&#12521;&#12502;\04&#35036;&#21161;&#37329;\01&#27425;&#24180;&#24230;&#35500;&#26126;&#20250;\&#9733;&#27096;&#24335;&#65288;&#20316;&#26989;&#20013;&#65289;\04_R7&#22793;&#26356;&#20132;&#20184;&#30003;&#35531;&#26360;&#27096;&#24335;.xlsx" TargetMode="External"/><Relationship Id="rId1" Type="http://schemas.openxmlformats.org/officeDocument/2006/relationships/externalLinkPath" Target="/FS/&#23376;&#32946;&#12390;&#25903;&#25588;&#35506;&#20849;&#26377;/&#12295;&#25918;&#35506;&#24460;&#20816;&#31461;&#23550;&#31574;&#20418;/R07%20&#25918;&#35506;&#24460;&#20816;&#31461;&#20581;&#20840;&#32946;&#25104;&#20107;&#26989;&#38306;&#20418;/02&#12304;&#27665;&#35373;&#12305;&#25918;&#35506;&#24460;&#20816;&#31461;&#12463;&#12521;&#12502;/04&#35036;&#21161;&#37329;/01&#27425;&#24180;&#24230;&#35500;&#26126;&#20250;/&#9733;&#27096;&#24335;&#65288;&#20316;&#26989;&#20013;&#65289;/04_R7&#22793;&#26356;&#20132;&#20184;&#30003;&#35531;&#2636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鑑"/>
      <sheetName val="様式１（放課後児童名簿・利用料割引者名簿）"/>
      <sheetName val="様式２（クラブ児童数等報告書）"/>
      <sheetName val="様式３職員名簿および各種加算等一覧"/>
      <sheetName val="様式４年間開所カレンダー"/>
      <sheetName val="様式５（請求書）"/>
      <sheetName val="様式６（事業計画変更申請書）"/>
      <sheetName val="●常勤処遇改善の交付額"/>
      <sheetName val="●確認シート"/>
      <sheetName val="別紙様式２　事業実績報告書"/>
      <sheetName val="別紙様式２別添１　賃金改善内訳 "/>
      <sheetName val="参考"/>
      <sheetName val="別紙様式1　賃金改善計画書"/>
      <sheetName val="別紙様式１別添１　賃金改善内訳"/>
      <sheetName val="補助金算出シート"/>
    </sheetNames>
    <sheetDataSet>
      <sheetData sheetId="0"/>
      <sheetData sheetId="1"/>
      <sheetData sheetId="2">
        <row r="12">
          <cell r="P12">
            <v>0</v>
          </cell>
        </row>
        <row r="13">
          <cell r="P13">
            <v>0</v>
          </cell>
        </row>
        <row r="20">
          <cell r="P20">
            <v>0</v>
          </cell>
        </row>
        <row r="21">
          <cell r="P21">
            <v>0</v>
          </cell>
        </row>
      </sheetData>
      <sheetData sheetId="3"/>
      <sheetData sheetId="4">
        <row r="375">
          <cell r="F375">
            <v>0</v>
          </cell>
          <cell r="I375">
            <v>0</v>
          </cell>
        </row>
        <row r="376">
          <cell r="F376">
            <v>0</v>
          </cell>
        </row>
      </sheetData>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48"/>
  <sheetViews>
    <sheetView tabSelected="1" view="pageBreakPreview" zoomScaleNormal="100" zoomScaleSheetLayoutView="100" workbookViewId="0">
      <selection activeCell="A4" sqref="A4:K5"/>
    </sheetView>
  </sheetViews>
  <sheetFormatPr defaultColWidth="9" defaultRowHeight="17.25"/>
  <cols>
    <col min="1" max="1" width="2.875" style="15" customWidth="1"/>
    <col min="2" max="2" width="5.375" style="15" customWidth="1"/>
    <col min="3" max="10" width="9" style="15"/>
    <col min="11" max="11" width="2.875" style="15" customWidth="1"/>
    <col min="12" max="16384" width="9" style="15"/>
  </cols>
  <sheetData>
    <row r="1" spans="1:11">
      <c r="A1" s="586" t="s">
        <v>600</v>
      </c>
      <c r="B1" s="586"/>
      <c r="C1" s="586"/>
      <c r="D1" s="586"/>
      <c r="E1" s="586"/>
      <c r="F1" s="586"/>
      <c r="G1" s="586"/>
      <c r="H1" s="586"/>
      <c r="I1" s="586"/>
      <c r="J1" s="586"/>
      <c r="K1" s="586"/>
    </row>
    <row r="2" spans="1:11">
      <c r="A2" s="586"/>
      <c r="B2" s="586"/>
      <c r="C2" s="586"/>
      <c r="D2" s="586"/>
      <c r="E2" s="586"/>
      <c r="F2" s="586"/>
      <c r="G2" s="586"/>
      <c r="H2" s="586"/>
      <c r="I2" s="586"/>
      <c r="J2" s="586"/>
      <c r="K2" s="586"/>
    </row>
    <row r="4" spans="1:11">
      <c r="A4" s="587" t="s">
        <v>524</v>
      </c>
      <c r="B4" s="587"/>
      <c r="C4" s="587"/>
      <c r="D4" s="587"/>
      <c r="E4" s="587"/>
      <c r="F4" s="587"/>
      <c r="G4" s="587"/>
      <c r="H4" s="587"/>
      <c r="I4" s="587"/>
      <c r="J4" s="587"/>
      <c r="K4" s="587"/>
    </row>
    <row r="5" spans="1:11">
      <c r="A5" s="587"/>
      <c r="B5" s="587"/>
      <c r="C5" s="587"/>
      <c r="D5" s="587"/>
      <c r="E5" s="587"/>
      <c r="F5" s="587"/>
      <c r="G5" s="587"/>
      <c r="H5" s="587"/>
      <c r="I5" s="587"/>
      <c r="J5" s="587"/>
      <c r="K5" s="587"/>
    </row>
    <row r="7" spans="1:11">
      <c r="E7" s="441"/>
      <c r="F7" s="442" t="s">
        <v>421</v>
      </c>
      <c r="G7" s="602" t="s">
        <v>531</v>
      </c>
      <c r="H7" s="602"/>
      <c r="I7" s="602"/>
      <c r="J7" s="602"/>
    </row>
    <row r="8" spans="1:11" ht="24" customHeight="1"/>
    <row r="9" spans="1:11" ht="24" customHeight="1">
      <c r="B9" s="589" t="s">
        <v>91</v>
      </c>
      <c r="C9" s="589"/>
      <c r="D9" s="589"/>
      <c r="E9" s="609">
        <v>46100</v>
      </c>
      <c r="F9" s="610"/>
      <c r="G9" s="610"/>
      <c r="H9" s="610"/>
      <c r="I9" s="610"/>
      <c r="J9" s="611"/>
    </row>
    <row r="10" spans="1:11" ht="24" customHeight="1">
      <c r="B10" s="589"/>
      <c r="C10" s="589"/>
      <c r="D10" s="589"/>
      <c r="E10" s="612"/>
      <c r="F10" s="613"/>
      <c r="G10" s="613"/>
      <c r="H10" s="613"/>
      <c r="I10" s="613"/>
      <c r="J10" s="614"/>
    </row>
    <row r="11" spans="1:11" ht="24" customHeight="1">
      <c r="B11" s="592" t="s">
        <v>655</v>
      </c>
      <c r="C11" s="592"/>
      <c r="D11" s="592"/>
      <c r="E11" s="593"/>
      <c r="F11" s="593"/>
      <c r="G11" s="593"/>
      <c r="H11" s="593"/>
      <c r="I11" s="593"/>
    </row>
    <row r="12" spans="1:11" ht="24" customHeight="1">
      <c r="B12" s="20" t="s">
        <v>598</v>
      </c>
      <c r="C12" s="20"/>
      <c r="D12" s="20"/>
      <c r="E12" s="20"/>
      <c r="F12" s="20"/>
      <c r="G12" s="20"/>
      <c r="H12" s="20"/>
      <c r="I12" s="20"/>
    </row>
    <row r="13" spans="1:11" ht="17.25" customHeight="1">
      <c r="B13" s="589" t="s">
        <v>92</v>
      </c>
      <c r="C13" s="589"/>
      <c r="D13" s="589"/>
      <c r="E13" s="594" t="s">
        <v>220</v>
      </c>
      <c r="F13" s="595"/>
      <c r="G13" s="596"/>
      <c r="H13" s="597" t="s">
        <v>221</v>
      </c>
      <c r="I13" s="597"/>
      <c r="J13" s="597"/>
    </row>
    <row r="14" spans="1:11" ht="36.75" customHeight="1">
      <c r="B14" s="589"/>
      <c r="C14" s="589"/>
      <c r="D14" s="589"/>
      <c r="E14" s="598" t="s">
        <v>538</v>
      </c>
      <c r="F14" s="599"/>
      <c r="G14" s="600"/>
      <c r="H14" s="601" t="s">
        <v>540</v>
      </c>
      <c r="I14" s="601"/>
      <c r="J14" s="601"/>
    </row>
    <row r="15" spans="1:11" ht="24" customHeight="1">
      <c r="B15" s="590" t="s">
        <v>656</v>
      </c>
      <c r="C15" s="591"/>
      <c r="D15" s="591"/>
      <c r="E15" s="603" t="s">
        <v>541</v>
      </c>
      <c r="F15" s="604"/>
      <c r="G15" s="605"/>
      <c r="H15" s="615" t="s">
        <v>532</v>
      </c>
      <c r="I15" s="616"/>
      <c r="J15" s="616"/>
    </row>
    <row r="16" spans="1:11" ht="24" customHeight="1">
      <c r="B16" s="591"/>
      <c r="C16" s="591"/>
      <c r="D16" s="591"/>
      <c r="E16" s="606"/>
      <c r="F16" s="607"/>
      <c r="G16" s="608"/>
      <c r="H16" s="616"/>
      <c r="I16" s="616"/>
      <c r="J16" s="616"/>
    </row>
    <row r="17" spans="2:11" ht="24" customHeight="1">
      <c r="B17" s="588" t="s">
        <v>93</v>
      </c>
      <c r="C17" s="589"/>
      <c r="D17" s="589"/>
      <c r="E17" s="617" t="s">
        <v>542</v>
      </c>
      <c r="F17" s="610"/>
      <c r="G17" s="610"/>
      <c r="H17" s="610"/>
      <c r="I17" s="610"/>
      <c r="J17" s="611"/>
    </row>
    <row r="18" spans="2:11" ht="24" customHeight="1">
      <c r="B18" s="589"/>
      <c r="C18" s="589"/>
      <c r="D18" s="589"/>
      <c r="E18" s="612"/>
      <c r="F18" s="613"/>
      <c r="G18" s="613"/>
      <c r="H18" s="613"/>
      <c r="I18" s="613"/>
      <c r="J18" s="614"/>
    </row>
    <row r="19" spans="2:11" ht="10.5" customHeight="1">
      <c r="B19" s="444"/>
      <c r="C19" s="443"/>
      <c r="D19" s="443"/>
      <c r="E19" s="443"/>
      <c r="F19" s="443"/>
      <c r="G19" s="443"/>
      <c r="H19" s="443"/>
      <c r="I19" s="443"/>
      <c r="J19" s="443"/>
      <c r="K19" s="443"/>
    </row>
    <row r="20" spans="2:11" ht="24" customHeight="1">
      <c r="B20" s="443"/>
      <c r="C20" s="443"/>
      <c r="D20" s="443"/>
      <c r="E20" s="443"/>
      <c r="F20" s="443"/>
      <c r="G20" s="443"/>
      <c r="H20" s="443"/>
      <c r="I20" s="443"/>
      <c r="J20" s="443"/>
      <c r="K20" s="443"/>
    </row>
    <row r="21" spans="2:11" ht="24" customHeight="1">
      <c r="B21" s="443"/>
      <c r="C21" s="443"/>
      <c r="D21" s="443"/>
      <c r="E21" s="443"/>
      <c r="F21" s="443"/>
      <c r="G21" s="443"/>
      <c r="H21" s="443"/>
      <c r="I21" s="443"/>
      <c r="J21" s="443"/>
      <c r="K21" s="443"/>
    </row>
    <row r="22" spans="2:11" ht="24" customHeight="1">
      <c r="B22" s="443"/>
      <c r="C22" s="443"/>
      <c r="D22" s="443"/>
      <c r="E22" s="443"/>
      <c r="F22" s="443"/>
      <c r="G22" s="443"/>
      <c r="H22" s="443"/>
      <c r="I22" s="443"/>
      <c r="J22" s="443"/>
      <c r="K22" s="443"/>
    </row>
    <row r="23" spans="2:11" ht="24" customHeight="1">
      <c r="B23" s="443"/>
      <c r="C23" s="443"/>
      <c r="D23" s="443"/>
      <c r="E23" s="443"/>
      <c r="F23" s="443"/>
      <c r="G23" s="443"/>
      <c r="H23" s="443"/>
      <c r="I23" s="443"/>
      <c r="J23" s="443"/>
      <c r="K23" s="443"/>
    </row>
    <row r="24" spans="2:11" ht="24" customHeight="1">
      <c r="B24" s="443"/>
      <c r="C24" s="443"/>
      <c r="D24" s="443"/>
      <c r="E24" s="443"/>
      <c r="F24" s="443"/>
      <c r="G24" s="443"/>
      <c r="H24" s="443"/>
      <c r="I24" s="443"/>
      <c r="J24" s="443"/>
      <c r="K24" s="443"/>
    </row>
    <row r="25" spans="2:11" ht="24" customHeight="1">
      <c r="B25" s="443"/>
      <c r="C25" s="443"/>
      <c r="D25" s="443"/>
      <c r="E25" s="443"/>
      <c r="F25" s="443"/>
      <c r="G25" s="443"/>
      <c r="H25" s="443"/>
      <c r="I25" s="443"/>
      <c r="J25" s="443"/>
      <c r="K25" s="443"/>
    </row>
    <row r="26" spans="2:11" ht="24" customHeight="1">
      <c r="B26" s="443"/>
      <c r="C26" s="443"/>
      <c r="D26" s="443"/>
      <c r="E26" s="443"/>
      <c r="F26" s="443"/>
      <c r="G26" s="443"/>
      <c r="H26" s="443"/>
      <c r="I26" s="443"/>
      <c r="J26" s="443"/>
      <c r="K26" s="443"/>
    </row>
    <row r="27" spans="2:11" ht="24" customHeight="1">
      <c r="B27" s="443"/>
      <c r="C27" s="443"/>
      <c r="D27" s="443"/>
      <c r="E27" s="443"/>
      <c r="F27" s="443"/>
      <c r="G27" s="443"/>
      <c r="H27" s="443"/>
      <c r="I27" s="443"/>
      <c r="J27" s="443"/>
      <c r="K27" s="443"/>
    </row>
    <row r="28" spans="2:11" ht="24" customHeight="1">
      <c r="B28" s="443"/>
      <c r="C28" s="443"/>
      <c r="D28" s="443"/>
      <c r="E28" s="443"/>
      <c r="F28" s="443"/>
      <c r="G28" s="443"/>
      <c r="H28" s="443"/>
      <c r="I28" s="443"/>
      <c r="J28" s="443"/>
      <c r="K28" s="443"/>
    </row>
    <row r="29" spans="2:11" ht="24" customHeight="1">
      <c r="B29" s="443"/>
      <c r="C29" s="443"/>
      <c r="D29" s="443"/>
      <c r="E29" s="443"/>
      <c r="F29" s="443"/>
      <c r="G29" s="443"/>
      <c r="H29" s="443"/>
      <c r="I29" s="443"/>
      <c r="J29" s="443"/>
      <c r="K29" s="443"/>
    </row>
    <row r="30" spans="2:11" ht="24" customHeight="1">
      <c r="B30" s="443"/>
      <c r="C30" s="443"/>
      <c r="D30" s="443"/>
      <c r="E30" s="443"/>
      <c r="F30" s="443"/>
      <c r="G30" s="443"/>
      <c r="H30" s="443"/>
      <c r="I30" s="443"/>
      <c r="J30" s="443"/>
      <c r="K30" s="443"/>
    </row>
    <row r="31" spans="2:11" ht="24" customHeight="1">
      <c r="B31" s="443"/>
      <c r="C31" s="443"/>
      <c r="D31" s="443"/>
      <c r="E31" s="443"/>
      <c r="F31" s="443"/>
      <c r="G31" s="443"/>
      <c r="H31" s="443"/>
      <c r="I31" s="443"/>
      <c r="J31" s="443"/>
      <c r="K31" s="443"/>
    </row>
    <row r="32" spans="2:11" ht="24" customHeight="1">
      <c r="B32" s="443"/>
      <c r="C32" s="443"/>
      <c r="D32" s="443"/>
      <c r="E32" s="443"/>
      <c r="F32" s="443"/>
      <c r="G32" s="443"/>
      <c r="H32" s="443"/>
      <c r="I32" s="443"/>
      <c r="J32" s="443"/>
      <c r="K32" s="443"/>
    </row>
    <row r="33" spans="2:11" ht="24" customHeight="1">
      <c r="B33" s="443"/>
      <c r="C33" s="443"/>
      <c r="D33" s="443"/>
      <c r="E33" s="443"/>
      <c r="F33" s="443"/>
      <c r="G33" s="443"/>
      <c r="H33" s="443"/>
      <c r="I33" s="443"/>
      <c r="J33" s="443"/>
      <c r="K33" s="443"/>
    </row>
    <row r="34" spans="2:11" ht="24" customHeight="1">
      <c r="B34" s="443"/>
      <c r="C34" s="443"/>
      <c r="D34" s="443"/>
      <c r="E34" s="443"/>
      <c r="F34" s="443"/>
      <c r="G34" s="443"/>
      <c r="H34" s="443"/>
      <c r="I34" s="443"/>
      <c r="J34" s="443"/>
      <c r="K34" s="443"/>
    </row>
    <row r="35" spans="2:11" ht="24" customHeight="1">
      <c r="B35" s="443"/>
      <c r="C35" s="443"/>
      <c r="D35" s="443"/>
      <c r="E35" s="443"/>
      <c r="F35" s="443"/>
      <c r="G35" s="443"/>
      <c r="H35" s="443"/>
      <c r="I35" s="443"/>
      <c r="J35" s="443"/>
      <c r="K35" s="443"/>
    </row>
    <row r="36" spans="2:11" ht="24" customHeight="1">
      <c r="B36" s="443"/>
      <c r="C36" s="443"/>
      <c r="D36" s="443"/>
      <c r="E36" s="443"/>
      <c r="F36" s="443"/>
      <c r="G36" s="443"/>
      <c r="H36" s="443"/>
      <c r="I36" s="443"/>
      <c r="J36" s="443"/>
      <c r="K36" s="443"/>
    </row>
    <row r="37" spans="2:11" ht="12" customHeight="1">
      <c r="B37" s="443"/>
      <c r="C37" s="443"/>
      <c r="D37" s="443"/>
      <c r="E37" s="443"/>
      <c r="F37" s="443"/>
      <c r="G37" s="443"/>
      <c r="H37" s="443"/>
      <c r="I37" s="443"/>
      <c r="J37" s="443"/>
      <c r="K37" s="443"/>
    </row>
    <row r="38" spans="2:11" ht="24" customHeight="1">
      <c r="B38" s="19"/>
      <c r="C38" s="19"/>
      <c r="D38" s="19"/>
      <c r="E38" s="19"/>
      <c r="F38" s="19"/>
      <c r="G38" s="19"/>
      <c r="H38" s="19"/>
      <c r="I38" s="19"/>
      <c r="J38" s="19"/>
      <c r="K38" s="19"/>
    </row>
    <row r="39" spans="2:11" ht="24" customHeight="1"/>
    <row r="40" spans="2:11" ht="24" customHeight="1"/>
    <row r="41" spans="2:11" ht="24" customHeight="1"/>
    <row r="42" spans="2:11" ht="24" customHeight="1"/>
    <row r="43" spans="2:11" ht="24" customHeight="1"/>
    <row r="44" spans="2:11" ht="24" customHeight="1"/>
    <row r="45" spans="2:11" ht="24" customHeight="1"/>
    <row r="46" spans="2:11" ht="24" customHeight="1"/>
    <row r="47" spans="2:11" ht="24" customHeight="1"/>
    <row r="48" spans="2:11" ht="24" customHeight="1"/>
  </sheetData>
  <mergeCells count="16">
    <mergeCell ref="A1:K2"/>
    <mergeCell ref="A4:K5"/>
    <mergeCell ref="B17:D18"/>
    <mergeCell ref="B9:D10"/>
    <mergeCell ref="B13:D14"/>
    <mergeCell ref="B15:D16"/>
    <mergeCell ref="B11:I11"/>
    <mergeCell ref="E13:G13"/>
    <mergeCell ref="H13:J13"/>
    <mergeCell ref="E14:G14"/>
    <mergeCell ref="H14:J14"/>
    <mergeCell ref="G7:J7"/>
    <mergeCell ref="E15:G16"/>
    <mergeCell ref="E9:J10"/>
    <mergeCell ref="H15:J16"/>
    <mergeCell ref="E17:J18"/>
  </mergeCells>
  <phoneticPr fontId="1"/>
  <pageMargins left="0.51181102362204722" right="0.51181102362204722" top="0.74803149606299213" bottom="0.74803149606299213" header="0.31496062992125984" footer="0.31496062992125984"/>
  <pageSetup paperSize="9"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390CC-2691-4262-B5C8-0D7E0DE1CC8F}">
  <dimension ref="A1:AQ868"/>
  <sheetViews>
    <sheetView view="pageBreakPreview" zoomScaleNormal="100" zoomScaleSheetLayoutView="100" workbookViewId="0">
      <selection activeCell="AU43" sqref="AU43"/>
    </sheetView>
  </sheetViews>
  <sheetFormatPr defaultColWidth="9" defaultRowHeight="13.5"/>
  <cols>
    <col min="1" max="485" width="2.625" style="128" customWidth="1"/>
    <col min="486" max="16384" width="9" style="128"/>
  </cols>
  <sheetData>
    <row r="1" spans="1:43" ht="18" customHeight="1">
      <c r="A1" s="279"/>
      <c r="B1" s="280" t="s">
        <v>387</v>
      </c>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row>
    <row r="2" spans="1:43" ht="18" customHeight="1">
      <c r="A2" s="279"/>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row>
    <row r="3" spans="1:43" ht="18" customHeight="1">
      <c r="A3" s="279"/>
      <c r="B3" s="1135" t="s">
        <v>388</v>
      </c>
      <c r="C3" s="1135"/>
      <c r="D3" s="1135"/>
      <c r="E3" s="1135"/>
      <c r="F3" s="1135"/>
      <c r="G3" s="1135"/>
      <c r="H3" s="1135"/>
      <c r="I3" s="1135"/>
      <c r="J3" s="1135"/>
      <c r="K3" s="1135"/>
      <c r="L3" s="1135"/>
      <c r="M3" s="1135"/>
      <c r="N3" s="1135"/>
      <c r="O3" s="1135"/>
      <c r="P3" s="1135"/>
      <c r="Q3" s="1135"/>
      <c r="R3" s="1135"/>
      <c r="S3" s="1135"/>
      <c r="T3" s="1135"/>
      <c r="U3" s="1135"/>
      <c r="V3" s="1135"/>
      <c r="W3" s="1135"/>
      <c r="X3" s="1135"/>
      <c r="Y3" s="1135"/>
      <c r="Z3" s="1135"/>
      <c r="AA3" s="1135"/>
      <c r="AB3" s="1135"/>
      <c r="AC3" s="1135"/>
      <c r="AD3" s="1135"/>
      <c r="AE3" s="1135"/>
      <c r="AF3" s="1135"/>
      <c r="AG3" s="1135"/>
      <c r="AH3" s="279"/>
      <c r="AI3" s="279"/>
    </row>
    <row r="4" spans="1:43" ht="18" customHeight="1">
      <c r="A4" s="279"/>
      <c r="B4" s="279"/>
      <c r="C4" s="279"/>
      <c r="D4" s="279"/>
      <c r="E4" s="279"/>
      <c r="F4" s="279"/>
      <c r="G4" s="279"/>
      <c r="H4" s="279"/>
      <c r="I4" s="279"/>
      <c r="J4" s="279"/>
      <c r="K4" s="279"/>
      <c r="L4" s="279"/>
      <c r="M4" s="279"/>
      <c r="N4" s="279"/>
      <c r="O4" s="279"/>
      <c r="P4" s="279"/>
      <c r="Q4" s="279"/>
      <c r="R4" s="279"/>
      <c r="S4" s="279"/>
      <c r="T4" s="279"/>
      <c r="U4" s="279"/>
      <c r="V4" s="279"/>
      <c r="W4" s="279"/>
      <c r="X4" s="279"/>
      <c r="Y4" s="279"/>
      <c r="Z4" s="279"/>
      <c r="AA4" s="279"/>
      <c r="AB4" s="279"/>
      <c r="AC4" s="279"/>
      <c r="AD4" s="279"/>
      <c r="AE4" s="279"/>
      <c r="AF4" s="279"/>
      <c r="AG4" s="279"/>
      <c r="AH4" s="279"/>
      <c r="AI4" s="279"/>
    </row>
    <row r="5" spans="1:43" ht="18" customHeight="1">
      <c r="A5" s="279"/>
      <c r="B5" s="279"/>
      <c r="C5" s="279"/>
      <c r="D5" s="279"/>
      <c r="E5" s="279"/>
      <c r="F5" s="279"/>
      <c r="G5" s="279"/>
      <c r="H5" s="279"/>
      <c r="I5" s="279"/>
      <c r="J5" s="279"/>
      <c r="K5" s="279"/>
      <c r="L5" s="279"/>
      <c r="M5" s="279"/>
      <c r="N5" s="279"/>
      <c r="O5" s="279"/>
      <c r="P5" s="279"/>
      <c r="Q5" s="279"/>
      <c r="R5" s="279"/>
      <c r="S5" s="279"/>
      <c r="T5" s="281" t="s">
        <v>352</v>
      </c>
      <c r="U5" s="365" t="s">
        <v>353</v>
      </c>
      <c r="V5" s="1136" t="s">
        <v>433</v>
      </c>
      <c r="W5" s="1136"/>
      <c r="X5" s="1136"/>
      <c r="Y5" s="1136"/>
      <c r="Z5" s="1136"/>
      <c r="AA5" s="1136"/>
      <c r="AB5" s="1136"/>
      <c r="AC5" s="1136"/>
      <c r="AD5" s="1136"/>
      <c r="AE5" s="1136"/>
      <c r="AF5" s="1136"/>
      <c r="AG5" s="1136"/>
      <c r="AH5" s="1136"/>
      <c r="AI5" s="279"/>
    </row>
    <row r="6" spans="1:43">
      <c r="A6" s="279"/>
      <c r="B6" s="279"/>
      <c r="C6" s="279"/>
      <c r="D6" s="279"/>
      <c r="E6" s="279"/>
      <c r="F6" s="279"/>
      <c r="G6" s="279"/>
      <c r="H6" s="279"/>
      <c r="I6" s="279"/>
      <c r="J6" s="279"/>
      <c r="K6" s="279"/>
      <c r="L6" s="279"/>
      <c r="M6" s="279"/>
      <c r="N6" s="279"/>
      <c r="O6" s="279"/>
      <c r="P6" s="279"/>
      <c r="Q6" s="279"/>
      <c r="R6" s="279"/>
      <c r="S6" s="279"/>
      <c r="T6" s="279"/>
      <c r="U6" s="282"/>
      <c r="V6" s="283"/>
      <c r="W6" s="283"/>
      <c r="X6" s="283"/>
      <c r="Y6" s="283"/>
      <c r="Z6" s="283"/>
      <c r="AA6" s="283"/>
      <c r="AB6" s="283"/>
      <c r="AC6" s="283"/>
      <c r="AD6" s="283"/>
      <c r="AE6" s="283"/>
      <c r="AF6" s="283"/>
      <c r="AG6" s="283"/>
      <c r="AH6" s="283"/>
      <c r="AI6" s="279"/>
    </row>
    <row r="7" spans="1:43" ht="18" customHeight="1">
      <c r="A7" s="279"/>
      <c r="B7" s="279"/>
      <c r="C7" s="279"/>
      <c r="D7" s="279"/>
      <c r="E7" s="279"/>
      <c r="F7" s="279"/>
      <c r="G7" s="279"/>
      <c r="H7" s="279"/>
      <c r="I7" s="279"/>
      <c r="J7" s="279"/>
      <c r="K7" s="279"/>
      <c r="L7" s="279"/>
      <c r="M7" s="279"/>
      <c r="N7" s="279"/>
      <c r="O7" s="279"/>
      <c r="P7" s="279"/>
      <c r="Q7" s="279"/>
      <c r="R7" s="279"/>
      <c r="S7" s="279"/>
      <c r="T7" s="281" t="s">
        <v>354</v>
      </c>
      <c r="U7" s="282" t="s">
        <v>353</v>
      </c>
      <c r="V7" s="1137" t="str">
        <f>鑑!G7</f>
        <v>はぐくみ学童クラブ</v>
      </c>
      <c r="W7" s="1137"/>
      <c r="X7" s="1137"/>
      <c r="Y7" s="1137"/>
      <c r="Z7" s="1137"/>
      <c r="AA7" s="1137"/>
      <c r="AB7" s="1137"/>
      <c r="AC7" s="1137"/>
      <c r="AD7" s="1137"/>
      <c r="AE7" s="1137"/>
      <c r="AF7" s="1137"/>
      <c r="AG7" s="1137"/>
      <c r="AH7" s="1137"/>
      <c r="AI7" s="279"/>
    </row>
    <row r="8" spans="1:43" ht="18" customHeight="1">
      <c r="A8" s="279"/>
      <c r="B8" s="279"/>
      <c r="C8" s="279"/>
      <c r="D8" s="279"/>
      <c r="E8" s="279"/>
      <c r="F8" s="279"/>
      <c r="G8" s="279"/>
      <c r="H8" s="279"/>
      <c r="I8" s="279"/>
      <c r="J8" s="279"/>
      <c r="K8" s="279"/>
      <c r="L8" s="279"/>
      <c r="M8" s="279"/>
      <c r="N8" s="279"/>
      <c r="O8" s="279"/>
      <c r="P8" s="279"/>
      <c r="Q8" s="279"/>
      <c r="R8" s="279"/>
      <c r="S8" s="279"/>
      <c r="T8" s="279"/>
      <c r="U8" s="279"/>
      <c r="V8" s="279"/>
      <c r="W8" s="279"/>
      <c r="X8" s="279"/>
      <c r="Y8" s="279"/>
      <c r="Z8" s="279"/>
      <c r="AA8" s="279"/>
      <c r="AB8" s="279"/>
      <c r="AC8" s="279"/>
      <c r="AD8" s="279"/>
      <c r="AE8" s="279"/>
      <c r="AF8" s="279"/>
      <c r="AG8" s="279"/>
      <c r="AH8" s="279"/>
      <c r="AI8" s="279"/>
    </row>
    <row r="9" spans="1:43" ht="18" customHeight="1" thickBot="1">
      <c r="A9" s="279"/>
      <c r="B9" s="280" t="s">
        <v>355</v>
      </c>
      <c r="C9" s="279"/>
      <c r="D9" s="279"/>
      <c r="E9" s="279"/>
      <c r="F9" s="279"/>
      <c r="G9" s="279"/>
      <c r="H9" s="279"/>
      <c r="I9" s="279"/>
      <c r="J9" s="279"/>
      <c r="K9" s="279"/>
      <c r="L9" s="279"/>
      <c r="M9" s="279"/>
      <c r="N9" s="279"/>
      <c r="O9" s="279"/>
      <c r="P9" s="279"/>
      <c r="Q9" s="279"/>
      <c r="R9" s="279"/>
      <c r="S9" s="279"/>
      <c r="T9" s="279"/>
      <c r="U9" s="279"/>
      <c r="V9" s="279"/>
      <c r="W9" s="279"/>
      <c r="X9" s="279"/>
      <c r="Y9" s="279"/>
      <c r="Z9" s="279"/>
      <c r="AA9" s="279"/>
      <c r="AB9" s="279"/>
      <c r="AC9" s="279"/>
      <c r="AD9" s="279"/>
      <c r="AE9" s="279"/>
      <c r="AF9" s="279"/>
      <c r="AG9" s="279"/>
      <c r="AH9" s="279"/>
      <c r="AI9" s="279"/>
    </row>
    <row r="10" spans="1:43" ht="18" customHeight="1">
      <c r="A10" s="279"/>
      <c r="B10" s="1138" t="s">
        <v>356</v>
      </c>
      <c r="C10" s="1139"/>
      <c r="D10" s="1139"/>
      <c r="E10" s="1139"/>
      <c r="F10" s="1139"/>
      <c r="G10" s="1139"/>
      <c r="H10" s="1139"/>
      <c r="I10" s="1139"/>
      <c r="J10" s="1139"/>
      <c r="K10" s="1139"/>
      <c r="L10" s="1139"/>
      <c r="M10" s="1139"/>
      <c r="N10" s="1139"/>
      <c r="O10" s="1139"/>
      <c r="P10" s="1139"/>
      <c r="Q10" s="1140"/>
      <c r="R10" s="1141" t="s">
        <v>357</v>
      </c>
      <c r="S10" s="1142"/>
      <c r="T10" s="284">
        <v>7</v>
      </c>
      <c r="U10" s="284" t="s">
        <v>358</v>
      </c>
      <c r="V10" s="1142">
        <v>4</v>
      </c>
      <c r="W10" s="1142"/>
      <c r="X10" s="284" t="s">
        <v>359</v>
      </c>
      <c r="Y10" s="1142" t="s">
        <v>360</v>
      </c>
      <c r="Z10" s="1142"/>
      <c r="AA10" s="1142" t="s">
        <v>357</v>
      </c>
      <c r="AB10" s="1142"/>
      <c r="AC10" s="284">
        <v>8</v>
      </c>
      <c r="AD10" s="284" t="s">
        <v>358</v>
      </c>
      <c r="AE10" s="1142">
        <v>3</v>
      </c>
      <c r="AF10" s="1142"/>
      <c r="AG10" s="285" t="s">
        <v>359</v>
      </c>
      <c r="AH10" s="279"/>
      <c r="AI10" s="279"/>
    </row>
    <row r="11" spans="1:43" ht="18" customHeight="1" thickBot="1">
      <c r="A11" s="279"/>
      <c r="B11" s="1160" t="s">
        <v>624</v>
      </c>
      <c r="C11" s="1161"/>
      <c r="D11" s="1161"/>
      <c r="E11" s="1161"/>
      <c r="F11" s="1161"/>
      <c r="G11" s="1161"/>
      <c r="H11" s="1161"/>
      <c r="I11" s="1161"/>
      <c r="J11" s="1161"/>
      <c r="K11" s="1161"/>
      <c r="L11" s="1161"/>
      <c r="M11" s="1161"/>
      <c r="N11" s="1161"/>
      <c r="O11" s="1161"/>
      <c r="P11" s="1161"/>
      <c r="Q11" s="1162"/>
      <c r="R11" s="1163">
        <f>'別紙様式２別添１　賃金改善内訳 '!N41</f>
        <v>686400</v>
      </c>
      <c r="S11" s="1164"/>
      <c r="T11" s="1164"/>
      <c r="U11" s="1164"/>
      <c r="V11" s="1164"/>
      <c r="W11" s="1164"/>
      <c r="X11" s="1164"/>
      <c r="Y11" s="1164"/>
      <c r="Z11" s="1164"/>
      <c r="AA11" s="1164"/>
      <c r="AB11" s="1164"/>
      <c r="AC11" s="1164"/>
      <c r="AD11" s="1164"/>
      <c r="AE11" s="1161" t="s">
        <v>0</v>
      </c>
      <c r="AF11" s="1161"/>
      <c r="AG11" s="1162"/>
      <c r="AH11" s="279"/>
      <c r="AI11" s="279"/>
    </row>
    <row r="12" spans="1:43" ht="12.95" customHeight="1">
      <c r="A12" s="279"/>
      <c r="B12" s="279"/>
      <c r="C12" s="279"/>
      <c r="D12" s="279"/>
      <c r="E12" s="279"/>
      <c r="F12" s="279"/>
      <c r="G12" s="279"/>
      <c r="H12" s="279"/>
      <c r="I12" s="279"/>
      <c r="J12" s="279"/>
      <c r="K12" s="279"/>
      <c r="L12" s="279"/>
      <c r="M12" s="279"/>
      <c r="N12" s="279"/>
      <c r="O12" s="279"/>
      <c r="P12" s="279"/>
      <c r="Q12" s="279"/>
      <c r="R12" s="279"/>
      <c r="S12" s="279"/>
      <c r="T12" s="279"/>
      <c r="U12" s="279"/>
      <c r="V12" s="279"/>
      <c r="W12" s="279"/>
      <c r="X12" s="279"/>
      <c r="Y12" s="279"/>
      <c r="Z12" s="279"/>
      <c r="AA12" s="279"/>
      <c r="AB12" s="279"/>
      <c r="AC12" s="279"/>
      <c r="AD12" s="279"/>
      <c r="AE12" s="279"/>
      <c r="AF12" s="279"/>
      <c r="AG12" s="279"/>
      <c r="AH12" s="279"/>
      <c r="AI12" s="279"/>
    </row>
    <row r="13" spans="1:43" ht="18" customHeight="1" thickBot="1">
      <c r="A13" s="279"/>
      <c r="B13" s="280" t="s">
        <v>361</v>
      </c>
      <c r="C13" s="279"/>
      <c r="D13" s="279"/>
      <c r="E13" s="279"/>
      <c r="F13" s="279"/>
      <c r="G13" s="279"/>
      <c r="H13" s="279"/>
      <c r="I13" s="279"/>
      <c r="J13" s="279"/>
      <c r="K13" s="279"/>
      <c r="L13" s="279"/>
      <c r="M13" s="279"/>
      <c r="N13" s="279"/>
      <c r="O13" s="279"/>
      <c r="P13" s="279"/>
      <c r="Q13" s="279"/>
      <c r="R13" s="279"/>
      <c r="S13" s="279"/>
      <c r="T13" s="279"/>
      <c r="U13" s="279"/>
      <c r="V13" s="279"/>
      <c r="W13" s="279"/>
      <c r="X13" s="279"/>
      <c r="Y13" s="279"/>
      <c r="Z13" s="279"/>
      <c r="AA13" s="279"/>
      <c r="AB13" s="279"/>
      <c r="AC13" s="279"/>
      <c r="AD13" s="279"/>
      <c r="AE13" s="279"/>
      <c r="AF13" s="279"/>
      <c r="AG13" s="279"/>
      <c r="AH13" s="279"/>
      <c r="AI13" s="279"/>
    </row>
    <row r="14" spans="1:43" ht="18" customHeight="1" thickBot="1">
      <c r="A14" s="279"/>
      <c r="B14" s="1165" t="s">
        <v>651</v>
      </c>
      <c r="C14" s="1166"/>
      <c r="D14" s="1166"/>
      <c r="E14" s="1166"/>
      <c r="F14" s="1166"/>
      <c r="G14" s="1166"/>
      <c r="H14" s="1166"/>
      <c r="I14" s="1166"/>
      <c r="J14" s="1166"/>
      <c r="K14" s="1166"/>
      <c r="L14" s="1166"/>
      <c r="M14" s="1166"/>
      <c r="N14" s="1166"/>
      <c r="O14" s="1166"/>
      <c r="P14" s="1166"/>
      <c r="Q14" s="1166"/>
      <c r="R14" s="1166"/>
      <c r="S14" s="1166"/>
      <c r="T14" s="1166"/>
      <c r="U14" s="1166"/>
      <c r="V14" s="1166"/>
      <c r="W14" s="1166"/>
      <c r="X14" s="1166"/>
      <c r="Y14" s="1166"/>
      <c r="Z14" s="1166"/>
      <c r="AA14" s="1166"/>
      <c r="AB14" s="1166"/>
      <c r="AC14" s="1166"/>
      <c r="AD14" s="1166"/>
      <c r="AE14" s="1166"/>
      <c r="AF14" s="1166"/>
      <c r="AG14" s="1167"/>
      <c r="AH14" s="279"/>
      <c r="AI14" s="279"/>
      <c r="AM14" s="128" t="s">
        <v>362</v>
      </c>
    </row>
    <row r="15" spans="1:43" ht="18" customHeight="1" thickBot="1">
      <c r="A15" s="279"/>
      <c r="B15" s="286"/>
      <c r="C15" s="1168" t="s">
        <v>389</v>
      </c>
      <c r="D15" s="1153"/>
      <c r="E15" s="1153"/>
      <c r="F15" s="1153"/>
      <c r="G15" s="1153"/>
      <c r="H15" s="1153"/>
      <c r="I15" s="1153"/>
      <c r="J15" s="1153"/>
      <c r="K15" s="1153"/>
      <c r="L15" s="1153"/>
      <c r="M15" s="1153"/>
      <c r="N15" s="1153"/>
      <c r="O15" s="1153"/>
      <c r="P15" s="1153"/>
      <c r="Q15" s="1154"/>
      <c r="R15" s="1169">
        <f>'別紙様式２別添１　賃金改善内訳 '!O41</f>
        <v>686400</v>
      </c>
      <c r="S15" s="1170"/>
      <c r="T15" s="1170"/>
      <c r="U15" s="1170"/>
      <c r="V15" s="1170"/>
      <c r="W15" s="1170"/>
      <c r="X15" s="1170"/>
      <c r="Y15" s="1170"/>
      <c r="Z15" s="1170"/>
      <c r="AA15" s="1170"/>
      <c r="AB15" s="1170"/>
      <c r="AC15" s="1170"/>
      <c r="AD15" s="1170"/>
      <c r="AE15" s="1171" t="s">
        <v>0</v>
      </c>
      <c r="AF15" s="1171"/>
      <c r="AG15" s="1172"/>
      <c r="AH15" s="279"/>
      <c r="AI15" s="279"/>
      <c r="AM15" s="1157" t="str">
        <f>IF(R17&gt;=2/3,"○","×")</f>
        <v>○</v>
      </c>
      <c r="AN15" s="1158"/>
      <c r="AO15" s="1158"/>
      <c r="AP15" s="1159"/>
      <c r="AQ15" s="128" t="s">
        <v>363</v>
      </c>
    </row>
    <row r="16" spans="1:43" ht="18" customHeight="1">
      <c r="A16" s="279"/>
      <c r="B16" s="286"/>
      <c r="C16" s="287"/>
      <c r="D16" s="1143" t="s">
        <v>390</v>
      </c>
      <c r="E16" s="1153"/>
      <c r="F16" s="1153"/>
      <c r="G16" s="1153"/>
      <c r="H16" s="1153"/>
      <c r="I16" s="1153"/>
      <c r="J16" s="1153"/>
      <c r="K16" s="1153"/>
      <c r="L16" s="1153"/>
      <c r="M16" s="1153"/>
      <c r="N16" s="1153"/>
      <c r="O16" s="1153"/>
      <c r="P16" s="1153"/>
      <c r="Q16" s="1154"/>
      <c r="R16" s="1149">
        <f>'別紙様式２別添１　賃金改善内訳 '!P41</f>
        <v>686400</v>
      </c>
      <c r="S16" s="1150"/>
      <c r="T16" s="1150"/>
      <c r="U16" s="1150"/>
      <c r="V16" s="1150"/>
      <c r="W16" s="1150"/>
      <c r="X16" s="1150"/>
      <c r="Y16" s="1150"/>
      <c r="Z16" s="1150"/>
      <c r="AA16" s="1150"/>
      <c r="AB16" s="1150"/>
      <c r="AC16" s="1150"/>
      <c r="AD16" s="1150"/>
      <c r="AE16" s="1153" t="s">
        <v>0</v>
      </c>
      <c r="AF16" s="1153"/>
      <c r="AG16" s="1154"/>
      <c r="AH16" s="279"/>
      <c r="AI16" s="279"/>
    </row>
    <row r="17" spans="1:42" ht="14.25" thickBot="1">
      <c r="A17" s="279"/>
      <c r="B17" s="286"/>
      <c r="C17" s="287"/>
      <c r="D17" s="1173"/>
      <c r="E17" s="1171"/>
      <c r="F17" s="1171"/>
      <c r="G17" s="1171"/>
      <c r="H17" s="1171"/>
      <c r="I17" s="1171"/>
      <c r="J17" s="1171"/>
      <c r="K17" s="1171"/>
      <c r="L17" s="1171"/>
      <c r="M17" s="1171"/>
      <c r="N17" s="1171"/>
      <c r="O17" s="1171"/>
      <c r="P17" s="1171"/>
      <c r="Q17" s="1172"/>
      <c r="R17" s="1174">
        <f>IFERROR(R16/R15,"")</f>
        <v>1</v>
      </c>
      <c r="S17" s="1175"/>
      <c r="T17" s="1175"/>
      <c r="U17" s="1175"/>
      <c r="V17" s="1175"/>
      <c r="W17" s="1175"/>
      <c r="X17" s="1175"/>
      <c r="Y17" s="1175"/>
      <c r="Z17" s="1175"/>
      <c r="AA17" s="1175"/>
      <c r="AB17" s="1175"/>
      <c r="AC17" s="1175"/>
      <c r="AD17" s="1175"/>
      <c r="AE17" s="288"/>
      <c r="AF17" s="288"/>
      <c r="AG17" s="289"/>
      <c r="AH17" s="279"/>
      <c r="AI17" s="279"/>
      <c r="AM17" s="128" t="s">
        <v>391</v>
      </c>
    </row>
    <row r="18" spans="1:42" ht="18" customHeight="1" thickBot="1">
      <c r="A18" s="279"/>
      <c r="B18" s="286"/>
      <c r="C18" s="1143" t="s">
        <v>364</v>
      </c>
      <c r="D18" s="1144"/>
      <c r="E18" s="1144"/>
      <c r="F18" s="1144"/>
      <c r="G18" s="1144"/>
      <c r="H18" s="1144"/>
      <c r="I18" s="1144"/>
      <c r="J18" s="1144"/>
      <c r="K18" s="1144"/>
      <c r="L18" s="1144"/>
      <c r="M18" s="1144"/>
      <c r="N18" s="1144"/>
      <c r="O18" s="1144"/>
      <c r="P18" s="1144"/>
      <c r="Q18" s="1145"/>
      <c r="R18" s="1149">
        <f>'別紙様式２別添１　賃金改善内訳 '!R41</f>
        <v>0</v>
      </c>
      <c r="S18" s="1150"/>
      <c r="T18" s="1150"/>
      <c r="U18" s="1150"/>
      <c r="V18" s="1150"/>
      <c r="W18" s="1150"/>
      <c r="X18" s="1150"/>
      <c r="Y18" s="1150"/>
      <c r="Z18" s="1150"/>
      <c r="AA18" s="1150"/>
      <c r="AB18" s="1150"/>
      <c r="AC18" s="1150"/>
      <c r="AD18" s="1150"/>
      <c r="AE18" s="1153" t="s">
        <v>0</v>
      </c>
      <c r="AF18" s="1153"/>
      <c r="AG18" s="1154"/>
      <c r="AH18" s="279"/>
      <c r="AI18" s="279"/>
      <c r="AM18" s="1157" t="str">
        <f>IF(R15+R18&gt;=R11,"○","×")</f>
        <v>○</v>
      </c>
      <c r="AN18" s="1158"/>
      <c r="AO18" s="1158"/>
      <c r="AP18" s="1159"/>
    </row>
    <row r="19" spans="1:42" ht="14.25" thickBot="1">
      <c r="A19" s="279"/>
      <c r="B19" s="290"/>
      <c r="C19" s="1146"/>
      <c r="D19" s="1147"/>
      <c r="E19" s="1147"/>
      <c r="F19" s="1147"/>
      <c r="G19" s="1147"/>
      <c r="H19" s="1147"/>
      <c r="I19" s="1147"/>
      <c r="J19" s="1147"/>
      <c r="K19" s="1147"/>
      <c r="L19" s="1147"/>
      <c r="M19" s="1147"/>
      <c r="N19" s="1147"/>
      <c r="O19" s="1147"/>
      <c r="P19" s="1147"/>
      <c r="Q19" s="1148"/>
      <c r="R19" s="1151"/>
      <c r="S19" s="1152"/>
      <c r="T19" s="1152"/>
      <c r="U19" s="1152"/>
      <c r="V19" s="1152"/>
      <c r="W19" s="1152"/>
      <c r="X19" s="1152"/>
      <c r="Y19" s="1152"/>
      <c r="Z19" s="1152"/>
      <c r="AA19" s="1152"/>
      <c r="AB19" s="1152"/>
      <c r="AC19" s="1152"/>
      <c r="AD19" s="1152"/>
      <c r="AE19" s="1155"/>
      <c r="AF19" s="1155"/>
      <c r="AG19" s="1156"/>
      <c r="AH19" s="279"/>
      <c r="AI19" s="279"/>
    </row>
    <row r="20" spans="1:42" ht="18" customHeight="1">
      <c r="A20" s="279"/>
      <c r="B20" s="1180" t="s">
        <v>365</v>
      </c>
      <c r="C20" s="1181"/>
      <c r="D20" s="1181"/>
      <c r="E20" s="1181"/>
      <c r="F20" s="1181"/>
      <c r="G20" s="1181"/>
      <c r="H20" s="1181"/>
      <c r="I20" s="1181"/>
      <c r="J20" s="1181"/>
      <c r="K20" s="1181"/>
      <c r="L20" s="1181"/>
      <c r="M20" s="1181"/>
      <c r="N20" s="1181"/>
      <c r="O20" s="1181"/>
      <c r="P20" s="1181"/>
      <c r="Q20" s="1182"/>
      <c r="R20" s="1184" t="s">
        <v>580</v>
      </c>
      <c r="S20" s="1185"/>
      <c r="T20" s="1185"/>
      <c r="U20" s="1185"/>
      <c r="V20" s="1185"/>
      <c r="W20" s="1185"/>
      <c r="X20" s="1185"/>
      <c r="Y20" s="1185"/>
      <c r="Z20" s="1185"/>
      <c r="AA20" s="1185"/>
      <c r="AB20" s="1185"/>
      <c r="AC20" s="1185"/>
      <c r="AD20" s="1185"/>
      <c r="AE20" s="1185"/>
      <c r="AF20" s="1185"/>
      <c r="AG20" s="1186"/>
      <c r="AH20" s="279"/>
      <c r="AI20" s="279"/>
    </row>
    <row r="21" spans="1:42" ht="14.25" thickBot="1">
      <c r="A21" s="279"/>
      <c r="B21" s="1183"/>
      <c r="C21" s="1147"/>
      <c r="D21" s="1147"/>
      <c r="E21" s="1147"/>
      <c r="F21" s="1147"/>
      <c r="G21" s="1147"/>
      <c r="H21" s="1147"/>
      <c r="I21" s="1147"/>
      <c r="J21" s="1147"/>
      <c r="K21" s="1147"/>
      <c r="L21" s="1147"/>
      <c r="M21" s="1147"/>
      <c r="N21" s="1147"/>
      <c r="O21" s="1147"/>
      <c r="P21" s="1147"/>
      <c r="Q21" s="1148"/>
      <c r="R21" s="1187"/>
      <c r="S21" s="1188"/>
      <c r="T21" s="1188"/>
      <c r="U21" s="1188"/>
      <c r="V21" s="1188"/>
      <c r="W21" s="1188"/>
      <c r="X21" s="1188"/>
      <c r="Y21" s="1188"/>
      <c r="Z21" s="1188"/>
      <c r="AA21" s="1188"/>
      <c r="AB21" s="1188"/>
      <c r="AC21" s="1188"/>
      <c r="AD21" s="1188"/>
      <c r="AE21" s="1188"/>
      <c r="AF21" s="1188"/>
      <c r="AG21" s="1189"/>
      <c r="AH21" s="279"/>
      <c r="AI21" s="279"/>
    </row>
    <row r="22" spans="1:42" ht="18" customHeight="1">
      <c r="A22" s="279"/>
      <c r="B22" s="1180" t="s">
        <v>366</v>
      </c>
      <c r="C22" s="1181"/>
      <c r="D22" s="1181"/>
      <c r="E22" s="1181"/>
      <c r="F22" s="1181"/>
      <c r="G22" s="1181"/>
      <c r="H22" s="1181"/>
      <c r="I22" s="1181"/>
      <c r="J22" s="1181"/>
      <c r="K22" s="1181"/>
      <c r="L22" s="1181"/>
      <c r="M22" s="1181"/>
      <c r="N22" s="1181"/>
      <c r="O22" s="1181"/>
      <c r="P22" s="1181"/>
      <c r="Q22" s="1181"/>
      <c r="R22" s="1184" t="s">
        <v>581</v>
      </c>
      <c r="S22" s="1185"/>
      <c r="T22" s="1185"/>
      <c r="U22" s="1185"/>
      <c r="V22" s="1185"/>
      <c r="W22" s="1185"/>
      <c r="X22" s="1185"/>
      <c r="Y22" s="1185"/>
      <c r="Z22" s="1185"/>
      <c r="AA22" s="1185"/>
      <c r="AB22" s="1185"/>
      <c r="AC22" s="1185"/>
      <c r="AD22" s="1185"/>
      <c r="AE22" s="1185"/>
      <c r="AF22" s="1185"/>
      <c r="AG22" s="1186"/>
      <c r="AH22" s="279"/>
      <c r="AI22" s="279"/>
    </row>
    <row r="23" spans="1:42" ht="14.25" thickBot="1">
      <c r="A23" s="279"/>
      <c r="B23" s="1183"/>
      <c r="C23" s="1147"/>
      <c r="D23" s="1147"/>
      <c r="E23" s="1147"/>
      <c r="F23" s="1147"/>
      <c r="G23" s="1147"/>
      <c r="H23" s="1147"/>
      <c r="I23" s="1147"/>
      <c r="J23" s="1147"/>
      <c r="K23" s="1147"/>
      <c r="L23" s="1147"/>
      <c r="M23" s="1147"/>
      <c r="N23" s="1147"/>
      <c r="O23" s="1147"/>
      <c r="P23" s="1147"/>
      <c r="Q23" s="1147"/>
      <c r="R23" s="1187"/>
      <c r="S23" s="1188"/>
      <c r="T23" s="1188"/>
      <c r="U23" s="1188"/>
      <c r="V23" s="1188"/>
      <c r="W23" s="1188"/>
      <c r="X23" s="1188"/>
      <c r="Y23" s="1188"/>
      <c r="Z23" s="1188"/>
      <c r="AA23" s="1188"/>
      <c r="AB23" s="1188"/>
      <c r="AC23" s="1188"/>
      <c r="AD23" s="1188"/>
      <c r="AE23" s="1188"/>
      <c r="AF23" s="1188"/>
      <c r="AG23" s="1189"/>
      <c r="AH23" s="279"/>
      <c r="AI23" s="279"/>
    </row>
    <row r="24" spans="1:42" s="129" customFormat="1" ht="18" customHeight="1">
      <c r="A24" s="291"/>
      <c r="B24" s="292" t="s">
        <v>367</v>
      </c>
      <c r="C24" s="293"/>
      <c r="D24" s="293"/>
      <c r="E24" s="293"/>
      <c r="F24" s="293"/>
      <c r="G24" s="293"/>
      <c r="H24" s="293"/>
      <c r="I24" s="293"/>
      <c r="J24" s="293"/>
      <c r="K24" s="293"/>
      <c r="L24" s="293"/>
      <c r="M24" s="293"/>
      <c r="N24" s="293"/>
      <c r="O24" s="293"/>
      <c r="P24" s="293"/>
      <c r="Q24" s="293"/>
      <c r="R24" s="294"/>
      <c r="S24" s="294"/>
      <c r="T24" s="294"/>
      <c r="U24" s="294"/>
      <c r="V24" s="294"/>
      <c r="W24" s="294"/>
      <c r="X24" s="294"/>
      <c r="Y24" s="294"/>
      <c r="Z24" s="294"/>
      <c r="AA24" s="294"/>
      <c r="AB24" s="294"/>
      <c r="AC24" s="294"/>
      <c r="AD24" s="294"/>
      <c r="AE24" s="294"/>
      <c r="AF24" s="294"/>
      <c r="AG24" s="294"/>
      <c r="AH24" s="291"/>
      <c r="AI24" s="291"/>
    </row>
    <row r="25" spans="1:42" s="129" customFormat="1" ht="18" customHeight="1">
      <c r="A25" s="291"/>
      <c r="B25" s="292" t="s">
        <v>392</v>
      </c>
      <c r="C25" s="293"/>
      <c r="D25" s="293"/>
      <c r="E25" s="293"/>
      <c r="F25" s="293"/>
      <c r="G25" s="293"/>
      <c r="H25" s="293"/>
      <c r="I25" s="293"/>
      <c r="J25" s="293"/>
      <c r="K25" s="293"/>
      <c r="L25" s="293"/>
      <c r="M25" s="293"/>
      <c r="N25" s="293"/>
      <c r="O25" s="293"/>
      <c r="P25" s="293"/>
      <c r="Q25" s="293"/>
      <c r="R25" s="294"/>
      <c r="S25" s="294"/>
      <c r="T25" s="294"/>
      <c r="U25" s="294"/>
      <c r="V25" s="294"/>
      <c r="W25" s="294"/>
      <c r="X25" s="294"/>
      <c r="Y25" s="294"/>
      <c r="Z25" s="294"/>
      <c r="AA25" s="294"/>
      <c r="AB25" s="294"/>
      <c r="AC25" s="294"/>
      <c r="AD25" s="294"/>
      <c r="AE25" s="294"/>
      <c r="AF25" s="294"/>
      <c r="AG25" s="294"/>
      <c r="AH25" s="291"/>
      <c r="AI25" s="291"/>
    </row>
    <row r="26" spans="1:42" ht="12.95" customHeight="1">
      <c r="A26" s="279"/>
      <c r="B26" s="279"/>
      <c r="C26" s="279"/>
      <c r="D26" s="279"/>
      <c r="E26" s="279"/>
      <c r="F26" s="279"/>
      <c r="G26" s="279"/>
      <c r="H26" s="279"/>
      <c r="I26" s="279"/>
      <c r="J26" s="279"/>
      <c r="K26" s="279"/>
      <c r="L26" s="279"/>
      <c r="M26" s="279"/>
      <c r="N26" s="279"/>
      <c r="O26" s="279"/>
      <c r="P26" s="279"/>
      <c r="Q26" s="279"/>
      <c r="R26" s="279"/>
      <c r="S26" s="279"/>
      <c r="T26" s="279"/>
      <c r="U26" s="279"/>
      <c r="V26" s="279"/>
      <c r="W26" s="279"/>
      <c r="X26" s="279"/>
      <c r="Y26" s="279"/>
      <c r="Z26" s="279"/>
      <c r="AA26" s="279"/>
      <c r="AB26" s="279"/>
      <c r="AC26" s="279"/>
      <c r="AD26" s="279"/>
      <c r="AE26" s="279"/>
      <c r="AF26" s="279"/>
      <c r="AG26" s="279"/>
      <c r="AH26" s="279"/>
      <c r="AI26" s="279"/>
    </row>
    <row r="27" spans="1:42" ht="18" customHeight="1">
      <c r="A27" s="279"/>
      <c r="B27" s="279" t="s">
        <v>368</v>
      </c>
      <c r="C27" s="279"/>
      <c r="D27" s="279"/>
      <c r="E27" s="279"/>
      <c r="F27" s="279"/>
      <c r="G27" s="279"/>
      <c r="H27" s="279"/>
      <c r="I27" s="279"/>
      <c r="J27" s="279"/>
      <c r="K27" s="279"/>
      <c r="L27" s="279"/>
      <c r="M27" s="279"/>
      <c r="N27" s="279"/>
      <c r="O27" s="279"/>
      <c r="P27" s="279"/>
      <c r="Q27" s="279"/>
      <c r="R27" s="279"/>
      <c r="S27" s="279"/>
      <c r="T27" s="279"/>
      <c r="U27" s="279"/>
      <c r="V27" s="279"/>
      <c r="W27" s="279"/>
      <c r="X27" s="279"/>
      <c r="Y27" s="279"/>
      <c r="Z27" s="279"/>
      <c r="AA27" s="279"/>
      <c r="AB27" s="279"/>
      <c r="AC27" s="279"/>
      <c r="AD27" s="279"/>
      <c r="AE27" s="279"/>
      <c r="AF27" s="279"/>
      <c r="AG27" s="279"/>
      <c r="AH27" s="279"/>
      <c r="AI27" s="279"/>
    </row>
    <row r="28" spans="1:42" ht="12.95" customHeight="1">
      <c r="A28" s="279"/>
      <c r="B28" s="279"/>
      <c r="C28" s="279"/>
      <c r="D28" s="279"/>
      <c r="E28" s="279"/>
      <c r="F28" s="279"/>
      <c r="G28" s="279"/>
      <c r="H28" s="279"/>
      <c r="I28" s="279"/>
      <c r="J28" s="279"/>
      <c r="K28" s="279"/>
      <c r="L28" s="279"/>
      <c r="M28" s="279"/>
      <c r="N28" s="279"/>
      <c r="O28" s="279"/>
      <c r="P28" s="279"/>
      <c r="Q28" s="279"/>
      <c r="R28" s="279"/>
      <c r="S28" s="279"/>
      <c r="T28" s="279"/>
      <c r="U28" s="279"/>
      <c r="V28" s="279"/>
      <c r="W28" s="279"/>
      <c r="X28" s="279"/>
      <c r="Y28" s="279"/>
      <c r="Z28" s="279"/>
      <c r="AA28" s="279"/>
      <c r="AB28" s="279"/>
      <c r="AC28" s="279"/>
      <c r="AD28" s="279"/>
      <c r="AE28" s="279"/>
      <c r="AF28" s="279"/>
      <c r="AG28" s="279"/>
      <c r="AH28" s="279"/>
      <c r="AI28" s="279"/>
    </row>
    <row r="29" spans="1:42" ht="18" customHeight="1">
      <c r="A29" s="279"/>
      <c r="B29" s="279"/>
      <c r="C29" s="279"/>
      <c r="D29" s="279"/>
      <c r="E29" s="279"/>
      <c r="F29" s="279"/>
      <c r="G29" s="279"/>
      <c r="H29" s="279"/>
      <c r="I29" s="279"/>
      <c r="J29" s="279"/>
      <c r="K29" s="279"/>
      <c r="L29" s="279"/>
      <c r="M29" s="279"/>
      <c r="N29" s="279"/>
      <c r="O29" s="279"/>
      <c r="P29" s="279"/>
      <c r="Q29" s="279"/>
      <c r="R29" s="1176" t="s">
        <v>357</v>
      </c>
      <c r="S29" s="1176"/>
      <c r="T29" s="1176">
        <v>8</v>
      </c>
      <c r="U29" s="1176"/>
      <c r="V29" s="1176" t="s">
        <v>358</v>
      </c>
      <c r="W29" s="1176"/>
      <c r="X29" s="1176">
        <v>3</v>
      </c>
      <c r="Y29" s="1176"/>
      <c r="Z29" s="1176" t="s">
        <v>359</v>
      </c>
      <c r="AA29" s="1176"/>
      <c r="AB29" s="1176">
        <v>31</v>
      </c>
      <c r="AC29" s="1176"/>
      <c r="AD29" s="1176" t="s">
        <v>26</v>
      </c>
      <c r="AE29" s="1176"/>
      <c r="AF29" s="279"/>
      <c r="AG29" s="279"/>
      <c r="AH29" s="279"/>
      <c r="AI29" s="279"/>
    </row>
    <row r="30" spans="1:42" ht="9" customHeight="1">
      <c r="A30" s="279"/>
      <c r="B30" s="279"/>
      <c r="C30" s="279"/>
      <c r="D30" s="279"/>
      <c r="E30" s="279"/>
      <c r="F30" s="279"/>
      <c r="G30" s="279"/>
      <c r="H30" s="279"/>
      <c r="I30" s="279"/>
      <c r="J30" s="279"/>
      <c r="K30" s="279"/>
      <c r="L30" s="279"/>
      <c r="M30" s="279"/>
      <c r="N30" s="279"/>
      <c r="O30" s="279"/>
      <c r="P30" s="279"/>
      <c r="Q30" s="279"/>
      <c r="R30" s="282"/>
      <c r="S30" s="282"/>
      <c r="T30" s="282"/>
      <c r="U30" s="282"/>
      <c r="V30" s="282"/>
      <c r="W30" s="282"/>
      <c r="X30" s="282"/>
      <c r="Y30" s="282"/>
      <c r="Z30" s="282"/>
      <c r="AA30" s="282"/>
      <c r="AB30" s="282"/>
      <c r="AC30" s="282"/>
      <c r="AD30" s="282"/>
      <c r="AE30" s="282"/>
      <c r="AF30" s="279"/>
      <c r="AG30" s="279"/>
      <c r="AH30" s="279"/>
      <c r="AI30" s="279"/>
    </row>
    <row r="31" spans="1:42" ht="18" customHeight="1">
      <c r="A31" s="279"/>
      <c r="B31" s="279"/>
      <c r="C31" s="279"/>
      <c r="D31" s="279"/>
      <c r="E31" s="279"/>
      <c r="F31" s="279"/>
      <c r="G31" s="279"/>
      <c r="H31" s="279"/>
      <c r="I31" s="279"/>
      <c r="J31" s="279"/>
      <c r="K31" s="279"/>
      <c r="L31" s="279"/>
      <c r="M31" s="279"/>
      <c r="N31" s="279"/>
      <c r="O31" s="279"/>
      <c r="P31" s="279"/>
      <c r="Q31" s="279"/>
      <c r="R31" s="279"/>
      <c r="S31" s="295"/>
      <c r="T31" s="295"/>
      <c r="U31" s="295"/>
      <c r="V31" s="295"/>
      <c r="W31" s="295"/>
      <c r="X31" s="295"/>
      <c r="Y31" s="281" t="s">
        <v>369</v>
      </c>
      <c r="Z31" s="295" t="s">
        <v>353</v>
      </c>
      <c r="AA31" s="1177" t="str">
        <f>V7</f>
        <v>はぐくみ学童クラブ</v>
      </c>
      <c r="AB31" s="1177"/>
      <c r="AC31" s="1177"/>
      <c r="AD31" s="1177"/>
      <c r="AE31" s="1177"/>
      <c r="AF31" s="1177"/>
      <c r="AG31" s="1177"/>
      <c r="AH31" s="1177"/>
      <c r="AI31" s="279"/>
    </row>
    <row r="32" spans="1:42" ht="9" customHeight="1">
      <c r="A32" s="279"/>
      <c r="B32" s="279"/>
      <c r="C32" s="279"/>
      <c r="D32" s="279"/>
      <c r="E32" s="279"/>
      <c r="F32" s="279"/>
      <c r="G32" s="279"/>
      <c r="H32" s="279"/>
      <c r="I32" s="279"/>
      <c r="J32" s="279"/>
      <c r="K32" s="279"/>
      <c r="L32" s="279"/>
      <c r="M32" s="279"/>
      <c r="N32" s="279"/>
      <c r="O32" s="279"/>
      <c r="P32" s="279"/>
      <c r="Q32" s="279"/>
      <c r="R32" s="281"/>
      <c r="S32" s="281"/>
      <c r="T32" s="281"/>
      <c r="U32" s="281"/>
      <c r="V32" s="281"/>
      <c r="W32" s="281"/>
      <c r="X32" s="281"/>
      <c r="Y32" s="281"/>
      <c r="Z32" s="295"/>
      <c r="AA32" s="296"/>
      <c r="AB32" s="296"/>
      <c r="AC32" s="296"/>
      <c r="AD32" s="296"/>
      <c r="AE32" s="296"/>
      <c r="AF32" s="296"/>
      <c r="AG32" s="296"/>
      <c r="AH32" s="296"/>
      <c r="AI32" s="279"/>
    </row>
    <row r="33" spans="1:35" ht="18" customHeight="1">
      <c r="A33" s="279"/>
      <c r="B33" s="279"/>
      <c r="C33" s="279"/>
      <c r="D33" s="279"/>
      <c r="E33" s="279"/>
      <c r="F33" s="279"/>
      <c r="G33" s="279"/>
      <c r="H33" s="279"/>
      <c r="I33" s="279"/>
      <c r="J33" s="279"/>
      <c r="K33" s="279"/>
      <c r="L33" s="279"/>
      <c r="M33" s="279"/>
      <c r="N33" s="279"/>
      <c r="O33" s="279"/>
      <c r="P33" s="279"/>
      <c r="Q33" s="279"/>
      <c r="R33" s="1178" t="s">
        <v>370</v>
      </c>
      <c r="S33" s="1178"/>
      <c r="T33" s="1178"/>
      <c r="U33" s="1178"/>
      <c r="V33" s="1178"/>
      <c r="W33" s="1178"/>
      <c r="X33" s="1178"/>
      <c r="Y33" s="1178"/>
      <c r="Z33" s="279" t="s">
        <v>353</v>
      </c>
      <c r="AA33" s="1179" t="str">
        <f>使わない!L13</f>
        <v>横須賀　花子</v>
      </c>
      <c r="AB33" s="1179"/>
      <c r="AC33" s="1179"/>
      <c r="AD33" s="1179"/>
      <c r="AE33" s="1179"/>
      <c r="AF33" s="1179"/>
      <c r="AG33" s="1179"/>
      <c r="AH33" s="1179"/>
      <c r="AI33" s="279"/>
    </row>
    <row r="34" spans="1:35" ht="18" customHeight="1"/>
    <row r="35" spans="1:35" ht="18" customHeight="1"/>
    <row r="36" spans="1:35" ht="18" customHeight="1"/>
    <row r="37" spans="1:35" ht="18" customHeight="1"/>
    <row r="38" spans="1:35" ht="18" customHeight="1"/>
    <row r="39" spans="1:35" ht="18" customHeight="1"/>
    <row r="40" spans="1:35" ht="18" customHeight="1"/>
    <row r="41" spans="1:35" ht="18" customHeight="1"/>
    <row r="42" spans="1:35" ht="18" customHeight="1"/>
    <row r="43" spans="1:35" ht="18" customHeight="1"/>
    <row r="44" spans="1:35" ht="18" customHeight="1"/>
    <row r="45" spans="1:35" ht="18" customHeight="1"/>
    <row r="46" spans="1:35" ht="18" customHeight="1"/>
    <row r="47" spans="1:35" ht="18" customHeight="1"/>
    <row r="48" spans="1:35"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sheetData>
  <mergeCells count="39">
    <mergeCell ref="AD29:AE29"/>
    <mergeCell ref="AA31:AH31"/>
    <mergeCell ref="R33:Y33"/>
    <mergeCell ref="AA33:AH33"/>
    <mergeCell ref="B20:Q21"/>
    <mergeCell ref="R20:AG21"/>
    <mergeCell ref="B22:Q23"/>
    <mergeCell ref="R22:AG23"/>
    <mergeCell ref="R29:S29"/>
    <mergeCell ref="T29:U29"/>
    <mergeCell ref="V29:W29"/>
    <mergeCell ref="X29:Y29"/>
    <mergeCell ref="Z29:AA29"/>
    <mergeCell ref="AB29:AC29"/>
    <mergeCell ref="C18:Q19"/>
    <mergeCell ref="R18:AD19"/>
    <mergeCell ref="AE18:AG19"/>
    <mergeCell ref="AM18:AP18"/>
    <mergeCell ref="B11:Q11"/>
    <mergeCell ref="R11:AD11"/>
    <mergeCell ref="AE11:AG11"/>
    <mergeCell ref="B14:AG14"/>
    <mergeCell ref="C15:Q15"/>
    <mergeCell ref="R15:AD15"/>
    <mergeCell ref="AE15:AG15"/>
    <mergeCell ref="AM15:AP15"/>
    <mergeCell ref="D16:Q17"/>
    <mergeCell ref="R16:AD16"/>
    <mergeCell ref="AE16:AG16"/>
    <mergeCell ref="R17:AD17"/>
    <mergeCell ref="B3:AG3"/>
    <mergeCell ref="V5:AH5"/>
    <mergeCell ref="V7:AH7"/>
    <mergeCell ref="B10:Q10"/>
    <mergeCell ref="R10:S10"/>
    <mergeCell ref="V10:W10"/>
    <mergeCell ref="Y10:Z10"/>
    <mergeCell ref="AA10:AB10"/>
    <mergeCell ref="AE10:AF10"/>
  </mergeCells>
  <phoneticPr fontId="1"/>
  <dataValidations count="2">
    <dataValidation type="list" allowBlank="1" showInputMessage="1" showErrorMessage="1" sqref="R22:AG23" xr:uid="{837B3129-2D0C-47E8-8432-01F0D1E56E61}">
      <formula1>"継続する,継続しない"</formula1>
    </dataValidation>
    <dataValidation type="list" allowBlank="1" showInputMessage="1" showErrorMessage="1" sqref="R20:AG21" xr:uid="{68F4E6CF-D854-4E7F-9B7A-B489AFF0C3B3}">
      <formula1>"周知している,周知していない"</formula1>
    </dataValidation>
  </dataValidations>
  <printOptions horizontalCentered="1"/>
  <pageMargins left="0.23622047244094491" right="0.23622047244094491" top="0.43307086614173229" bottom="0.43307086614173229" header="0.31496062992125984" footer="0.31496062992125984"/>
  <pageSetup paperSize="9" scale="8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21AD4-47C7-42E8-A933-E86570775D10}">
  <dimension ref="A1:V1846"/>
  <sheetViews>
    <sheetView view="pageBreakPreview" zoomScale="70" zoomScaleNormal="100" zoomScaleSheetLayoutView="70" workbookViewId="0">
      <selection activeCell="B6" sqref="B6"/>
    </sheetView>
  </sheetViews>
  <sheetFormatPr defaultColWidth="9" defaultRowHeight="13.5"/>
  <cols>
    <col min="1" max="1" width="2.125" style="130" customWidth="1"/>
    <col min="2" max="2" width="5.125" style="130" customWidth="1"/>
    <col min="3" max="4" width="3.625" style="130" customWidth="1"/>
    <col min="5" max="5" width="12.625" style="130" customWidth="1"/>
    <col min="6" max="7" width="15.625" style="130" customWidth="1"/>
    <col min="8" max="8" width="13.625" style="130" customWidth="1"/>
    <col min="9" max="9" width="9.375" style="130" customWidth="1"/>
    <col min="10" max="10" width="12.5" style="130" customWidth="1"/>
    <col min="11" max="11" width="15.625" style="130" customWidth="1"/>
    <col min="12" max="12" width="13.625" style="130" customWidth="1"/>
    <col min="13" max="13" width="10.625" style="130" customWidth="1"/>
    <col min="14" max="14" width="14.5" style="130" customWidth="1"/>
    <col min="15" max="15" width="14.625" style="130" customWidth="1"/>
    <col min="16" max="16" width="15.625" style="130" customWidth="1"/>
    <col min="17" max="17" width="13.625" style="130" customWidth="1"/>
    <col min="18" max="18" width="14" style="130" customWidth="1"/>
    <col min="19" max="19" width="15.625" style="130" customWidth="1"/>
    <col min="20" max="20" width="14.125" style="130" customWidth="1"/>
    <col min="21" max="23" width="15.625" style="130" customWidth="1"/>
    <col min="24" max="24" width="2.125" style="130" customWidth="1"/>
    <col min="25" max="40" width="3.625" style="130" customWidth="1"/>
    <col min="41" max="654" width="2.625" style="130" customWidth="1"/>
    <col min="655" max="16384" width="9" style="130"/>
  </cols>
  <sheetData>
    <row r="1" spans="1:22" ht="18" customHeight="1">
      <c r="A1" s="297"/>
      <c r="B1" s="280" t="s">
        <v>393</v>
      </c>
      <c r="C1" s="297"/>
      <c r="D1" s="297"/>
      <c r="E1" s="297"/>
      <c r="F1" s="297"/>
      <c r="G1" s="297"/>
      <c r="H1" s="297"/>
      <c r="I1" s="297"/>
      <c r="J1" s="297"/>
      <c r="K1" s="297"/>
      <c r="L1" s="297"/>
      <c r="M1" s="297"/>
      <c r="N1" s="297"/>
      <c r="O1" s="297"/>
      <c r="P1" s="297"/>
      <c r="Q1" s="297"/>
      <c r="R1" s="297"/>
      <c r="S1" s="297"/>
      <c r="T1" s="297"/>
      <c r="U1" s="297"/>
      <c r="V1" s="297"/>
    </row>
    <row r="2" spans="1:22" ht="18" customHeight="1">
      <c r="A2" s="297"/>
      <c r="B2" s="297"/>
      <c r="C2" s="297"/>
      <c r="D2" s="297"/>
      <c r="E2" s="297"/>
      <c r="F2" s="297"/>
      <c r="G2" s="297"/>
      <c r="H2" s="297"/>
      <c r="I2" s="297"/>
      <c r="J2" s="297"/>
      <c r="K2" s="297"/>
      <c r="L2" s="297"/>
      <c r="M2" s="297"/>
      <c r="N2" s="297"/>
      <c r="O2" s="297"/>
      <c r="P2" s="297"/>
      <c r="Q2" s="297"/>
      <c r="R2" s="297"/>
      <c r="S2" s="297"/>
      <c r="T2" s="297"/>
      <c r="U2" s="297"/>
      <c r="V2" s="297"/>
    </row>
    <row r="3" spans="1:22" ht="27" customHeight="1">
      <c r="A3" s="297"/>
      <c r="B3" s="1190" t="s">
        <v>371</v>
      </c>
      <c r="C3" s="1190"/>
      <c r="D3" s="1190"/>
      <c r="E3" s="1190"/>
      <c r="F3" s="1190"/>
      <c r="G3" s="1190"/>
      <c r="H3" s="1190"/>
      <c r="I3" s="1190"/>
      <c r="J3" s="1190"/>
      <c r="K3" s="1190"/>
      <c r="L3" s="1190"/>
      <c r="M3" s="1190"/>
      <c r="N3" s="1190"/>
      <c r="O3" s="1190"/>
      <c r="P3" s="1190"/>
      <c r="Q3" s="1190"/>
      <c r="R3" s="1190"/>
      <c r="S3" s="1190"/>
      <c r="T3" s="1190"/>
      <c r="U3" s="1190"/>
      <c r="V3" s="1190"/>
    </row>
    <row r="4" spans="1:22" ht="18" customHeight="1" thickBot="1">
      <c r="A4" s="297"/>
      <c r="B4" s="297"/>
      <c r="C4" s="297"/>
      <c r="D4" s="297"/>
      <c r="E4" s="297"/>
      <c r="F4" s="297"/>
      <c r="G4" s="297"/>
      <c r="H4" s="297"/>
      <c r="I4" s="297"/>
      <c r="J4" s="297"/>
      <c r="K4" s="297"/>
      <c r="L4" s="297"/>
      <c r="M4" s="297"/>
      <c r="N4" s="297"/>
      <c r="O4" s="297"/>
      <c r="P4" s="297"/>
      <c r="Q4" s="297"/>
      <c r="R4" s="297"/>
      <c r="S4" s="297"/>
      <c r="T4" s="297"/>
      <c r="U4" s="297"/>
      <c r="V4" s="297"/>
    </row>
    <row r="5" spans="1:22" ht="18" customHeight="1" thickBot="1">
      <c r="A5" s="297"/>
      <c r="B5" s="297"/>
      <c r="C5" s="297"/>
      <c r="D5" s="297"/>
      <c r="E5" s="297"/>
      <c r="F5" s="297"/>
      <c r="G5" s="297"/>
      <c r="H5" s="297"/>
      <c r="I5" s="297"/>
      <c r="J5" s="297"/>
      <c r="K5" s="297"/>
      <c r="L5" s="297"/>
      <c r="M5" s="297"/>
      <c r="N5" s="297"/>
      <c r="O5" s="297"/>
      <c r="P5" s="297"/>
      <c r="Q5" s="297"/>
      <c r="R5" s="298" t="s">
        <v>354</v>
      </c>
      <c r="S5" s="1191" t="str">
        <f>鑑!G7</f>
        <v>はぐくみ学童クラブ</v>
      </c>
      <c r="T5" s="1192"/>
      <c r="U5" s="364"/>
      <c r="V5" s="297"/>
    </row>
    <row r="6" spans="1:22" ht="18" customHeight="1" thickBot="1">
      <c r="A6" s="297"/>
      <c r="B6" s="297" t="s">
        <v>652</v>
      </c>
      <c r="C6" s="297"/>
      <c r="D6" s="297"/>
      <c r="E6" s="297"/>
      <c r="F6" s="297"/>
      <c r="G6" s="297"/>
      <c r="H6" s="297"/>
      <c r="I6" s="297"/>
      <c r="J6" s="297"/>
      <c r="K6" s="297"/>
      <c r="L6" s="297"/>
      <c r="M6" s="297"/>
      <c r="N6" s="297"/>
      <c r="O6" s="297"/>
      <c r="P6" s="297"/>
      <c r="Q6" s="297"/>
      <c r="R6" s="297"/>
      <c r="S6" s="297"/>
      <c r="T6" s="297"/>
      <c r="U6" s="297"/>
      <c r="V6" s="297"/>
    </row>
    <row r="7" spans="1:22" ht="27" customHeight="1">
      <c r="A7" s="297"/>
      <c r="B7" s="1193" t="s">
        <v>372</v>
      </c>
      <c r="C7" s="1196" t="s">
        <v>373</v>
      </c>
      <c r="D7" s="1197"/>
      <c r="E7" s="1198"/>
      <c r="F7" s="1205" t="s">
        <v>374</v>
      </c>
      <c r="G7" s="1205" t="s">
        <v>375</v>
      </c>
      <c r="H7" s="1205" t="s">
        <v>376</v>
      </c>
      <c r="I7" s="1205" t="s">
        <v>377</v>
      </c>
      <c r="J7" s="1208" t="s">
        <v>378</v>
      </c>
      <c r="K7" s="1209"/>
      <c r="L7" s="1210"/>
      <c r="M7" s="1205" t="s">
        <v>379</v>
      </c>
      <c r="N7" s="1205" t="s">
        <v>380</v>
      </c>
      <c r="O7" s="299" t="s">
        <v>623</v>
      </c>
      <c r="P7" s="300"/>
      <c r="Q7" s="301"/>
      <c r="R7" s="1205" t="s">
        <v>381</v>
      </c>
      <c r="S7" s="1205" t="s">
        <v>394</v>
      </c>
      <c r="T7" s="1193" t="s">
        <v>382</v>
      </c>
      <c r="U7" s="297"/>
      <c r="V7" s="297"/>
    </row>
    <row r="8" spans="1:22" ht="27" customHeight="1">
      <c r="A8" s="297"/>
      <c r="B8" s="1194"/>
      <c r="C8" s="1199"/>
      <c r="D8" s="1200"/>
      <c r="E8" s="1201"/>
      <c r="F8" s="1206"/>
      <c r="G8" s="1206"/>
      <c r="H8" s="1206"/>
      <c r="I8" s="1206"/>
      <c r="J8" s="1211" t="s">
        <v>468</v>
      </c>
      <c r="K8" s="1213" t="s">
        <v>469</v>
      </c>
      <c r="L8" s="1215" t="s">
        <v>383</v>
      </c>
      <c r="M8" s="1206"/>
      <c r="N8" s="1206"/>
      <c r="O8" s="302"/>
      <c r="P8" s="1217" t="s">
        <v>384</v>
      </c>
      <c r="Q8" s="1219" t="s">
        <v>385</v>
      </c>
      <c r="R8" s="1206"/>
      <c r="S8" s="1206"/>
      <c r="T8" s="1194"/>
      <c r="U8" s="297"/>
      <c r="V8" s="297"/>
    </row>
    <row r="9" spans="1:22" ht="15" customHeight="1" thickBot="1">
      <c r="A9" s="297"/>
      <c r="B9" s="1195"/>
      <c r="C9" s="1202"/>
      <c r="D9" s="1203"/>
      <c r="E9" s="1204"/>
      <c r="F9" s="1207"/>
      <c r="G9" s="1207"/>
      <c r="H9" s="1207"/>
      <c r="I9" s="1207"/>
      <c r="J9" s="1212"/>
      <c r="K9" s="1214"/>
      <c r="L9" s="1216"/>
      <c r="M9" s="1207"/>
      <c r="N9" s="1207"/>
      <c r="O9" s="303"/>
      <c r="P9" s="1218"/>
      <c r="Q9" s="1220"/>
      <c r="R9" s="1207"/>
      <c r="S9" s="1207"/>
      <c r="T9" s="1195"/>
      <c r="U9" s="297"/>
      <c r="V9" s="297"/>
    </row>
    <row r="10" spans="1:22" ht="18" customHeight="1">
      <c r="A10" s="297"/>
      <c r="B10" s="304"/>
      <c r="C10" s="1224"/>
      <c r="D10" s="1225"/>
      <c r="E10" s="1226"/>
      <c r="F10" s="305"/>
      <c r="G10" s="305"/>
      <c r="H10" s="305"/>
      <c r="I10" s="306"/>
      <c r="J10" s="307"/>
      <c r="K10" s="173">
        <v>160</v>
      </c>
      <c r="L10" s="308"/>
      <c r="M10" s="309"/>
      <c r="N10" s="305"/>
      <c r="O10" s="310"/>
      <c r="P10" s="311"/>
      <c r="Q10" s="312"/>
      <c r="R10" s="1205"/>
      <c r="S10" s="309"/>
      <c r="T10" s="305"/>
      <c r="U10" s="297"/>
      <c r="V10" s="297"/>
    </row>
    <row r="11" spans="1:22" ht="18" customHeight="1">
      <c r="A11" s="297"/>
      <c r="B11" s="313">
        <v>1</v>
      </c>
      <c r="C11" s="1227" t="s">
        <v>543</v>
      </c>
      <c r="D11" s="1228"/>
      <c r="E11" s="1229"/>
      <c r="F11" s="435" t="s">
        <v>585</v>
      </c>
      <c r="G11" s="436" t="s">
        <v>590</v>
      </c>
      <c r="H11" s="314">
        <v>11000</v>
      </c>
      <c r="I11" s="315">
        <f t="shared" ref="I11:I40" si="0">IF(G11="常勤職員",1,"")</f>
        <v>1</v>
      </c>
      <c r="J11" s="164"/>
      <c r="K11" s="316">
        <f t="shared" ref="K11:K40" si="1">$K$10</f>
        <v>160</v>
      </c>
      <c r="L11" s="317">
        <f>IFERROR(ROUND(J11/K11,1),"")</f>
        <v>0</v>
      </c>
      <c r="M11" s="165">
        <v>12</v>
      </c>
      <c r="N11" s="318">
        <f t="shared" ref="N11:N40" si="2">IFERROR(IF(G11="常勤職員",H11*I11*M11,H11*L11*M11),"")</f>
        <v>132000</v>
      </c>
      <c r="O11" s="166">
        <v>132000</v>
      </c>
      <c r="P11" s="167">
        <v>132000</v>
      </c>
      <c r="Q11" s="319">
        <f>O11-P11</f>
        <v>0</v>
      </c>
      <c r="R11" s="1206"/>
      <c r="S11" s="320">
        <f>IFERROR(ROUND(O11/M11,0),"")</f>
        <v>11000</v>
      </c>
      <c r="T11" s="171"/>
      <c r="U11" s="297"/>
      <c r="V11" s="297"/>
    </row>
    <row r="12" spans="1:22" ht="18" customHeight="1">
      <c r="A12" s="297"/>
      <c r="B12" s="321">
        <v>2</v>
      </c>
      <c r="C12" s="1221" t="s">
        <v>539</v>
      </c>
      <c r="D12" s="1222"/>
      <c r="E12" s="1223"/>
      <c r="F12" s="435" t="s">
        <v>585</v>
      </c>
      <c r="G12" s="436" t="s">
        <v>590</v>
      </c>
      <c r="H12" s="314">
        <v>11000</v>
      </c>
      <c r="I12" s="322">
        <f t="shared" si="0"/>
        <v>1</v>
      </c>
      <c r="J12" s="164"/>
      <c r="K12" s="316">
        <f t="shared" si="1"/>
        <v>160</v>
      </c>
      <c r="L12" s="317">
        <f>IFERROR(ROUND(J12/K12,1),"")</f>
        <v>0</v>
      </c>
      <c r="M12" s="165">
        <v>12</v>
      </c>
      <c r="N12" s="323">
        <f t="shared" si="2"/>
        <v>132000</v>
      </c>
      <c r="O12" s="168">
        <v>132000</v>
      </c>
      <c r="P12" s="169">
        <v>132000</v>
      </c>
      <c r="Q12" s="319">
        <f t="shared" ref="Q12:Q40" si="3">O12-P12</f>
        <v>0</v>
      </c>
      <c r="R12" s="1206"/>
      <c r="S12" s="324">
        <f t="shared" ref="S12:S41" si="4">IFERROR(ROUND(O12/M12,0),"")</f>
        <v>11000</v>
      </c>
      <c r="T12" s="172"/>
      <c r="U12" s="297"/>
      <c r="V12" s="297"/>
    </row>
    <row r="13" spans="1:22" ht="18" customHeight="1">
      <c r="A13" s="297"/>
      <c r="B13" s="321">
        <v>3</v>
      </c>
      <c r="C13" s="1221" t="s">
        <v>546</v>
      </c>
      <c r="D13" s="1222"/>
      <c r="E13" s="1223"/>
      <c r="F13" s="435" t="s">
        <v>585</v>
      </c>
      <c r="G13" s="436" t="s">
        <v>590</v>
      </c>
      <c r="H13" s="314">
        <v>11000</v>
      </c>
      <c r="I13" s="322">
        <f t="shared" si="0"/>
        <v>1</v>
      </c>
      <c r="J13" s="164"/>
      <c r="K13" s="316">
        <f t="shared" si="1"/>
        <v>160</v>
      </c>
      <c r="L13" s="317">
        <f t="shared" ref="L13:L40" si="5">IFERROR(ROUND(J13/K13,1),"")</f>
        <v>0</v>
      </c>
      <c r="M13" s="165">
        <v>12</v>
      </c>
      <c r="N13" s="323">
        <f t="shared" si="2"/>
        <v>132000</v>
      </c>
      <c r="O13" s="168">
        <v>132000</v>
      </c>
      <c r="P13" s="169">
        <v>132000</v>
      </c>
      <c r="Q13" s="319">
        <f t="shared" si="3"/>
        <v>0</v>
      </c>
      <c r="R13" s="1206"/>
      <c r="S13" s="324">
        <f t="shared" si="4"/>
        <v>11000</v>
      </c>
      <c r="T13" s="172"/>
      <c r="U13" s="297"/>
      <c r="V13" s="297"/>
    </row>
    <row r="14" spans="1:22" ht="18" customHeight="1">
      <c r="A14" s="297"/>
      <c r="B14" s="321">
        <v>4</v>
      </c>
      <c r="C14" s="1221" t="s">
        <v>582</v>
      </c>
      <c r="D14" s="1222"/>
      <c r="E14" s="1223"/>
      <c r="F14" s="435" t="s">
        <v>585</v>
      </c>
      <c r="G14" s="437" t="s">
        <v>591</v>
      </c>
      <c r="H14" s="314">
        <v>11000</v>
      </c>
      <c r="I14" s="322" t="str">
        <f t="shared" si="0"/>
        <v/>
      </c>
      <c r="J14" s="164">
        <v>90</v>
      </c>
      <c r="K14" s="316">
        <f t="shared" si="1"/>
        <v>160</v>
      </c>
      <c r="L14" s="317">
        <f t="shared" si="5"/>
        <v>0.6</v>
      </c>
      <c r="M14" s="165">
        <v>12</v>
      </c>
      <c r="N14" s="323">
        <f t="shared" si="2"/>
        <v>79200</v>
      </c>
      <c r="O14" s="168">
        <v>79200</v>
      </c>
      <c r="P14" s="169">
        <v>79200</v>
      </c>
      <c r="Q14" s="319">
        <f t="shared" si="3"/>
        <v>0</v>
      </c>
      <c r="R14" s="1206"/>
      <c r="S14" s="324">
        <f t="shared" si="4"/>
        <v>6600</v>
      </c>
      <c r="T14" s="172"/>
      <c r="U14" s="297"/>
      <c r="V14" s="297"/>
    </row>
    <row r="15" spans="1:22" ht="18" customHeight="1">
      <c r="A15" s="297"/>
      <c r="B15" s="321">
        <v>5</v>
      </c>
      <c r="C15" s="1221" t="s">
        <v>583</v>
      </c>
      <c r="D15" s="1222"/>
      <c r="E15" s="1223"/>
      <c r="F15" s="435" t="s">
        <v>585</v>
      </c>
      <c r="G15" s="437" t="s">
        <v>591</v>
      </c>
      <c r="H15" s="314">
        <v>11000</v>
      </c>
      <c r="I15" s="322" t="str">
        <f t="shared" si="0"/>
        <v/>
      </c>
      <c r="J15" s="164">
        <v>80</v>
      </c>
      <c r="K15" s="316">
        <f t="shared" si="1"/>
        <v>160</v>
      </c>
      <c r="L15" s="317">
        <f t="shared" si="5"/>
        <v>0.5</v>
      </c>
      <c r="M15" s="165">
        <v>12</v>
      </c>
      <c r="N15" s="323">
        <f t="shared" si="2"/>
        <v>66000</v>
      </c>
      <c r="O15" s="168">
        <v>66000</v>
      </c>
      <c r="P15" s="169">
        <v>66000</v>
      </c>
      <c r="Q15" s="319">
        <f t="shared" si="3"/>
        <v>0</v>
      </c>
      <c r="R15" s="1206"/>
      <c r="S15" s="324">
        <f t="shared" si="4"/>
        <v>5500</v>
      </c>
      <c r="T15" s="172"/>
      <c r="U15" s="297"/>
      <c r="V15" s="297"/>
    </row>
    <row r="16" spans="1:22" ht="18" customHeight="1">
      <c r="A16" s="297"/>
      <c r="B16" s="321">
        <v>6</v>
      </c>
      <c r="C16" s="1221" t="s">
        <v>584</v>
      </c>
      <c r="D16" s="1222"/>
      <c r="E16" s="1223"/>
      <c r="F16" s="435" t="s">
        <v>587</v>
      </c>
      <c r="G16" s="437" t="s">
        <v>591</v>
      </c>
      <c r="H16" s="314">
        <v>11000</v>
      </c>
      <c r="I16" s="322" t="str">
        <f t="shared" si="0"/>
        <v/>
      </c>
      <c r="J16" s="164">
        <v>80</v>
      </c>
      <c r="K16" s="316">
        <f t="shared" si="1"/>
        <v>160</v>
      </c>
      <c r="L16" s="317">
        <f t="shared" si="5"/>
        <v>0.5</v>
      </c>
      <c r="M16" s="165">
        <v>12</v>
      </c>
      <c r="N16" s="323">
        <f t="shared" si="2"/>
        <v>66000</v>
      </c>
      <c r="O16" s="168">
        <v>66000</v>
      </c>
      <c r="P16" s="169">
        <v>66000</v>
      </c>
      <c r="Q16" s="319">
        <f t="shared" si="3"/>
        <v>0</v>
      </c>
      <c r="R16" s="1206"/>
      <c r="S16" s="324">
        <f t="shared" si="4"/>
        <v>5500</v>
      </c>
      <c r="T16" s="172"/>
      <c r="U16" s="297"/>
      <c r="V16" s="297"/>
    </row>
    <row r="17" spans="1:22" ht="18" customHeight="1">
      <c r="A17" s="297"/>
      <c r="B17" s="321">
        <v>7</v>
      </c>
      <c r="C17" s="1221" t="s">
        <v>588</v>
      </c>
      <c r="D17" s="1222"/>
      <c r="E17" s="1223"/>
      <c r="F17" s="435" t="s">
        <v>587</v>
      </c>
      <c r="G17" s="437" t="s">
        <v>591</v>
      </c>
      <c r="H17" s="314">
        <v>11000</v>
      </c>
      <c r="I17" s="322" t="str">
        <f t="shared" si="0"/>
        <v/>
      </c>
      <c r="J17" s="164">
        <v>65</v>
      </c>
      <c r="K17" s="316">
        <f t="shared" si="1"/>
        <v>160</v>
      </c>
      <c r="L17" s="317">
        <f t="shared" si="5"/>
        <v>0.4</v>
      </c>
      <c r="M17" s="165">
        <v>12</v>
      </c>
      <c r="N17" s="323">
        <f t="shared" si="2"/>
        <v>52800</v>
      </c>
      <c r="O17" s="168">
        <v>52800</v>
      </c>
      <c r="P17" s="169">
        <v>52800</v>
      </c>
      <c r="Q17" s="319">
        <f t="shared" si="3"/>
        <v>0</v>
      </c>
      <c r="R17" s="1206"/>
      <c r="S17" s="324">
        <f t="shared" si="4"/>
        <v>4400</v>
      </c>
      <c r="T17" s="172"/>
      <c r="U17" s="297"/>
      <c r="V17" s="297"/>
    </row>
    <row r="18" spans="1:22" ht="18" customHeight="1">
      <c r="A18" s="297"/>
      <c r="B18" s="321">
        <v>8</v>
      </c>
      <c r="C18" s="1221" t="s">
        <v>589</v>
      </c>
      <c r="D18" s="1222"/>
      <c r="E18" s="1223"/>
      <c r="F18" s="435" t="s">
        <v>586</v>
      </c>
      <c r="G18" s="437" t="s">
        <v>591</v>
      </c>
      <c r="H18" s="314">
        <v>11000</v>
      </c>
      <c r="I18" s="322" t="str">
        <f t="shared" si="0"/>
        <v/>
      </c>
      <c r="J18" s="164">
        <v>30</v>
      </c>
      <c r="K18" s="316">
        <f t="shared" si="1"/>
        <v>160</v>
      </c>
      <c r="L18" s="317">
        <f t="shared" si="5"/>
        <v>0.2</v>
      </c>
      <c r="M18" s="165">
        <v>12</v>
      </c>
      <c r="N18" s="323">
        <f t="shared" si="2"/>
        <v>26400</v>
      </c>
      <c r="O18" s="168">
        <v>26400</v>
      </c>
      <c r="P18" s="169">
        <v>26400</v>
      </c>
      <c r="Q18" s="319">
        <f t="shared" si="3"/>
        <v>0</v>
      </c>
      <c r="R18" s="1206"/>
      <c r="S18" s="324">
        <f t="shared" si="4"/>
        <v>2200</v>
      </c>
      <c r="T18" s="172"/>
      <c r="U18" s="297"/>
      <c r="V18" s="297"/>
    </row>
    <row r="19" spans="1:22" ht="18" customHeight="1">
      <c r="A19" s="297"/>
      <c r="B19" s="321">
        <v>9</v>
      </c>
      <c r="C19" s="1221"/>
      <c r="D19" s="1222"/>
      <c r="E19" s="1223"/>
      <c r="F19" s="435"/>
      <c r="G19" s="437"/>
      <c r="H19" s="314">
        <v>11000</v>
      </c>
      <c r="I19" s="322" t="str">
        <f t="shared" si="0"/>
        <v/>
      </c>
      <c r="J19" s="164"/>
      <c r="K19" s="316">
        <f t="shared" si="1"/>
        <v>160</v>
      </c>
      <c r="L19" s="317">
        <f t="shared" si="5"/>
        <v>0</v>
      </c>
      <c r="M19" s="165"/>
      <c r="N19" s="323">
        <f t="shared" si="2"/>
        <v>0</v>
      </c>
      <c r="O19" s="168"/>
      <c r="P19" s="169"/>
      <c r="Q19" s="319">
        <f t="shared" si="3"/>
        <v>0</v>
      </c>
      <c r="R19" s="1206"/>
      <c r="S19" s="324" t="str">
        <f t="shared" si="4"/>
        <v/>
      </c>
      <c r="T19" s="172"/>
      <c r="U19" s="297"/>
      <c r="V19" s="297"/>
    </row>
    <row r="20" spans="1:22" ht="18" customHeight="1">
      <c r="A20" s="297"/>
      <c r="B20" s="321">
        <v>10</v>
      </c>
      <c r="C20" s="1221"/>
      <c r="D20" s="1222"/>
      <c r="E20" s="1223"/>
      <c r="F20" s="435"/>
      <c r="G20" s="437"/>
      <c r="H20" s="314">
        <v>11000</v>
      </c>
      <c r="I20" s="322" t="str">
        <f t="shared" si="0"/>
        <v/>
      </c>
      <c r="J20" s="164"/>
      <c r="K20" s="316">
        <f t="shared" si="1"/>
        <v>160</v>
      </c>
      <c r="L20" s="317">
        <f t="shared" si="5"/>
        <v>0</v>
      </c>
      <c r="M20" s="165"/>
      <c r="N20" s="323">
        <f t="shared" si="2"/>
        <v>0</v>
      </c>
      <c r="O20" s="168"/>
      <c r="P20" s="169"/>
      <c r="Q20" s="319">
        <f t="shared" si="3"/>
        <v>0</v>
      </c>
      <c r="R20" s="1206"/>
      <c r="S20" s="324" t="str">
        <f t="shared" si="4"/>
        <v/>
      </c>
      <c r="T20" s="172"/>
      <c r="U20" s="297"/>
      <c r="V20" s="297"/>
    </row>
    <row r="21" spans="1:22" ht="18" customHeight="1">
      <c r="A21" s="297"/>
      <c r="B21" s="321">
        <v>11</v>
      </c>
      <c r="C21" s="1221"/>
      <c r="D21" s="1222"/>
      <c r="E21" s="1223"/>
      <c r="F21" s="435"/>
      <c r="G21" s="437"/>
      <c r="H21" s="314">
        <v>11000</v>
      </c>
      <c r="I21" s="322" t="str">
        <f t="shared" si="0"/>
        <v/>
      </c>
      <c r="J21" s="164"/>
      <c r="K21" s="316">
        <f t="shared" si="1"/>
        <v>160</v>
      </c>
      <c r="L21" s="317">
        <f t="shared" si="5"/>
        <v>0</v>
      </c>
      <c r="M21" s="165"/>
      <c r="N21" s="323">
        <f t="shared" si="2"/>
        <v>0</v>
      </c>
      <c r="O21" s="168"/>
      <c r="P21" s="169"/>
      <c r="Q21" s="319">
        <f t="shared" si="3"/>
        <v>0</v>
      </c>
      <c r="R21" s="1206"/>
      <c r="S21" s="324" t="str">
        <f t="shared" si="4"/>
        <v/>
      </c>
      <c r="T21" s="172"/>
      <c r="U21" s="297"/>
      <c r="V21" s="297"/>
    </row>
    <row r="22" spans="1:22" ht="18" customHeight="1">
      <c r="A22" s="297"/>
      <c r="B22" s="321">
        <v>12</v>
      </c>
      <c r="C22" s="1221"/>
      <c r="D22" s="1222"/>
      <c r="E22" s="1223"/>
      <c r="F22" s="435"/>
      <c r="G22" s="437"/>
      <c r="H22" s="314">
        <v>11000</v>
      </c>
      <c r="I22" s="322" t="str">
        <f t="shared" si="0"/>
        <v/>
      </c>
      <c r="J22" s="164"/>
      <c r="K22" s="316">
        <f t="shared" si="1"/>
        <v>160</v>
      </c>
      <c r="L22" s="317">
        <f t="shared" si="5"/>
        <v>0</v>
      </c>
      <c r="M22" s="165"/>
      <c r="N22" s="323">
        <f t="shared" si="2"/>
        <v>0</v>
      </c>
      <c r="O22" s="168"/>
      <c r="P22" s="169"/>
      <c r="Q22" s="319">
        <f t="shared" si="3"/>
        <v>0</v>
      </c>
      <c r="R22" s="1206"/>
      <c r="S22" s="324" t="str">
        <f t="shared" si="4"/>
        <v/>
      </c>
      <c r="T22" s="172"/>
      <c r="U22" s="297"/>
      <c r="V22" s="297"/>
    </row>
    <row r="23" spans="1:22" ht="18" customHeight="1">
      <c r="A23" s="325"/>
      <c r="B23" s="321">
        <v>13</v>
      </c>
      <c r="C23" s="1221"/>
      <c r="D23" s="1222"/>
      <c r="E23" s="1223"/>
      <c r="F23" s="435"/>
      <c r="G23" s="437"/>
      <c r="H23" s="314">
        <v>11000</v>
      </c>
      <c r="I23" s="322" t="str">
        <f t="shared" si="0"/>
        <v/>
      </c>
      <c r="J23" s="164"/>
      <c r="K23" s="316">
        <f t="shared" si="1"/>
        <v>160</v>
      </c>
      <c r="L23" s="317">
        <f t="shared" si="5"/>
        <v>0</v>
      </c>
      <c r="M23" s="165"/>
      <c r="N23" s="323">
        <f t="shared" si="2"/>
        <v>0</v>
      </c>
      <c r="O23" s="168"/>
      <c r="P23" s="169"/>
      <c r="Q23" s="319">
        <f t="shared" si="3"/>
        <v>0</v>
      </c>
      <c r="R23" s="1206"/>
      <c r="S23" s="324" t="str">
        <f t="shared" si="4"/>
        <v/>
      </c>
      <c r="T23" s="172"/>
      <c r="U23" s="297"/>
      <c r="V23" s="297"/>
    </row>
    <row r="24" spans="1:22" ht="18" customHeight="1">
      <c r="A24" s="297"/>
      <c r="B24" s="321">
        <v>14</v>
      </c>
      <c r="C24" s="1221"/>
      <c r="D24" s="1222"/>
      <c r="E24" s="1223"/>
      <c r="F24" s="435"/>
      <c r="G24" s="437"/>
      <c r="H24" s="314">
        <v>11000</v>
      </c>
      <c r="I24" s="322" t="str">
        <f t="shared" si="0"/>
        <v/>
      </c>
      <c r="J24" s="164"/>
      <c r="K24" s="316">
        <f t="shared" si="1"/>
        <v>160</v>
      </c>
      <c r="L24" s="317">
        <f t="shared" si="5"/>
        <v>0</v>
      </c>
      <c r="M24" s="165"/>
      <c r="N24" s="323">
        <f t="shared" si="2"/>
        <v>0</v>
      </c>
      <c r="O24" s="168"/>
      <c r="P24" s="169"/>
      <c r="Q24" s="319">
        <f t="shared" si="3"/>
        <v>0</v>
      </c>
      <c r="R24" s="1206"/>
      <c r="S24" s="324" t="str">
        <f t="shared" si="4"/>
        <v/>
      </c>
      <c r="T24" s="172"/>
      <c r="U24" s="297"/>
      <c r="V24" s="297"/>
    </row>
    <row r="25" spans="1:22" ht="18" customHeight="1">
      <c r="A25" s="297"/>
      <c r="B25" s="321">
        <v>15</v>
      </c>
      <c r="C25" s="1221"/>
      <c r="D25" s="1222"/>
      <c r="E25" s="1223"/>
      <c r="F25" s="435"/>
      <c r="G25" s="437"/>
      <c r="H25" s="314">
        <v>11000</v>
      </c>
      <c r="I25" s="322" t="str">
        <f t="shared" si="0"/>
        <v/>
      </c>
      <c r="J25" s="164"/>
      <c r="K25" s="316">
        <f t="shared" si="1"/>
        <v>160</v>
      </c>
      <c r="L25" s="317">
        <f t="shared" si="5"/>
        <v>0</v>
      </c>
      <c r="M25" s="165"/>
      <c r="N25" s="323">
        <f t="shared" si="2"/>
        <v>0</v>
      </c>
      <c r="O25" s="168"/>
      <c r="P25" s="169"/>
      <c r="Q25" s="319">
        <f t="shared" si="3"/>
        <v>0</v>
      </c>
      <c r="R25" s="1206"/>
      <c r="S25" s="324" t="str">
        <f t="shared" si="4"/>
        <v/>
      </c>
      <c r="T25" s="172"/>
      <c r="U25" s="297"/>
      <c r="V25" s="297"/>
    </row>
    <row r="26" spans="1:22" ht="18" customHeight="1">
      <c r="A26" s="297"/>
      <c r="B26" s="321">
        <v>16</v>
      </c>
      <c r="C26" s="1221"/>
      <c r="D26" s="1222"/>
      <c r="E26" s="1223"/>
      <c r="F26" s="435"/>
      <c r="G26" s="437"/>
      <c r="H26" s="314">
        <v>11000</v>
      </c>
      <c r="I26" s="322" t="str">
        <f t="shared" si="0"/>
        <v/>
      </c>
      <c r="J26" s="164"/>
      <c r="K26" s="316">
        <f t="shared" si="1"/>
        <v>160</v>
      </c>
      <c r="L26" s="317">
        <f t="shared" si="5"/>
        <v>0</v>
      </c>
      <c r="M26" s="165"/>
      <c r="N26" s="323">
        <f t="shared" si="2"/>
        <v>0</v>
      </c>
      <c r="O26" s="168"/>
      <c r="P26" s="169"/>
      <c r="Q26" s="319">
        <f t="shared" si="3"/>
        <v>0</v>
      </c>
      <c r="R26" s="1206"/>
      <c r="S26" s="324" t="str">
        <f t="shared" si="4"/>
        <v/>
      </c>
      <c r="T26" s="172"/>
      <c r="U26" s="297"/>
      <c r="V26" s="297"/>
    </row>
    <row r="27" spans="1:22" ht="18" customHeight="1">
      <c r="A27" s="297"/>
      <c r="B27" s="321">
        <v>17</v>
      </c>
      <c r="C27" s="1221"/>
      <c r="D27" s="1222"/>
      <c r="E27" s="1223"/>
      <c r="F27" s="435"/>
      <c r="G27" s="437"/>
      <c r="H27" s="314">
        <v>11000</v>
      </c>
      <c r="I27" s="322" t="str">
        <f t="shared" si="0"/>
        <v/>
      </c>
      <c r="J27" s="164"/>
      <c r="K27" s="316">
        <f t="shared" si="1"/>
        <v>160</v>
      </c>
      <c r="L27" s="317">
        <f t="shared" si="5"/>
        <v>0</v>
      </c>
      <c r="M27" s="165"/>
      <c r="N27" s="323">
        <f t="shared" si="2"/>
        <v>0</v>
      </c>
      <c r="O27" s="168"/>
      <c r="P27" s="169"/>
      <c r="Q27" s="319">
        <f t="shared" si="3"/>
        <v>0</v>
      </c>
      <c r="R27" s="1206"/>
      <c r="S27" s="324" t="str">
        <f t="shared" si="4"/>
        <v/>
      </c>
      <c r="T27" s="172"/>
      <c r="U27" s="297"/>
      <c r="V27" s="297"/>
    </row>
    <row r="28" spans="1:22" ht="18" customHeight="1">
      <c r="A28" s="297"/>
      <c r="B28" s="321">
        <v>18</v>
      </c>
      <c r="C28" s="1221"/>
      <c r="D28" s="1222"/>
      <c r="E28" s="1223"/>
      <c r="F28" s="435"/>
      <c r="G28" s="437"/>
      <c r="H28" s="314">
        <v>11000</v>
      </c>
      <c r="I28" s="322" t="str">
        <f t="shared" si="0"/>
        <v/>
      </c>
      <c r="J28" s="164"/>
      <c r="K28" s="316">
        <f t="shared" si="1"/>
        <v>160</v>
      </c>
      <c r="L28" s="317">
        <f t="shared" si="5"/>
        <v>0</v>
      </c>
      <c r="M28" s="165"/>
      <c r="N28" s="323">
        <f t="shared" si="2"/>
        <v>0</v>
      </c>
      <c r="O28" s="168"/>
      <c r="P28" s="169"/>
      <c r="Q28" s="319">
        <f t="shared" si="3"/>
        <v>0</v>
      </c>
      <c r="R28" s="1206"/>
      <c r="S28" s="324" t="str">
        <f t="shared" si="4"/>
        <v/>
      </c>
      <c r="T28" s="172"/>
      <c r="U28" s="297"/>
      <c r="V28" s="297"/>
    </row>
    <row r="29" spans="1:22" ht="18" customHeight="1">
      <c r="A29" s="297"/>
      <c r="B29" s="321">
        <v>19</v>
      </c>
      <c r="C29" s="1221"/>
      <c r="D29" s="1222"/>
      <c r="E29" s="1223"/>
      <c r="F29" s="435"/>
      <c r="G29" s="437"/>
      <c r="H29" s="314">
        <v>11000</v>
      </c>
      <c r="I29" s="322" t="str">
        <f t="shared" si="0"/>
        <v/>
      </c>
      <c r="J29" s="164"/>
      <c r="K29" s="316">
        <f t="shared" si="1"/>
        <v>160</v>
      </c>
      <c r="L29" s="317">
        <f t="shared" si="5"/>
        <v>0</v>
      </c>
      <c r="M29" s="165"/>
      <c r="N29" s="323">
        <f t="shared" si="2"/>
        <v>0</v>
      </c>
      <c r="O29" s="168"/>
      <c r="P29" s="169"/>
      <c r="Q29" s="319">
        <f t="shared" si="3"/>
        <v>0</v>
      </c>
      <c r="R29" s="1206"/>
      <c r="S29" s="324" t="str">
        <f t="shared" si="4"/>
        <v/>
      </c>
      <c r="T29" s="172"/>
      <c r="U29" s="297"/>
      <c r="V29" s="297"/>
    </row>
    <row r="30" spans="1:22" ht="18" customHeight="1">
      <c r="A30" s="297"/>
      <c r="B30" s="321">
        <v>20</v>
      </c>
      <c r="C30" s="1221"/>
      <c r="D30" s="1222"/>
      <c r="E30" s="1223"/>
      <c r="F30" s="435"/>
      <c r="G30" s="437"/>
      <c r="H30" s="314">
        <v>11000</v>
      </c>
      <c r="I30" s="322" t="str">
        <f t="shared" si="0"/>
        <v/>
      </c>
      <c r="J30" s="164"/>
      <c r="K30" s="316">
        <f t="shared" si="1"/>
        <v>160</v>
      </c>
      <c r="L30" s="317">
        <f t="shared" si="5"/>
        <v>0</v>
      </c>
      <c r="M30" s="165"/>
      <c r="N30" s="323">
        <f t="shared" si="2"/>
        <v>0</v>
      </c>
      <c r="O30" s="168"/>
      <c r="P30" s="169"/>
      <c r="Q30" s="319">
        <f t="shared" si="3"/>
        <v>0</v>
      </c>
      <c r="R30" s="1206"/>
      <c r="S30" s="324" t="str">
        <f t="shared" si="4"/>
        <v/>
      </c>
      <c r="T30" s="172"/>
      <c r="U30" s="297"/>
      <c r="V30" s="297"/>
    </row>
    <row r="31" spans="1:22" ht="18" customHeight="1">
      <c r="A31" s="297"/>
      <c r="B31" s="321">
        <v>21</v>
      </c>
      <c r="C31" s="1221"/>
      <c r="D31" s="1222"/>
      <c r="E31" s="1223"/>
      <c r="F31" s="435"/>
      <c r="G31" s="437"/>
      <c r="H31" s="314">
        <v>11000</v>
      </c>
      <c r="I31" s="322" t="str">
        <f t="shared" si="0"/>
        <v/>
      </c>
      <c r="J31" s="164"/>
      <c r="K31" s="316">
        <f t="shared" si="1"/>
        <v>160</v>
      </c>
      <c r="L31" s="317">
        <f t="shared" si="5"/>
        <v>0</v>
      </c>
      <c r="M31" s="165"/>
      <c r="N31" s="323">
        <f t="shared" si="2"/>
        <v>0</v>
      </c>
      <c r="O31" s="168"/>
      <c r="P31" s="169"/>
      <c r="Q31" s="319">
        <f t="shared" si="3"/>
        <v>0</v>
      </c>
      <c r="R31" s="1206"/>
      <c r="S31" s="324" t="str">
        <f t="shared" si="4"/>
        <v/>
      </c>
      <c r="T31" s="172"/>
      <c r="U31" s="297"/>
      <c r="V31" s="297"/>
    </row>
    <row r="32" spans="1:22" ht="18" customHeight="1">
      <c r="A32" s="297"/>
      <c r="B32" s="321">
        <v>22</v>
      </c>
      <c r="C32" s="1221"/>
      <c r="D32" s="1222"/>
      <c r="E32" s="1223"/>
      <c r="F32" s="435"/>
      <c r="G32" s="437"/>
      <c r="H32" s="314">
        <v>11000</v>
      </c>
      <c r="I32" s="322" t="str">
        <f t="shared" si="0"/>
        <v/>
      </c>
      <c r="J32" s="164"/>
      <c r="K32" s="316">
        <f t="shared" si="1"/>
        <v>160</v>
      </c>
      <c r="L32" s="317">
        <f t="shared" si="5"/>
        <v>0</v>
      </c>
      <c r="M32" s="165"/>
      <c r="N32" s="323">
        <f t="shared" si="2"/>
        <v>0</v>
      </c>
      <c r="O32" s="168"/>
      <c r="P32" s="169"/>
      <c r="Q32" s="319">
        <f t="shared" si="3"/>
        <v>0</v>
      </c>
      <c r="R32" s="1206"/>
      <c r="S32" s="324" t="str">
        <f t="shared" si="4"/>
        <v/>
      </c>
      <c r="T32" s="172"/>
      <c r="U32" s="297"/>
      <c r="V32" s="297"/>
    </row>
    <row r="33" spans="1:22" ht="18" customHeight="1">
      <c r="A33" s="297"/>
      <c r="B33" s="321">
        <v>23</v>
      </c>
      <c r="C33" s="1221"/>
      <c r="D33" s="1222"/>
      <c r="E33" s="1223"/>
      <c r="F33" s="435"/>
      <c r="G33" s="437"/>
      <c r="H33" s="314">
        <v>11000</v>
      </c>
      <c r="I33" s="322" t="str">
        <f t="shared" si="0"/>
        <v/>
      </c>
      <c r="J33" s="164"/>
      <c r="K33" s="316">
        <f t="shared" si="1"/>
        <v>160</v>
      </c>
      <c r="L33" s="317">
        <f t="shared" si="5"/>
        <v>0</v>
      </c>
      <c r="M33" s="165"/>
      <c r="N33" s="323">
        <f t="shared" si="2"/>
        <v>0</v>
      </c>
      <c r="O33" s="168"/>
      <c r="P33" s="169"/>
      <c r="Q33" s="319">
        <f t="shared" si="3"/>
        <v>0</v>
      </c>
      <c r="R33" s="1206"/>
      <c r="S33" s="324" t="str">
        <f t="shared" si="4"/>
        <v/>
      </c>
      <c r="T33" s="172"/>
      <c r="U33" s="297"/>
      <c r="V33" s="297"/>
    </row>
    <row r="34" spans="1:22" ht="18" customHeight="1">
      <c r="A34" s="297"/>
      <c r="B34" s="321">
        <v>24</v>
      </c>
      <c r="C34" s="1221"/>
      <c r="D34" s="1222"/>
      <c r="E34" s="1223"/>
      <c r="F34" s="435"/>
      <c r="G34" s="437"/>
      <c r="H34" s="314">
        <v>11000</v>
      </c>
      <c r="I34" s="322" t="str">
        <f t="shared" si="0"/>
        <v/>
      </c>
      <c r="J34" s="164"/>
      <c r="K34" s="316">
        <f t="shared" si="1"/>
        <v>160</v>
      </c>
      <c r="L34" s="317">
        <f t="shared" si="5"/>
        <v>0</v>
      </c>
      <c r="M34" s="165"/>
      <c r="N34" s="323">
        <f t="shared" si="2"/>
        <v>0</v>
      </c>
      <c r="O34" s="168"/>
      <c r="P34" s="169"/>
      <c r="Q34" s="319">
        <f t="shared" si="3"/>
        <v>0</v>
      </c>
      <c r="R34" s="1206"/>
      <c r="S34" s="324" t="str">
        <f t="shared" si="4"/>
        <v/>
      </c>
      <c r="T34" s="172"/>
      <c r="U34" s="297"/>
      <c r="V34" s="297"/>
    </row>
    <row r="35" spans="1:22" ht="18" customHeight="1">
      <c r="A35" s="297"/>
      <c r="B35" s="321">
        <v>25</v>
      </c>
      <c r="C35" s="1221"/>
      <c r="D35" s="1222"/>
      <c r="E35" s="1223"/>
      <c r="F35" s="435"/>
      <c r="G35" s="437"/>
      <c r="H35" s="314">
        <v>11000</v>
      </c>
      <c r="I35" s="322" t="str">
        <f t="shared" si="0"/>
        <v/>
      </c>
      <c r="J35" s="164"/>
      <c r="K35" s="316">
        <f t="shared" si="1"/>
        <v>160</v>
      </c>
      <c r="L35" s="317">
        <f t="shared" si="5"/>
        <v>0</v>
      </c>
      <c r="M35" s="165"/>
      <c r="N35" s="323">
        <f t="shared" si="2"/>
        <v>0</v>
      </c>
      <c r="O35" s="168"/>
      <c r="P35" s="169"/>
      <c r="Q35" s="319">
        <f t="shared" si="3"/>
        <v>0</v>
      </c>
      <c r="R35" s="1206"/>
      <c r="S35" s="324" t="str">
        <f t="shared" si="4"/>
        <v/>
      </c>
      <c r="T35" s="172"/>
      <c r="U35" s="297"/>
      <c r="V35" s="297"/>
    </row>
    <row r="36" spans="1:22" ht="18" customHeight="1">
      <c r="A36" s="297"/>
      <c r="B36" s="321">
        <v>26</v>
      </c>
      <c r="C36" s="1221"/>
      <c r="D36" s="1222"/>
      <c r="E36" s="1223"/>
      <c r="F36" s="435"/>
      <c r="G36" s="437"/>
      <c r="H36" s="314">
        <v>11000</v>
      </c>
      <c r="I36" s="322" t="str">
        <f t="shared" si="0"/>
        <v/>
      </c>
      <c r="J36" s="164"/>
      <c r="K36" s="316">
        <f t="shared" si="1"/>
        <v>160</v>
      </c>
      <c r="L36" s="317">
        <f t="shared" si="5"/>
        <v>0</v>
      </c>
      <c r="M36" s="165"/>
      <c r="N36" s="323">
        <f t="shared" si="2"/>
        <v>0</v>
      </c>
      <c r="O36" s="168"/>
      <c r="P36" s="169"/>
      <c r="Q36" s="319">
        <f t="shared" si="3"/>
        <v>0</v>
      </c>
      <c r="R36" s="1206"/>
      <c r="S36" s="324" t="str">
        <f t="shared" si="4"/>
        <v/>
      </c>
      <c r="T36" s="172"/>
      <c r="U36" s="297"/>
      <c r="V36" s="297"/>
    </row>
    <row r="37" spans="1:22" ht="18" customHeight="1">
      <c r="A37" s="297"/>
      <c r="B37" s="321">
        <v>27</v>
      </c>
      <c r="C37" s="1221"/>
      <c r="D37" s="1222"/>
      <c r="E37" s="1223"/>
      <c r="F37" s="435"/>
      <c r="G37" s="437"/>
      <c r="H37" s="314">
        <v>11000</v>
      </c>
      <c r="I37" s="322" t="str">
        <f t="shared" si="0"/>
        <v/>
      </c>
      <c r="J37" s="164"/>
      <c r="K37" s="316">
        <f t="shared" si="1"/>
        <v>160</v>
      </c>
      <c r="L37" s="317">
        <f t="shared" si="5"/>
        <v>0</v>
      </c>
      <c r="M37" s="165"/>
      <c r="N37" s="323">
        <f t="shared" si="2"/>
        <v>0</v>
      </c>
      <c r="O37" s="168"/>
      <c r="P37" s="169"/>
      <c r="Q37" s="319">
        <f t="shared" si="3"/>
        <v>0</v>
      </c>
      <c r="R37" s="1206"/>
      <c r="S37" s="324" t="str">
        <f t="shared" si="4"/>
        <v/>
      </c>
      <c r="T37" s="172"/>
      <c r="U37" s="297"/>
      <c r="V37" s="297"/>
    </row>
    <row r="38" spans="1:22" ht="18" customHeight="1">
      <c r="A38" s="297"/>
      <c r="B38" s="321">
        <v>28</v>
      </c>
      <c r="C38" s="1221"/>
      <c r="D38" s="1222"/>
      <c r="E38" s="1223"/>
      <c r="F38" s="435"/>
      <c r="G38" s="437"/>
      <c r="H38" s="314">
        <v>11000</v>
      </c>
      <c r="I38" s="322" t="str">
        <f t="shared" si="0"/>
        <v/>
      </c>
      <c r="J38" s="164"/>
      <c r="K38" s="316">
        <f t="shared" si="1"/>
        <v>160</v>
      </c>
      <c r="L38" s="317">
        <f t="shared" si="5"/>
        <v>0</v>
      </c>
      <c r="M38" s="165"/>
      <c r="N38" s="323">
        <f t="shared" si="2"/>
        <v>0</v>
      </c>
      <c r="O38" s="168"/>
      <c r="P38" s="169"/>
      <c r="Q38" s="319">
        <f t="shared" si="3"/>
        <v>0</v>
      </c>
      <c r="R38" s="1206"/>
      <c r="S38" s="324" t="str">
        <f t="shared" si="4"/>
        <v/>
      </c>
      <c r="T38" s="172"/>
      <c r="U38" s="297"/>
      <c r="V38" s="297"/>
    </row>
    <row r="39" spans="1:22" ht="18" customHeight="1">
      <c r="A39" s="297"/>
      <c r="B39" s="321">
        <v>29</v>
      </c>
      <c r="C39" s="1221"/>
      <c r="D39" s="1222"/>
      <c r="E39" s="1223"/>
      <c r="F39" s="435"/>
      <c r="G39" s="437"/>
      <c r="H39" s="314">
        <v>11000</v>
      </c>
      <c r="I39" s="322" t="str">
        <f t="shared" si="0"/>
        <v/>
      </c>
      <c r="J39" s="164"/>
      <c r="K39" s="316">
        <f t="shared" si="1"/>
        <v>160</v>
      </c>
      <c r="L39" s="317">
        <f t="shared" si="5"/>
        <v>0</v>
      </c>
      <c r="M39" s="165"/>
      <c r="N39" s="323">
        <f t="shared" si="2"/>
        <v>0</v>
      </c>
      <c r="O39" s="168"/>
      <c r="P39" s="169"/>
      <c r="Q39" s="319">
        <f t="shared" si="3"/>
        <v>0</v>
      </c>
      <c r="R39" s="1206"/>
      <c r="S39" s="324" t="str">
        <f t="shared" si="4"/>
        <v/>
      </c>
      <c r="T39" s="172"/>
      <c r="U39" s="297"/>
      <c r="V39" s="297"/>
    </row>
    <row r="40" spans="1:22" ht="18" customHeight="1" thickBot="1">
      <c r="A40" s="297"/>
      <c r="B40" s="321">
        <v>30</v>
      </c>
      <c r="C40" s="1221"/>
      <c r="D40" s="1222"/>
      <c r="E40" s="1223"/>
      <c r="F40" s="435"/>
      <c r="G40" s="437"/>
      <c r="H40" s="314">
        <v>11000</v>
      </c>
      <c r="I40" s="322" t="str">
        <f t="shared" si="0"/>
        <v/>
      </c>
      <c r="J40" s="164"/>
      <c r="K40" s="316">
        <f t="shared" si="1"/>
        <v>160</v>
      </c>
      <c r="L40" s="317">
        <f t="shared" si="5"/>
        <v>0</v>
      </c>
      <c r="M40" s="165"/>
      <c r="N40" s="323">
        <f t="shared" si="2"/>
        <v>0</v>
      </c>
      <c r="O40" s="168"/>
      <c r="P40" s="169"/>
      <c r="Q40" s="319">
        <f t="shared" si="3"/>
        <v>0</v>
      </c>
      <c r="R40" s="1207"/>
      <c r="S40" s="324" t="str">
        <f t="shared" si="4"/>
        <v/>
      </c>
      <c r="T40" s="172"/>
      <c r="U40" s="297"/>
      <c r="V40" s="297"/>
    </row>
    <row r="41" spans="1:22" ht="18" customHeight="1" thickBot="1">
      <c r="A41" s="297"/>
      <c r="B41" s="1230" t="s">
        <v>22</v>
      </c>
      <c r="C41" s="1231"/>
      <c r="D41" s="1231"/>
      <c r="E41" s="1231"/>
      <c r="F41" s="1231"/>
      <c r="G41" s="1232"/>
      <c r="H41" s="326"/>
      <c r="I41" s="327">
        <f>SUM(I11:I40)</f>
        <v>3</v>
      </c>
      <c r="J41" s="328"/>
      <c r="K41" s="329"/>
      <c r="L41" s="330">
        <f t="shared" ref="L41:Q41" si="6">SUM(L11:L40)</f>
        <v>2.2000000000000002</v>
      </c>
      <c r="M41" s="331">
        <f t="shared" si="6"/>
        <v>96</v>
      </c>
      <c r="N41" s="332">
        <f t="shared" si="6"/>
        <v>686400</v>
      </c>
      <c r="O41" s="332">
        <f t="shared" si="6"/>
        <v>686400</v>
      </c>
      <c r="P41" s="333">
        <f t="shared" si="6"/>
        <v>686400</v>
      </c>
      <c r="Q41" s="334">
        <f t="shared" si="6"/>
        <v>0</v>
      </c>
      <c r="R41" s="170"/>
      <c r="S41" s="335">
        <f t="shared" si="4"/>
        <v>7150</v>
      </c>
      <c r="T41" s="336"/>
      <c r="U41" s="297"/>
      <c r="V41" s="297"/>
    </row>
    <row r="42" spans="1:22" ht="18" customHeight="1">
      <c r="A42" s="297"/>
      <c r="B42" s="297" t="s">
        <v>386</v>
      </c>
      <c r="C42" s="297"/>
      <c r="D42" s="297"/>
      <c r="E42" s="297"/>
      <c r="F42" s="297"/>
      <c r="G42" s="297"/>
      <c r="H42" s="297"/>
      <c r="I42" s="297"/>
      <c r="J42" s="297"/>
      <c r="K42" s="297"/>
      <c r="L42" s="297"/>
      <c r="M42" s="297"/>
      <c r="N42" s="297"/>
      <c r="O42" s="297"/>
      <c r="P42" s="297"/>
      <c r="Q42" s="297"/>
      <c r="R42" s="297"/>
      <c r="S42" s="297"/>
      <c r="T42" s="297"/>
      <c r="U42" s="297"/>
      <c r="V42" s="297"/>
    </row>
    <row r="43" spans="1:22" ht="18" customHeight="1">
      <c r="A43" s="297"/>
      <c r="B43" s="337" t="s">
        <v>466</v>
      </c>
      <c r="C43" s="297"/>
      <c r="D43" s="297"/>
      <c r="E43" s="297"/>
      <c r="F43" s="297"/>
      <c r="G43" s="297"/>
      <c r="H43" s="297"/>
      <c r="I43" s="297"/>
      <c r="J43" s="297"/>
      <c r="K43" s="297"/>
      <c r="L43" s="297"/>
      <c r="M43" s="297"/>
      <c r="N43" s="297"/>
      <c r="O43" s="297"/>
      <c r="P43" s="297"/>
      <c r="Q43" s="297"/>
      <c r="R43" s="297"/>
      <c r="S43" s="297"/>
      <c r="T43" s="297"/>
      <c r="U43" s="297"/>
      <c r="V43" s="297"/>
    </row>
    <row r="44" spans="1:22" ht="18" customHeight="1">
      <c r="A44" s="297"/>
      <c r="B44" s="338" t="s">
        <v>465</v>
      </c>
      <c r="C44" s="297"/>
      <c r="D44" s="297"/>
      <c r="E44" s="297"/>
      <c r="F44" s="337"/>
      <c r="G44" s="297"/>
      <c r="H44" s="297"/>
      <c r="I44" s="297"/>
      <c r="J44" s="297"/>
      <c r="K44" s="297"/>
      <c r="L44" s="297"/>
      <c r="M44" s="297"/>
      <c r="N44" s="297"/>
      <c r="O44" s="297"/>
      <c r="P44" s="297"/>
      <c r="Q44" s="297"/>
      <c r="R44" s="297"/>
      <c r="S44" s="297"/>
      <c r="T44" s="297"/>
      <c r="U44" s="297"/>
      <c r="V44" s="297"/>
    </row>
    <row r="45" spans="1:22" ht="18" customHeight="1"/>
    <row r="46" spans="1:22" ht="18" customHeight="1"/>
    <row r="47" spans="1:22" ht="18" customHeight="1"/>
    <row r="48" spans="1:22"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row r="1002" ht="18" customHeight="1"/>
    <row r="1003" ht="18" customHeight="1"/>
    <row r="1004" ht="18" customHeight="1"/>
    <row r="1005" ht="18" customHeight="1"/>
    <row r="1006" ht="18" customHeight="1"/>
    <row r="1007" ht="18" customHeight="1"/>
    <row r="1008" ht="18" customHeight="1"/>
    <row r="1009" ht="18" customHeight="1"/>
    <row r="1010" ht="18" customHeight="1"/>
    <row r="1011" ht="18" customHeight="1"/>
    <row r="1012" ht="18" customHeight="1"/>
    <row r="1013" ht="18" customHeight="1"/>
    <row r="1014" ht="18" customHeight="1"/>
    <row r="1015" ht="18" customHeight="1"/>
    <row r="1016" ht="18" customHeight="1"/>
    <row r="1017" ht="18" customHeight="1"/>
    <row r="1018" ht="18" customHeight="1"/>
    <row r="1019" ht="18" customHeight="1"/>
    <row r="1020" ht="18" customHeight="1"/>
    <row r="1021" ht="18" customHeight="1"/>
    <row r="1022" ht="18" customHeight="1"/>
    <row r="1023" ht="18" customHeight="1"/>
    <row r="1024" ht="18" customHeight="1"/>
    <row r="1025" ht="18" customHeight="1"/>
    <row r="1026" ht="18" customHeight="1"/>
    <row r="1027" ht="18" customHeight="1"/>
    <row r="1028" ht="18" customHeight="1"/>
    <row r="1029" ht="18" customHeight="1"/>
    <row r="1030" ht="18" customHeight="1"/>
    <row r="1031" ht="18" customHeight="1"/>
    <row r="1032" ht="18" customHeight="1"/>
    <row r="1033" ht="18" customHeight="1"/>
    <row r="1034" ht="18" customHeight="1"/>
    <row r="1035" ht="18" customHeight="1"/>
    <row r="1036" ht="18" customHeight="1"/>
    <row r="1037" ht="18" customHeight="1"/>
    <row r="1038" ht="18" customHeight="1"/>
    <row r="1039" ht="18" customHeight="1"/>
    <row r="1040" ht="18" customHeight="1"/>
    <row r="1041" ht="18" customHeight="1"/>
    <row r="1042" ht="18" customHeight="1"/>
    <row r="1043" ht="18" customHeight="1"/>
    <row r="1044" ht="18" customHeight="1"/>
    <row r="1045" ht="18" customHeight="1"/>
    <row r="1046" ht="18" customHeight="1"/>
    <row r="1047" ht="18" customHeight="1"/>
    <row r="1048" ht="18" customHeight="1"/>
    <row r="1049" ht="18" customHeight="1"/>
    <row r="1050" ht="18" customHeight="1"/>
    <row r="1051" ht="18" customHeight="1"/>
    <row r="1052" ht="18" customHeight="1"/>
    <row r="1053" ht="18" customHeight="1"/>
    <row r="1054" ht="18" customHeight="1"/>
    <row r="1055" ht="18" customHeight="1"/>
    <row r="1056" ht="18" customHeight="1"/>
    <row r="1057" ht="18" customHeight="1"/>
    <row r="1058" ht="18" customHeight="1"/>
    <row r="1059" ht="18" customHeight="1"/>
    <row r="1060" ht="18" customHeight="1"/>
    <row r="1061" ht="18" customHeight="1"/>
    <row r="1062" ht="18" customHeight="1"/>
    <row r="1063" ht="18" customHeight="1"/>
    <row r="1064" ht="18" customHeight="1"/>
    <row r="1065" ht="18" customHeight="1"/>
    <row r="1066" ht="18" customHeight="1"/>
    <row r="1067" ht="18" customHeight="1"/>
    <row r="1068" ht="18" customHeight="1"/>
    <row r="1069" ht="18" customHeight="1"/>
    <row r="1070" ht="18" customHeight="1"/>
    <row r="1071" ht="18" customHeight="1"/>
    <row r="1072" ht="18" customHeight="1"/>
    <row r="1073" ht="18" customHeight="1"/>
    <row r="1074" ht="18" customHeight="1"/>
    <row r="1075" ht="18" customHeight="1"/>
    <row r="1076" ht="18" customHeight="1"/>
    <row r="1077" ht="18" customHeight="1"/>
    <row r="1078" ht="18" customHeight="1"/>
    <row r="1079" ht="18" customHeight="1"/>
    <row r="1080" ht="18" customHeight="1"/>
    <row r="1081" ht="18" customHeight="1"/>
    <row r="1082" ht="18" customHeight="1"/>
    <row r="1083" ht="18" customHeight="1"/>
    <row r="1084" ht="18" customHeight="1"/>
    <row r="1085" ht="18" customHeight="1"/>
    <row r="1086" ht="18" customHeight="1"/>
    <row r="1087" ht="18" customHeight="1"/>
    <row r="1088" ht="18" customHeight="1"/>
    <row r="1089" ht="18" customHeight="1"/>
    <row r="1090" ht="18" customHeight="1"/>
    <row r="1091" ht="18" customHeight="1"/>
    <row r="1092" ht="18" customHeight="1"/>
    <row r="1093" ht="18" customHeight="1"/>
    <row r="1094" ht="18" customHeight="1"/>
    <row r="1095" ht="18" customHeight="1"/>
    <row r="1096" ht="18" customHeight="1"/>
    <row r="1097" ht="18" customHeight="1"/>
    <row r="1098" ht="18" customHeight="1"/>
    <row r="1099" ht="18" customHeight="1"/>
    <row r="1100" ht="18" customHeight="1"/>
    <row r="1101" ht="18" customHeight="1"/>
    <row r="1102" ht="18" customHeight="1"/>
    <row r="1103" ht="18" customHeight="1"/>
    <row r="1104" ht="18" customHeight="1"/>
    <row r="1105" ht="18" customHeight="1"/>
    <row r="1106" ht="18" customHeight="1"/>
    <row r="1107" ht="18" customHeight="1"/>
    <row r="1108" ht="18" customHeight="1"/>
    <row r="1109" ht="18" customHeight="1"/>
    <row r="1110" ht="18" customHeight="1"/>
    <row r="1111" ht="18" customHeight="1"/>
    <row r="1112" ht="18" customHeight="1"/>
    <row r="1113" ht="18" customHeight="1"/>
    <row r="1114" ht="18" customHeight="1"/>
    <row r="1115" ht="18" customHeight="1"/>
    <row r="1116" ht="18" customHeight="1"/>
    <row r="1117" ht="18" customHeight="1"/>
    <row r="1118" ht="18" customHeight="1"/>
    <row r="1119" ht="18" customHeight="1"/>
    <row r="1120" ht="18" customHeight="1"/>
    <row r="1121" ht="18" customHeight="1"/>
    <row r="1122" ht="18" customHeight="1"/>
    <row r="1123" ht="18" customHeight="1"/>
    <row r="1124" ht="18" customHeight="1"/>
    <row r="1125" ht="18" customHeight="1"/>
    <row r="1126" ht="18" customHeight="1"/>
    <row r="1127" ht="18" customHeight="1"/>
    <row r="1128" ht="18" customHeight="1"/>
    <row r="1129" ht="18" customHeight="1"/>
    <row r="1130" ht="18" customHeight="1"/>
    <row r="1131" ht="18" customHeight="1"/>
    <row r="1132" ht="18" customHeight="1"/>
    <row r="1133" ht="18" customHeight="1"/>
    <row r="1134" ht="18" customHeight="1"/>
    <row r="1135" ht="18" customHeight="1"/>
    <row r="1136" ht="18" customHeight="1"/>
    <row r="1137" ht="18" customHeight="1"/>
    <row r="1138" ht="18" customHeight="1"/>
    <row r="1139" ht="18" customHeight="1"/>
    <row r="1140" ht="18" customHeight="1"/>
    <row r="1141" ht="18" customHeight="1"/>
    <row r="1142" ht="18" customHeight="1"/>
    <row r="1143" ht="18" customHeight="1"/>
    <row r="1144" ht="18" customHeight="1"/>
    <row r="1145" ht="18" customHeight="1"/>
    <row r="1146" ht="18" customHeight="1"/>
    <row r="1147" ht="18" customHeight="1"/>
    <row r="1148" ht="18" customHeight="1"/>
    <row r="1149" ht="18" customHeight="1"/>
    <row r="1150" ht="18" customHeight="1"/>
    <row r="1151" ht="18" customHeight="1"/>
    <row r="1152" ht="18" customHeight="1"/>
    <row r="1153" ht="18" customHeight="1"/>
    <row r="1154" ht="18" customHeight="1"/>
    <row r="1155" ht="18" customHeight="1"/>
    <row r="1156" ht="18" customHeight="1"/>
    <row r="1157" ht="18" customHeight="1"/>
    <row r="1158" ht="18" customHeight="1"/>
    <row r="1159" ht="18" customHeight="1"/>
    <row r="1160" ht="18" customHeight="1"/>
    <row r="1161" ht="18" customHeight="1"/>
    <row r="1162" ht="18" customHeight="1"/>
    <row r="1163" ht="18" customHeight="1"/>
    <row r="1164" ht="18" customHeight="1"/>
    <row r="1165" ht="18" customHeight="1"/>
    <row r="1166" ht="18" customHeight="1"/>
    <row r="1167" ht="18" customHeight="1"/>
    <row r="1168" ht="18" customHeight="1"/>
    <row r="1169" ht="18" customHeight="1"/>
    <row r="1170" ht="18" customHeight="1"/>
    <row r="1171" ht="18" customHeight="1"/>
    <row r="1172" ht="18" customHeight="1"/>
    <row r="1173" ht="18" customHeight="1"/>
    <row r="1174" ht="18" customHeight="1"/>
    <row r="1175" ht="18" customHeight="1"/>
    <row r="1176" ht="18" customHeight="1"/>
    <row r="1177" ht="18" customHeight="1"/>
    <row r="1178" ht="18" customHeight="1"/>
    <row r="1179" ht="18" customHeight="1"/>
    <row r="1180" ht="18" customHeight="1"/>
    <row r="1181" ht="18" customHeight="1"/>
    <row r="1182" ht="18" customHeight="1"/>
    <row r="1183" ht="18" customHeight="1"/>
    <row r="1184" ht="18" customHeight="1"/>
    <row r="1185" ht="18" customHeight="1"/>
    <row r="1186" ht="18" customHeight="1"/>
    <row r="1187" ht="18" customHeight="1"/>
    <row r="1188" ht="18" customHeight="1"/>
    <row r="1189" ht="18" customHeight="1"/>
    <row r="1190" ht="18" customHeight="1"/>
    <row r="1191" ht="18" customHeight="1"/>
    <row r="1192" ht="18" customHeight="1"/>
    <row r="1193" ht="18" customHeight="1"/>
    <row r="1194" ht="18" customHeight="1"/>
    <row r="1195" ht="18" customHeight="1"/>
    <row r="1196" ht="18" customHeight="1"/>
    <row r="1197" ht="18" customHeight="1"/>
    <row r="1198" ht="18" customHeight="1"/>
    <row r="1199" ht="18" customHeight="1"/>
    <row r="1200" ht="18" customHeight="1"/>
    <row r="1201" ht="18" customHeight="1"/>
    <row r="1202" ht="18" customHeight="1"/>
    <row r="1203" ht="18" customHeight="1"/>
    <row r="1204" ht="18" customHeight="1"/>
    <row r="1205" ht="18" customHeight="1"/>
    <row r="1206" ht="18" customHeight="1"/>
    <row r="1207" ht="18" customHeight="1"/>
    <row r="1208" ht="18" customHeight="1"/>
    <row r="1209" ht="18" customHeight="1"/>
    <row r="1210" ht="18" customHeight="1"/>
    <row r="1211" ht="18" customHeight="1"/>
    <row r="1212" ht="18" customHeight="1"/>
    <row r="1213" ht="18" customHeight="1"/>
    <row r="1214" ht="18" customHeight="1"/>
    <row r="1215" ht="18" customHeight="1"/>
    <row r="1216" ht="18" customHeight="1"/>
    <row r="1217" ht="18" customHeight="1"/>
    <row r="1218" ht="18" customHeight="1"/>
    <row r="1219" ht="18" customHeight="1"/>
    <row r="1220" ht="18" customHeight="1"/>
    <row r="1221" ht="18" customHeight="1"/>
    <row r="1222" ht="18" customHeight="1"/>
    <row r="1223" ht="18" customHeight="1"/>
    <row r="1224" ht="18" customHeight="1"/>
    <row r="1225" ht="18" customHeight="1"/>
    <row r="1226" ht="18" customHeight="1"/>
    <row r="1227" ht="18" customHeight="1"/>
    <row r="1228" ht="18" customHeight="1"/>
    <row r="1229" ht="18" customHeight="1"/>
    <row r="1230" ht="18" customHeight="1"/>
    <row r="1231" ht="18" customHeight="1"/>
    <row r="1232" ht="18" customHeight="1"/>
    <row r="1233" ht="18" customHeight="1"/>
    <row r="1234" ht="18" customHeight="1"/>
    <row r="1235" ht="18" customHeight="1"/>
    <row r="1236" ht="18" customHeight="1"/>
    <row r="1237" ht="18" customHeight="1"/>
    <row r="1238" ht="18" customHeight="1"/>
    <row r="1239" ht="18" customHeight="1"/>
    <row r="1240" ht="18" customHeight="1"/>
    <row r="1241" ht="18" customHeight="1"/>
    <row r="1242" ht="18" customHeight="1"/>
    <row r="1243" ht="18" customHeight="1"/>
    <row r="1244" ht="18" customHeight="1"/>
    <row r="1245" ht="18" customHeight="1"/>
    <row r="1246" ht="18" customHeight="1"/>
    <row r="1247" ht="18" customHeight="1"/>
    <row r="1248" ht="18" customHeight="1"/>
    <row r="1249" ht="18" customHeight="1"/>
    <row r="1250" ht="18" customHeight="1"/>
    <row r="1251" ht="18" customHeight="1"/>
    <row r="1252" ht="18" customHeight="1"/>
    <row r="1253" ht="18" customHeight="1"/>
    <row r="1254" ht="18" customHeight="1"/>
    <row r="1255" ht="18" customHeight="1"/>
    <row r="1256" ht="18" customHeight="1"/>
    <row r="1257" ht="18" customHeight="1"/>
    <row r="1258" ht="18" customHeight="1"/>
    <row r="1259" ht="18" customHeight="1"/>
    <row r="1260" ht="18" customHeight="1"/>
    <row r="1261" ht="18" customHeight="1"/>
    <row r="1262" ht="18" customHeight="1"/>
    <row r="1263" ht="18" customHeight="1"/>
    <row r="1264" ht="18" customHeight="1"/>
    <row r="1265" ht="18" customHeight="1"/>
    <row r="1266" ht="18" customHeight="1"/>
    <row r="1267" ht="18" customHeight="1"/>
    <row r="1268" ht="18" customHeight="1"/>
    <row r="1269" ht="18" customHeight="1"/>
    <row r="1270" ht="18" customHeight="1"/>
    <row r="1271" ht="18" customHeight="1"/>
    <row r="1272" ht="18" customHeight="1"/>
    <row r="1273" ht="18" customHeight="1"/>
    <row r="1274" ht="18" customHeight="1"/>
    <row r="1275" ht="18" customHeight="1"/>
    <row r="1276" ht="18" customHeight="1"/>
    <row r="1277" ht="18" customHeight="1"/>
    <row r="1278" ht="18" customHeight="1"/>
    <row r="1279" ht="18" customHeight="1"/>
    <row r="1280" ht="18" customHeight="1"/>
    <row r="1281" ht="18" customHeight="1"/>
    <row r="1282" ht="18" customHeight="1"/>
    <row r="1283" ht="18" customHeight="1"/>
    <row r="1284" ht="18" customHeight="1"/>
    <row r="1285" ht="18" customHeight="1"/>
    <row r="1286" ht="18" customHeight="1"/>
    <row r="1287" ht="18" customHeight="1"/>
    <row r="1288" ht="18" customHeight="1"/>
    <row r="1289" ht="18" customHeight="1"/>
    <row r="1290" ht="18" customHeight="1"/>
    <row r="1291" ht="18" customHeight="1"/>
    <row r="1292" ht="18" customHeight="1"/>
    <row r="1293" ht="18" customHeight="1"/>
    <row r="1294" ht="18" customHeight="1"/>
    <row r="1295" ht="18" customHeight="1"/>
    <row r="1296" ht="18" customHeight="1"/>
    <row r="1297" ht="18" customHeight="1"/>
    <row r="1298" ht="18" customHeight="1"/>
    <row r="1299" ht="18" customHeight="1"/>
    <row r="1300" ht="18" customHeight="1"/>
    <row r="1301" ht="18" customHeight="1"/>
    <row r="1302" ht="18" customHeight="1"/>
    <row r="1303" ht="18" customHeight="1"/>
    <row r="1304" ht="18" customHeight="1"/>
    <row r="1305" ht="18" customHeight="1"/>
    <row r="1306" ht="18" customHeight="1"/>
    <row r="1307" ht="18" customHeight="1"/>
    <row r="1308" ht="18" customHeight="1"/>
    <row r="1309" ht="18" customHeight="1"/>
    <row r="1310" ht="18" customHeight="1"/>
    <row r="1311" ht="18" customHeight="1"/>
    <row r="1312" ht="18" customHeight="1"/>
    <row r="1313" ht="18" customHeight="1"/>
    <row r="1314" ht="18" customHeight="1"/>
    <row r="1315" ht="18" customHeight="1"/>
    <row r="1316" ht="18" customHeight="1"/>
    <row r="1317" ht="18" customHeight="1"/>
    <row r="1318" ht="18" customHeight="1"/>
    <row r="1319" ht="18" customHeight="1"/>
    <row r="1320" ht="18" customHeight="1"/>
    <row r="1321" ht="18" customHeight="1"/>
    <row r="1322" ht="18" customHeight="1"/>
    <row r="1323" ht="18" customHeight="1"/>
    <row r="1324" ht="18" customHeight="1"/>
    <row r="1325" ht="18" customHeight="1"/>
    <row r="1326" ht="18" customHeight="1"/>
    <row r="1327" ht="18" customHeight="1"/>
    <row r="1328" ht="18" customHeight="1"/>
    <row r="1329" ht="18" customHeight="1"/>
    <row r="1330" ht="18" customHeight="1"/>
    <row r="1331" ht="18" customHeight="1"/>
    <row r="1332" ht="18" customHeight="1"/>
    <row r="1333" ht="18" customHeight="1"/>
    <row r="1334" ht="18" customHeight="1"/>
    <row r="1335" ht="18" customHeight="1"/>
    <row r="1336" ht="18" customHeight="1"/>
    <row r="1337" ht="18" customHeight="1"/>
    <row r="1338" ht="18" customHeight="1"/>
    <row r="1339" ht="18" customHeight="1"/>
    <row r="1340" ht="18" customHeight="1"/>
    <row r="1341" ht="18" customHeight="1"/>
    <row r="1342" ht="18" customHeight="1"/>
    <row r="1343" ht="18" customHeight="1"/>
    <row r="1344" ht="18" customHeight="1"/>
    <row r="1345" ht="18" customHeight="1"/>
    <row r="1346" ht="18" customHeight="1"/>
    <row r="1347" ht="18" customHeight="1"/>
    <row r="1348" ht="18" customHeight="1"/>
    <row r="1349" ht="18" customHeight="1"/>
    <row r="1350" ht="18" customHeight="1"/>
    <row r="1351" ht="18" customHeight="1"/>
    <row r="1352" ht="18" customHeight="1"/>
    <row r="1353" ht="18" customHeight="1"/>
    <row r="1354" ht="18" customHeight="1"/>
    <row r="1355" ht="18" customHeight="1"/>
    <row r="1356" ht="18" customHeight="1"/>
    <row r="1357" ht="18" customHeight="1"/>
    <row r="1358" ht="18" customHeight="1"/>
    <row r="1359" ht="18" customHeight="1"/>
    <row r="1360" ht="18" customHeight="1"/>
    <row r="1361" ht="18" customHeight="1"/>
    <row r="1362" ht="18" customHeight="1"/>
    <row r="1363" ht="18" customHeight="1"/>
    <row r="1364" ht="18" customHeight="1"/>
    <row r="1365" ht="18" customHeight="1"/>
    <row r="1366" ht="18" customHeight="1"/>
    <row r="1367" ht="18" customHeight="1"/>
    <row r="1368" ht="18" customHeight="1"/>
    <row r="1369" ht="18" customHeight="1"/>
    <row r="1370" ht="18" customHeight="1"/>
    <row r="1371" ht="18" customHeight="1"/>
    <row r="1372" ht="18" customHeight="1"/>
    <row r="1373" ht="18" customHeight="1"/>
    <row r="1374" ht="18" customHeight="1"/>
    <row r="1375" ht="18" customHeight="1"/>
    <row r="1376" ht="18" customHeight="1"/>
    <row r="1377" ht="18" customHeight="1"/>
    <row r="1378" ht="18" customHeight="1"/>
    <row r="1379" ht="18" customHeight="1"/>
    <row r="1380" ht="18" customHeight="1"/>
    <row r="1381" ht="18" customHeight="1"/>
    <row r="1382" ht="18" customHeight="1"/>
    <row r="1383" ht="18" customHeight="1"/>
    <row r="1384" ht="18" customHeight="1"/>
    <row r="1385" ht="18" customHeight="1"/>
    <row r="1386" ht="18" customHeight="1"/>
    <row r="1387" ht="18" customHeight="1"/>
    <row r="1388" ht="18" customHeight="1"/>
    <row r="1389" ht="18" customHeight="1"/>
    <row r="1390" ht="18" customHeight="1"/>
    <row r="1391" ht="18" customHeight="1"/>
    <row r="1392" ht="18" customHeight="1"/>
    <row r="1393" ht="18" customHeight="1"/>
    <row r="1394" ht="18" customHeight="1"/>
    <row r="1395" ht="18" customHeight="1"/>
    <row r="1396" ht="18" customHeight="1"/>
    <row r="1397" ht="18" customHeight="1"/>
    <row r="1398" ht="18" customHeight="1"/>
    <row r="1399" ht="18" customHeight="1"/>
    <row r="1400" ht="18" customHeight="1"/>
    <row r="1401" ht="18" customHeight="1"/>
    <row r="1402" ht="18" customHeight="1"/>
    <row r="1403" ht="18" customHeight="1"/>
    <row r="1404" ht="18" customHeight="1"/>
    <row r="1405" ht="18" customHeight="1"/>
    <row r="1406" ht="18" customHeight="1"/>
    <row r="1407" ht="18" customHeight="1"/>
    <row r="1408" ht="18" customHeight="1"/>
    <row r="1409" ht="18" customHeight="1"/>
    <row r="1410" ht="18" customHeight="1"/>
    <row r="1411" ht="18" customHeight="1"/>
    <row r="1412" ht="18" customHeight="1"/>
    <row r="1413" ht="18" customHeight="1"/>
    <row r="1414" ht="18" customHeight="1"/>
    <row r="1415" ht="18" customHeight="1"/>
    <row r="1416" ht="18" customHeight="1"/>
    <row r="1417" ht="18" customHeight="1"/>
    <row r="1418" ht="18" customHeight="1"/>
    <row r="1419" ht="18" customHeight="1"/>
    <row r="1420" ht="18" customHeight="1"/>
    <row r="1421" ht="18" customHeight="1"/>
    <row r="1422" ht="18" customHeight="1"/>
    <row r="1423" ht="18" customHeight="1"/>
    <row r="1424" ht="18" customHeight="1"/>
    <row r="1425" ht="18" customHeight="1"/>
    <row r="1426" ht="18" customHeight="1"/>
    <row r="1427" ht="18" customHeight="1"/>
    <row r="1428" ht="18" customHeight="1"/>
    <row r="1429" ht="18" customHeight="1"/>
    <row r="1430" ht="18" customHeight="1"/>
    <row r="1431" ht="18" customHeight="1"/>
    <row r="1432" ht="18" customHeight="1"/>
    <row r="1433" ht="18" customHeight="1"/>
    <row r="1434" ht="18" customHeight="1"/>
    <row r="1435" ht="18" customHeight="1"/>
    <row r="1436" ht="18" customHeight="1"/>
    <row r="1437" ht="18" customHeight="1"/>
    <row r="1438" ht="18" customHeight="1"/>
    <row r="1439" ht="18" customHeight="1"/>
    <row r="1440" ht="18" customHeight="1"/>
    <row r="1441" ht="18" customHeight="1"/>
    <row r="1442" ht="18" customHeight="1"/>
    <row r="1443" ht="18" customHeight="1"/>
    <row r="1444" ht="18" customHeight="1"/>
    <row r="1445" ht="18" customHeight="1"/>
    <row r="1446" ht="18" customHeight="1"/>
    <row r="1447" ht="18" customHeight="1"/>
    <row r="1448" ht="18" customHeight="1"/>
    <row r="1449" ht="18" customHeight="1"/>
    <row r="1450" ht="18" customHeight="1"/>
    <row r="1451" ht="18" customHeight="1"/>
    <row r="1452" ht="18" customHeight="1"/>
    <row r="1453" ht="18" customHeight="1"/>
    <row r="1454" ht="18" customHeight="1"/>
    <row r="1455" ht="18" customHeight="1"/>
    <row r="1456" ht="18" customHeight="1"/>
    <row r="1457" ht="18" customHeight="1"/>
    <row r="1458" ht="18" customHeight="1"/>
    <row r="1459" ht="18" customHeight="1"/>
    <row r="1460" ht="18" customHeight="1"/>
    <row r="1461" ht="18" customHeight="1"/>
    <row r="1462" ht="18" customHeight="1"/>
    <row r="1463" ht="18" customHeight="1"/>
    <row r="1464" ht="18" customHeight="1"/>
    <row r="1465" ht="18" customHeight="1"/>
    <row r="1466" ht="18" customHeight="1"/>
    <row r="1467" ht="18" customHeight="1"/>
    <row r="1468" ht="18" customHeight="1"/>
    <row r="1469" ht="18" customHeight="1"/>
    <row r="1470" ht="18" customHeight="1"/>
    <row r="1471" ht="18" customHeight="1"/>
    <row r="1472" ht="18" customHeight="1"/>
    <row r="1473" ht="18" customHeight="1"/>
    <row r="1474" ht="18" customHeight="1"/>
    <row r="1475" ht="18" customHeight="1"/>
    <row r="1476" ht="18" customHeight="1"/>
    <row r="1477" ht="18" customHeight="1"/>
    <row r="1478" ht="18" customHeight="1"/>
    <row r="1479" ht="18" customHeight="1"/>
    <row r="1480" ht="18" customHeight="1"/>
    <row r="1481" ht="18" customHeight="1"/>
    <row r="1482" ht="18" customHeight="1"/>
    <row r="1483" ht="18" customHeight="1"/>
    <row r="1484" ht="18" customHeight="1"/>
    <row r="1485" ht="18" customHeight="1"/>
    <row r="1486" ht="18" customHeight="1"/>
    <row r="1487" ht="18" customHeight="1"/>
    <row r="1488" ht="18" customHeight="1"/>
    <row r="1489" ht="18" customHeight="1"/>
    <row r="1490" ht="18" customHeight="1"/>
    <row r="1491" ht="18" customHeight="1"/>
    <row r="1492" ht="18" customHeight="1"/>
    <row r="1493" ht="18" customHeight="1"/>
    <row r="1494" ht="18" customHeight="1"/>
    <row r="1495" ht="18" customHeight="1"/>
    <row r="1496" ht="18" customHeight="1"/>
    <row r="1497" ht="18" customHeight="1"/>
    <row r="1498" ht="18" customHeight="1"/>
    <row r="1499" ht="18" customHeight="1"/>
    <row r="1500" ht="18" customHeight="1"/>
    <row r="1501" ht="18" customHeight="1"/>
    <row r="1502" ht="18" customHeight="1"/>
    <row r="1503" ht="18" customHeight="1"/>
    <row r="1504" ht="18" customHeight="1"/>
    <row r="1505" ht="18" customHeight="1"/>
    <row r="1506" ht="18" customHeight="1"/>
    <row r="1507" ht="18" customHeight="1"/>
    <row r="1508" ht="18" customHeight="1"/>
    <row r="1509" ht="18" customHeight="1"/>
    <row r="1510" ht="18" customHeight="1"/>
    <row r="1511" ht="18" customHeight="1"/>
    <row r="1512" ht="18" customHeight="1"/>
    <row r="1513" ht="18" customHeight="1"/>
    <row r="1514" ht="18" customHeight="1"/>
    <row r="1515" ht="18" customHeight="1"/>
    <row r="1516" ht="18" customHeight="1"/>
    <row r="1517" ht="18" customHeight="1"/>
    <row r="1518" ht="18" customHeight="1"/>
    <row r="1519" ht="18" customHeight="1"/>
    <row r="1520" ht="18" customHeight="1"/>
    <row r="1521" ht="18" customHeight="1"/>
    <row r="1522" ht="18" customHeight="1"/>
    <row r="1523" ht="18" customHeight="1"/>
    <row r="1524" ht="18" customHeight="1"/>
    <row r="1525" ht="18" customHeight="1"/>
    <row r="1526" ht="18" customHeight="1"/>
    <row r="1527" ht="18" customHeight="1"/>
    <row r="1528" ht="18" customHeight="1"/>
    <row r="1529" ht="18" customHeight="1"/>
    <row r="1530" ht="18" customHeight="1"/>
    <row r="1531" ht="18" customHeight="1"/>
    <row r="1532" ht="18" customHeight="1"/>
    <row r="1533" ht="18" customHeight="1"/>
    <row r="1534" ht="18" customHeight="1"/>
    <row r="1535" ht="18" customHeight="1"/>
    <row r="1536" ht="18" customHeight="1"/>
    <row r="1537" ht="18" customHeight="1"/>
    <row r="1538" ht="18" customHeight="1"/>
    <row r="1539" ht="18" customHeight="1"/>
    <row r="1540" ht="18" customHeight="1"/>
    <row r="1541" ht="18" customHeight="1"/>
    <row r="1542" ht="18" customHeight="1"/>
    <row r="1543" ht="18" customHeight="1"/>
    <row r="1544" ht="18" customHeight="1"/>
    <row r="1545" ht="18" customHeight="1"/>
    <row r="1546" ht="18" customHeight="1"/>
    <row r="1547" ht="18" customHeight="1"/>
    <row r="1548" ht="18" customHeight="1"/>
    <row r="1549" ht="18" customHeight="1"/>
    <row r="1550" ht="18" customHeight="1"/>
    <row r="1551" ht="18" customHeight="1"/>
    <row r="1552" ht="18" customHeight="1"/>
    <row r="1553" ht="18" customHeight="1"/>
    <row r="1554" ht="18" customHeight="1"/>
    <row r="1555" ht="18" customHeight="1"/>
    <row r="1556" ht="18" customHeight="1"/>
    <row r="1557" ht="18" customHeight="1"/>
    <row r="1558" ht="18" customHeight="1"/>
    <row r="1559" ht="18" customHeight="1"/>
    <row r="1560" ht="18" customHeight="1"/>
    <row r="1561" ht="18" customHeight="1"/>
    <row r="1562" ht="18" customHeight="1"/>
    <row r="1563" ht="18" customHeight="1"/>
    <row r="1564" ht="18" customHeight="1"/>
    <row r="1565" ht="18" customHeight="1"/>
    <row r="1566" ht="18" customHeight="1"/>
    <row r="1567" ht="18" customHeight="1"/>
    <row r="1568" ht="18" customHeight="1"/>
    <row r="1569" ht="18" customHeight="1"/>
    <row r="1570" ht="18" customHeight="1"/>
    <row r="1571" ht="18" customHeight="1"/>
    <row r="1572" ht="18" customHeight="1"/>
    <row r="1573" ht="18" customHeight="1"/>
    <row r="1574" ht="18" customHeight="1"/>
    <row r="1575" ht="18" customHeight="1"/>
    <row r="1576" ht="18" customHeight="1"/>
    <row r="1577" ht="18" customHeight="1"/>
    <row r="1578" ht="18" customHeight="1"/>
    <row r="1579" ht="18" customHeight="1"/>
    <row r="1580" ht="18" customHeight="1"/>
    <row r="1581" ht="18" customHeight="1"/>
    <row r="1582" ht="18" customHeight="1"/>
    <row r="1583" ht="18" customHeight="1"/>
    <row r="1584" ht="18" customHeight="1"/>
    <row r="1585" ht="18" customHeight="1"/>
    <row r="1586" ht="18" customHeight="1"/>
    <row r="1587" ht="18" customHeight="1"/>
    <row r="1588" ht="18" customHeight="1"/>
    <row r="1589" ht="18" customHeight="1"/>
    <row r="1590" ht="18" customHeight="1"/>
    <row r="1591" ht="18" customHeight="1"/>
    <row r="1592" ht="18" customHeight="1"/>
    <row r="1593" ht="18" customHeight="1"/>
    <row r="1594" ht="18" customHeight="1"/>
    <row r="1595" ht="18" customHeight="1"/>
    <row r="1596" ht="18" customHeight="1"/>
    <row r="1597" ht="18" customHeight="1"/>
    <row r="1598" ht="18" customHeight="1"/>
    <row r="1599" ht="18" customHeight="1"/>
    <row r="1600" ht="18" customHeight="1"/>
    <row r="1601" ht="18" customHeight="1"/>
    <row r="1602" ht="18" customHeight="1"/>
    <row r="1603" ht="18" customHeight="1"/>
    <row r="1604" ht="18" customHeight="1"/>
    <row r="1605" ht="18" customHeight="1"/>
    <row r="1606" ht="18" customHeight="1"/>
    <row r="1607" ht="18" customHeight="1"/>
    <row r="1608" ht="18" customHeight="1"/>
    <row r="1609" ht="18" customHeight="1"/>
    <row r="1610" ht="18" customHeight="1"/>
    <row r="1611" ht="18" customHeight="1"/>
    <row r="1612" ht="18" customHeight="1"/>
    <row r="1613" ht="18" customHeight="1"/>
    <row r="1614" ht="18" customHeight="1"/>
    <row r="1615" ht="18" customHeight="1"/>
    <row r="1616" ht="18" customHeight="1"/>
    <row r="1617" ht="18" customHeight="1"/>
    <row r="1618" ht="18" customHeight="1"/>
    <row r="1619" ht="18" customHeight="1"/>
    <row r="1620" ht="18" customHeight="1"/>
    <row r="1621" ht="18" customHeight="1"/>
    <row r="1622" ht="18" customHeight="1"/>
    <row r="1623" ht="18" customHeight="1"/>
    <row r="1624" ht="18" customHeight="1"/>
    <row r="1625" ht="18" customHeight="1"/>
    <row r="1626" ht="18" customHeight="1"/>
    <row r="1627" ht="18" customHeight="1"/>
    <row r="1628" ht="18" customHeight="1"/>
    <row r="1629" ht="18" customHeight="1"/>
    <row r="1630" ht="18" customHeight="1"/>
    <row r="1631" ht="18" customHeight="1"/>
    <row r="1632" ht="18" customHeight="1"/>
    <row r="1633" ht="18" customHeight="1"/>
    <row r="1634" ht="18" customHeight="1"/>
    <row r="1635" ht="18" customHeight="1"/>
    <row r="1636" ht="18" customHeight="1"/>
    <row r="1637" ht="18" customHeight="1"/>
    <row r="1638" ht="18" customHeight="1"/>
    <row r="1639" ht="18" customHeight="1"/>
    <row r="1640" ht="18" customHeight="1"/>
    <row r="1641" ht="18" customHeight="1"/>
    <row r="1642" ht="18" customHeight="1"/>
    <row r="1643" ht="18" customHeight="1"/>
    <row r="1644" ht="18" customHeight="1"/>
    <row r="1645" ht="18" customHeight="1"/>
    <row r="1646" ht="18" customHeight="1"/>
    <row r="1647" ht="18" customHeight="1"/>
    <row r="1648" ht="18" customHeight="1"/>
    <row r="1649" ht="18" customHeight="1"/>
    <row r="1650" ht="18" customHeight="1"/>
    <row r="1651" ht="18" customHeight="1"/>
    <row r="1652" ht="18" customHeight="1"/>
    <row r="1653" ht="18" customHeight="1"/>
    <row r="1654" ht="18" customHeight="1"/>
    <row r="1655" ht="18" customHeight="1"/>
    <row r="1656" ht="18" customHeight="1"/>
    <row r="1657" ht="18" customHeight="1"/>
    <row r="1658" ht="18" customHeight="1"/>
    <row r="1659" ht="18" customHeight="1"/>
    <row r="1660" ht="18" customHeight="1"/>
    <row r="1661" ht="18" customHeight="1"/>
    <row r="1662" ht="18" customHeight="1"/>
    <row r="1663" ht="18" customHeight="1"/>
    <row r="1664" ht="18" customHeight="1"/>
    <row r="1665" ht="18" customHeight="1"/>
    <row r="1666" ht="18" customHeight="1"/>
    <row r="1667" ht="18" customHeight="1"/>
    <row r="1668" ht="18" customHeight="1"/>
    <row r="1669" ht="18" customHeight="1"/>
    <row r="1670" ht="18" customHeight="1"/>
    <row r="1671" ht="18" customHeight="1"/>
    <row r="1672" ht="18" customHeight="1"/>
    <row r="1673" ht="18" customHeight="1"/>
    <row r="1674" ht="18" customHeight="1"/>
    <row r="1675" ht="18" customHeight="1"/>
    <row r="1676" ht="18" customHeight="1"/>
    <row r="1677" ht="18" customHeight="1"/>
    <row r="1678" ht="18" customHeight="1"/>
    <row r="1679" ht="18" customHeight="1"/>
    <row r="1680" ht="18" customHeight="1"/>
    <row r="1681" ht="18" customHeight="1"/>
    <row r="1682" ht="18" customHeight="1"/>
    <row r="1683" ht="18" customHeight="1"/>
    <row r="1684" ht="18" customHeight="1"/>
    <row r="1685" ht="18" customHeight="1"/>
    <row r="1686" ht="18" customHeight="1"/>
    <row r="1687" ht="18" customHeight="1"/>
    <row r="1688" ht="18" customHeight="1"/>
    <row r="1689" ht="18" customHeight="1"/>
    <row r="1690" ht="18" customHeight="1"/>
    <row r="1691" ht="18" customHeight="1"/>
    <row r="1692" ht="18" customHeight="1"/>
    <row r="1693" ht="18" customHeight="1"/>
    <row r="1694" ht="18" customHeight="1"/>
    <row r="1695" ht="18" customHeight="1"/>
    <row r="1696" ht="18" customHeight="1"/>
    <row r="1697" ht="18" customHeight="1"/>
    <row r="1698" ht="18" customHeight="1"/>
    <row r="1699" ht="18" customHeight="1"/>
    <row r="1700" ht="18" customHeight="1"/>
    <row r="1701" ht="18" customHeight="1"/>
    <row r="1702" ht="18" customHeight="1"/>
    <row r="1703" ht="18" customHeight="1"/>
    <row r="1704" ht="18" customHeight="1"/>
    <row r="1705" ht="18" customHeight="1"/>
    <row r="1706" ht="18" customHeight="1"/>
    <row r="1707" ht="18" customHeight="1"/>
    <row r="1708" ht="18" customHeight="1"/>
    <row r="1709" ht="18" customHeight="1"/>
    <row r="1710" ht="18" customHeight="1"/>
    <row r="1711" ht="18" customHeight="1"/>
    <row r="1712" ht="18" customHeight="1"/>
    <row r="1713" ht="18" customHeight="1"/>
    <row r="1714" ht="18" customHeight="1"/>
    <row r="1715" ht="18" customHeight="1"/>
    <row r="1716" ht="18" customHeight="1"/>
    <row r="1717" ht="18" customHeight="1"/>
    <row r="1718" ht="18" customHeight="1"/>
    <row r="1719" ht="18" customHeight="1"/>
    <row r="1720" ht="18" customHeight="1"/>
    <row r="1721" ht="18" customHeight="1"/>
    <row r="1722" ht="18" customHeight="1"/>
    <row r="1723" ht="18" customHeight="1"/>
    <row r="1724" ht="18" customHeight="1"/>
    <row r="1725" ht="18" customHeight="1"/>
    <row r="1726" ht="18" customHeight="1"/>
    <row r="1727" ht="18" customHeight="1"/>
    <row r="1728" ht="18" customHeight="1"/>
    <row r="1729" ht="18" customHeight="1"/>
    <row r="1730" ht="18" customHeight="1"/>
    <row r="1731" ht="18" customHeight="1"/>
    <row r="1732" ht="18" customHeight="1"/>
    <row r="1733" ht="18" customHeight="1"/>
    <row r="1734" ht="18" customHeight="1"/>
    <row r="1735" ht="18" customHeight="1"/>
    <row r="1736" ht="18" customHeight="1"/>
    <row r="1737" ht="18" customHeight="1"/>
    <row r="1738" ht="18" customHeight="1"/>
    <row r="1739" ht="18" customHeight="1"/>
    <row r="1740" ht="18" customHeight="1"/>
    <row r="1741" ht="18" customHeight="1"/>
    <row r="1742" ht="18" customHeight="1"/>
    <row r="1743" ht="18" customHeight="1"/>
    <row r="1744" ht="18" customHeight="1"/>
    <row r="1745" ht="18" customHeight="1"/>
    <row r="1746" ht="18" customHeight="1"/>
    <row r="1747" ht="18" customHeight="1"/>
    <row r="1748" ht="18" customHeight="1"/>
    <row r="1749" ht="18" customHeight="1"/>
    <row r="1750" ht="18" customHeight="1"/>
    <row r="1751" ht="18" customHeight="1"/>
    <row r="1752" ht="18" customHeight="1"/>
    <row r="1753" ht="18" customHeight="1"/>
    <row r="1754" ht="18" customHeight="1"/>
    <row r="1755" ht="18" customHeight="1"/>
    <row r="1756" ht="18" customHeight="1"/>
    <row r="1757" ht="18" customHeight="1"/>
    <row r="1758" ht="18" customHeight="1"/>
    <row r="1759" ht="18" customHeight="1"/>
    <row r="1760" ht="18" customHeight="1"/>
    <row r="1761" ht="18" customHeight="1"/>
    <row r="1762" ht="18" customHeight="1"/>
    <row r="1763" ht="18" customHeight="1"/>
    <row r="1764" ht="18" customHeight="1"/>
    <row r="1765" ht="18" customHeight="1"/>
    <row r="1766" ht="18" customHeight="1"/>
    <row r="1767" ht="18" customHeight="1"/>
    <row r="1768" ht="18" customHeight="1"/>
    <row r="1769" ht="18" customHeight="1"/>
    <row r="1770" ht="18" customHeight="1"/>
    <row r="1771" ht="18" customHeight="1"/>
    <row r="1772" ht="18" customHeight="1"/>
    <row r="1773" ht="18" customHeight="1"/>
    <row r="1774" ht="18" customHeight="1"/>
    <row r="1775" ht="18" customHeight="1"/>
    <row r="1776" ht="18" customHeight="1"/>
    <row r="1777" ht="18" customHeight="1"/>
    <row r="1778" ht="18" customHeight="1"/>
    <row r="1779" ht="18" customHeight="1"/>
    <row r="1780" ht="18" customHeight="1"/>
    <row r="1781" ht="18" customHeight="1"/>
    <row r="1782" ht="18" customHeight="1"/>
    <row r="1783" ht="18" customHeight="1"/>
    <row r="1784" ht="18" customHeight="1"/>
    <row r="1785" ht="18" customHeight="1"/>
    <row r="1786" ht="18" customHeight="1"/>
    <row r="1787" ht="18" customHeight="1"/>
    <row r="1788" ht="18" customHeight="1"/>
    <row r="1789" ht="18" customHeight="1"/>
    <row r="1790" ht="18" customHeight="1"/>
    <row r="1791" ht="18" customHeight="1"/>
    <row r="1792" ht="18" customHeight="1"/>
    <row r="1793" ht="18" customHeight="1"/>
    <row r="1794" ht="18" customHeight="1"/>
    <row r="1795" ht="18" customHeight="1"/>
    <row r="1796" ht="18" customHeight="1"/>
    <row r="1797" ht="18" customHeight="1"/>
    <row r="1798" ht="18" customHeight="1"/>
    <row r="1799" ht="18" customHeight="1"/>
    <row r="1800" ht="18" customHeight="1"/>
    <row r="1801" ht="18" customHeight="1"/>
    <row r="1802" ht="18" customHeight="1"/>
    <row r="1803" ht="18" customHeight="1"/>
    <row r="1804" ht="18" customHeight="1"/>
    <row r="1805" ht="18" customHeight="1"/>
    <row r="1806" ht="18" customHeight="1"/>
    <row r="1807" ht="18" customHeight="1"/>
    <row r="1808" ht="18" customHeight="1"/>
    <row r="1809" ht="18" customHeight="1"/>
    <row r="1810" ht="18" customHeight="1"/>
    <row r="1811" ht="18" customHeight="1"/>
    <row r="1812" ht="18" customHeight="1"/>
    <row r="1813" ht="18" customHeight="1"/>
    <row r="1814" ht="18" customHeight="1"/>
    <row r="1815" ht="18" customHeight="1"/>
    <row r="1816" ht="18" customHeight="1"/>
    <row r="1817" ht="18" customHeight="1"/>
    <row r="1818" ht="18" customHeight="1"/>
    <row r="1819" ht="18" customHeight="1"/>
    <row r="1820" ht="18" customHeight="1"/>
    <row r="1821" ht="18" customHeight="1"/>
    <row r="1822" ht="18" customHeight="1"/>
    <row r="1823" ht="18" customHeight="1"/>
    <row r="1824" ht="18" customHeight="1"/>
    <row r="1825" ht="18" customHeight="1"/>
    <row r="1826" ht="18" customHeight="1"/>
    <row r="1827" ht="18" customHeight="1"/>
    <row r="1828" ht="18" customHeight="1"/>
    <row r="1829" ht="18" customHeight="1"/>
    <row r="1830" ht="18" customHeight="1"/>
    <row r="1831" ht="18" customHeight="1"/>
    <row r="1832" ht="18" customHeight="1"/>
    <row r="1833" ht="18" customHeight="1"/>
    <row r="1834" ht="18" customHeight="1"/>
    <row r="1835" ht="18" customHeight="1"/>
    <row r="1836" ht="18" customHeight="1"/>
    <row r="1837" ht="18" customHeight="1"/>
    <row r="1838" ht="18" customHeight="1"/>
    <row r="1839" ht="18" customHeight="1"/>
    <row r="1840" ht="18" customHeight="1"/>
    <row r="1841" ht="18" customHeight="1"/>
    <row r="1842" ht="18" customHeight="1"/>
    <row r="1843" ht="18" customHeight="1"/>
    <row r="1844" ht="18" customHeight="1"/>
    <row r="1845" ht="18" customHeight="1"/>
    <row r="1846" ht="18" customHeight="1"/>
  </sheetData>
  <mergeCells count="52">
    <mergeCell ref="C37:E37"/>
    <mergeCell ref="C38:E38"/>
    <mergeCell ref="C39:E39"/>
    <mergeCell ref="C40:E40"/>
    <mergeCell ref="B41:G41"/>
    <mergeCell ref="C31:E31"/>
    <mergeCell ref="C32:E32"/>
    <mergeCell ref="C33:E33"/>
    <mergeCell ref="C34:E34"/>
    <mergeCell ref="C35:E35"/>
    <mergeCell ref="C26:E26"/>
    <mergeCell ref="C27:E27"/>
    <mergeCell ref="C28:E28"/>
    <mergeCell ref="C29:E29"/>
    <mergeCell ref="C30:E30"/>
    <mergeCell ref="R10:R40"/>
    <mergeCell ref="C11:E11"/>
    <mergeCell ref="C12:E12"/>
    <mergeCell ref="C13:E13"/>
    <mergeCell ref="C14:E14"/>
    <mergeCell ref="C15:E15"/>
    <mergeCell ref="C16:E16"/>
    <mergeCell ref="C17:E17"/>
    <mergeCell ref="C18:E18"/>
    <mergeCell ref="C19:E19"/>
    <mergeCell ref="C20:E20"/>
    <mergeCell ref="C21:E21"/>
    <mergeCell ref="C22:E22"/>
    <mergeCell ref="C23:E23"/>
    <mergeCell ref="C36:E36"/>
    <mergeCell ref="C25:E25"/>
    <mergeCell ref="L8:L9"/>
    <mergeCell ref="P8:P9"/>
    <mergeCell ref="Q8:Q9"/>
    <mergeCell ref="C24:E24"/>
    <mergeCell ref="C10:E10"/>
    <mergeCell ref="B3:V3"/>
    <mergeCell ref="S5:T5"/>
    <mergeCell ref="B7:B9"/>
    <mergeCell ref="C7:E9"/>
    <mergeCell ref="F7:F9"/>
    <mergeCell ref="G7:G9"/>
    <mergeCell ref="H7:H9"/>
    <mergeCell ref="I7:I9"/>
    <mergeCell ref="J7:L7"/>
    <mergeCell ref="M7:M9"/>
    <mergeCell ref="N7:N9"/>
    <mergeCell ref="R7:R9"/>
    <mergeCell ref="S7:S9"/>
    <mergeCell ref="T7:T9"/>
    <mergeCell ref="J8:J9"/>
    <mergeCell ref="K8:K9"/>
  </mergeCells>
  <phoneticPr fontId="1"/>
  <conditionalFormatting sqref="J11:L40">
    <cfRule type="expression" dxfId="1" priority="1">
      <formula>G11="常勤職員"</formula>
    </cfRule>
  </conditionalFormatting>
  <dataValidations count="3">
    <dataValidation type="list" allowBlank="1" showInputMessage="1" showErrorMessage="1" sqref="G11:G40" xr:uid="{201FA26A-F33B-4E10-BA66-4D69FD337936}">
      <formula1>"常勤職員,非常勤職員"</formula1>
    </dataValidation>
    <dataValidation type="list" allowBlank="1" showInputMessage="1" showErrorMessage="1" sqref="F11:F40" xr:uid="{5D054591-C234-4180-A089-B1904A7E6909}">
      <formula1>"放課後児童支援員,補助員,育成支援の周辺業務を行う職員,その他"</formula1>
    </dataValidation>
    <dataValidation type="list" allowBlank="1" showInputMessage="1" showErrorMessage="1" sqref="M11:M40" xr:uid="{039C2FB2-7674-4A45-8C86-93FE27CA6D54}">
      <formula1>"1,2,3,4,5,6,7,8,9,10,11,12"</formula1>
    </dataValidation>
  </dataValidations>
  <printOptions horizontalCentered="1"/>
  <pageMargins left="0.23622047244094491" right="0.23622047244094491" top="0.55118110236220474" bottom="0.55118110236220474" header="0.31496062992125984" footer="0.31496062992125984"/>
  <pageSetup paperSize="9" scale="56"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F4525-CC26-4262-81B6-B1447E3B3261}">
  <sheetPr>
    <tabColor rgb="FFFFFF00"/>
  </sheetPr>
  <dimension ref="B1:C651"/>
  <sheetViews>
    <sheetView workbookViewId="0"/>
  </sheetViews>
  <sheetFormatPr defaultColWidth="9" defaultRowHeight="13.5"/>
  <cols>
    <col min="1" max="1" width="2.625" style="130" customWidth="1"/>
    <col min="2" max="2" width="25.875" style="132" customWidth="1"/>
    <col min="3" max="3" width="59.125" style="132" customWidth="1"/>
    <col min="4" max="171" width="2.625" style="130" customWidth="1"/>
    <col min="172" max="16384" width="9" style="130"/>
  </cols>
  <sheetData>
    <row r="1" spans="2:3" ht="18" customHeight="1">
      <c r="B1" s="131" t="s">
        <v>395</v>
      </c>
    </row>
    <row r="2" spans="2:3" ht="18" customHeight="1"/>
    <row r="3" spans="2:3" ht="18" customHeight="1"/>
    <row r="4" spans="2:3" ht="30" customHeight="1">
      <c r="B4" s="133" t="s">
        <v>396</v>
      </c>
      <c r="C4" s="134" t="s">
        <v>397</v>
      </c>
    </row>
    <row r="5" spans="2:3" ht="30" customHeight="1">
      <c r="B5" s="133" t="s">
        <v>398</v>
      </c>
      <c r="C5" s="134" t="s">
        <v>399</v>
      </c>
    </row>
    <row r="6" spans="2:3" ht="54">
      <c r="B6" s="133" t="s">
        <v>400</v>
      </c>
      <c r="C6" s="134" t="s">
        <v>401</v>
      </c>
    </row>
    <row r="7" spans="2:3" ht="67.5">
      <c r="B7" s="133" t="s">
        <v>402</v>
      </c>
      <c r="C7" s="134" t="s">
        <v>403</v>
      </c>
    </row>
    <row r="8" spans="2:3" ht="54">
      <c r="B8" s="133" t="s">
        <v>404</v>
      </c>
      <c r="C8" s="134" t="s">
        <v>405</v>
      </c>
    </row>
    <row r="9" spans="2:3" ht="30" customHeight="1">
      <c r="B9" s="133" t="s">
        <v>406</v>
      </c>
      <c r="C9" s="134" t="s">
        <v>407</v>
      </c>
    </row>
    <row r="10" spans="2:3" ht="67.5">
      <c r="B10" s="133" t="s">
        <v>408</v>
      </c>
      <c r="C10" s="134" t="s">
        <v>409</v>
      </c>
    </row>
    <row r="11" spans="2:3" ht="40.5">
      <c r="B11" s="133" t="s">
        <v>410</v>
      </c>
      <c r="C11" s="134" t="s">
        <v>411</v>
      </c>
    </row>
    <row r="12" spans="2:3" ht="108">
      <c r="B12" s="133" t="s">
        <v>412</v>
      </c>
      <c r="C12" s="134" t="s">
        <v>413</v>
      </c>
    </row>
    <row r="13" spans="2:3" ht="81">
      <c r="B13" s="133" t="s">
        <v>414</v>
      </c>
      <c r="C13" s="134" t="s">
        <v>415</v>
      </c>
    </row>
    <row r="14" spans="2:3" ht="81">
      <c r="B14" s="133" t="s">
        <v>416</v>
      </c>
      <c r="C14" s="134" t="s">
        <v>417</v>
      </c>
    </row>
    <row r="15" spans="2:3" ht="40.5">
      <c r="B15" s="133" t="s">
        <v>29</v>
      </c>
      <c r="C15" s="134" t="s">
        <v>418</v>
      </c>
    </row>
    <row r="16" spans="2:3" ht="30" customHeight="1"/>
    <row r="17" ht="30" customHeight="1"/>
    <row r="18" ht="30" customHeight="1"/>
    <row r="19" ht="30" customHeight="1"/>
    <row r="20" ht="30" customHeight="1"/>
    <row r="21" ht="30" customHeight="1"/>
    <row r="22" ht="30" customHeight="1"/>
    <row r="23" ht="30" customHeight="1"/>
    <row r="24" ht="30" customHeight="1"/>
    <row r="25" ht="30" customHeight="1"/>
    <row r="26" ht="30" customHeight="1"/>
    <row r="27" ht="30" customHeight="1"/>
    <row r="28" ht="30" customHeight="1"/>
    <row r="29" ht="30" customHeight="1"/>
    <row r="30" ht="30" customHeight="1"/>
    <row r="31" ht="30" customHeight="1"/>
    <row r="32"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sheetData>
  <phoneticPr fontId="1"/>
  <pageMargins left="0.25" right="0.25"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A93FF-924C-40B3-ABFF-FA83466E129F}">
  <dimension ref="A1:AQ868"/>
  <sheetViews>
    <sheetView view="pageBreakPreview" zoomScaleNormal="100" zoomScaleSheetLayoutView="100" workbookViewId="0">
      <selection activeCell="B11" sqref="B11:Q11"/>
    </sheetView>
  </sheetViews>
  <sheetFormatPr defaultColWidth="9" defaultRowHeight="13.5"/>
  <cols>
    <col min="1" max="485" width="2.625" style="128" customWidth="1"/>
    <col min="486" max="16384" width="9" style="128"/>
  </cols>
  <sheetData>
    <row r="1" spans="1:43" ht="18" customHeight="1">
      <c r="A1" s="279"/>
      <c r="B1" s="280" t="s">
        <v>481</v>
      </c>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row>
    <row r="2" spans="1:43" ht="18" customHeight="1">
      <c r="A2" s="279"/>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row>
    <row r="3" spans="1:43" ht="18" customHeight="1">
      <c r="A3" s="279"/>
      <c r="B3" s="1135" t="s">
        <v>480</v>
      </c>
      <c r="C3" s="1135"/>
      <c r="D3" s="1135"/>
      <c r="E3" s="1135"/>
      <c r="F3" s="1135"/>
      <c r="G3" s="1135"/>
      <c r="H3" s="1135"/>
      <c r="I3" s="1135"/>
      <c r="J3" s="1135"/>
      <c r="K3" s="1135"/>
      <c r="L3" s="1135"/>
      <c r="M3" s="1135"/>
      <c r="N3" s="1135"/>
      <c r="O3" s="1135"/>
      <c r="P3" s="1135"/>
      <c r="Q3" s="1135"/>
      <c r="R3" s="1135"/>
      <c r="S3" s="1135"/>
      <c r="T3" s="1135"/>
      <c r="U3" s="1135"/>
      <c r="V3" s="1135"/>
      <c r="W3" s="1135"/>
      <c r="X3" s="1135"/>
      <c r="Y3" s="1135"/>
      <c r="Z3" s="1135"/>
      <c r="AA3" s="1135"/>
      <c r="AB3" s="1135"/>
      <c r="AC3" s="1135"/>
      <c r="AD3" s="1135"/>
      <c r="AE3" s="1135"/>
      <c r="AF3" s="1135"/>
      <c r="AG3" s="1135"/>
      <c r="AH3" s="279"/>
      <c r="AI3" s="279"/>
    </row>
    <row r="4" spans="1:43" ht="18" customHeight="1">
      <c r="A4" s="279"/>
      <c r="B4" s="279"/>
      <c r="C4" s="279"/>
      <c r="D4" s="279"/>
      <c r="E4" s="279"/>
      <c r="F4" s="279"/>
      <c r="G4" s="279"/>
      <c r="H4" s="279"/>
      <c r="I4" s="279"/>
      <c r="J4" s="279"/>
      <c r="K4" s="279"/>
      <c r="L4" s="279"/>
      <c r="M4" s="279"/>
      <c r="N4" s="279"/>
      <c r="O4" s="279"/>
      <c r="P4" s="279"/>
      <c r="Q4" s="279"/>
      <c r="R4" s="279"/>
      <c r="S4" s="279"/>
      <c r="T4" s="279"/>
      <c r="U4" s="279"/>
      <c r="V4" s="279"/>
      <c r="W4" s="279"/>
      <c r="X4" s="279"/>
      <c r="Y4" s="279"/>
      <c r="Z4" s="279"/>
      <c r="AA4" s="279"/>
      <c r="AB4" s="279"/>
      <c r="AC4" s="279"/>
      <c r="AD4" s="279"/>
      <c r="AE4" s="279"/>
      <c r="AF4" s="279"/>
      <c r="AG4" s="279"/>
      <c r="AH4" s="279"/>
      <c r="AI4" s="279"/>
    </row>
    <row r="5" spans="1:43" ht="18" customHeight="1">
      <c r="A5" s="279"/>
      <c r="B5" s="279"/>
      <c r="C5" s="279"/>
      <c r="D5" s="279"/>
      <c r="E5" s="279"/>
      <c r="F5" s="279"/>
      <c r="G5" s="279"/>
      <c r="H5" s="279"/>
      <c r="I5" s="279"/>
      <c r="J5" s="279"/>
      <c r="K5" s="279"/>
      <c r="L5" s="279"/>
      <c r="M5" s="279"/>
      <c r="N5" s="279"/>
      <c r="O5" s="279"/>
      <c r="P5" s="279"/>
      <c r="Q5" s="279"/>
      <c r="R5" s="279"/>
      <c r="S5" s="279"/>
      <c r="T5" s="352" t="s">
        <v>352</v>
      </c>
      <c r="U5" s="365" t="s">
        <v>353</v>
      </c>
      <c r="V5" s="1136" t="s">
        <v>433</v>
      </c>
      <c r="W5" s="1136"/>
      <c r="X5" s="1136"/>
      <c r="Y5" s="1136"/>
      <c r="Z5" s="1136"/>
      <c r="AA5" s="1136"/>
      <c r="AB5" s="1136"/>
      <c r="AC5" s="1136"/>
      <c r="AD5" s="1136"/>
      <c r="AE5" s="1136"/>
      <c r="AF5" s="1136"/>
      <c r="AG5" s="1136"/>
      <c r="AH5" s="1136"/>
      <c r="AI5" s="279"/>
    </row>
    <row r="6" spans="1:43">
      <c r="A6" s="279"/>
      <c r="B6" s="279"/>
      <c r="C6" s="279"/>
      <c r="D6" s="279"/>
      <c r="E6" s="279"/>
      <c r="F6" s="279"/>
      <c r="G6" s="279"/>
      <c r="H6" s="279"/>
      <c r="I6" s="279"/>
      <c r="J6" s="279"/>
      <c r="K6" s="279"/>
      <c r="L6" s="279"/>
      <c r="M6" s="279"/>
      <c r="N6" s="279"/>
      <c r="O6" s="279"/>
      <c r="P6" s="279"/>
      <c r="Q6" s="279"/>
      <c r="R6" s="279"/>
      <c r="S6" s="279"/>
      <c r="T6" s="279"/>
      <c r="U6" s="282"/>
      <c r="V6" s="283"/>
      <c r="W6" s="283"/>
      <c r="X6" s="283"/>
      <c r="Y6" s="283"/>
      <c r="Z6" s="283"/>
      <c r="AA6" s="283"/>
      <c r="AB6" s="283"/>
      <c r="AC6" s="283"/>
      <c r="AD6" s="283"/>
      <c r="AE6" s="283"/>
      <c r="AF6" s="283"/>
      <c r="AG6" s="283"/>
      <c r="AH6" s="283"/>
      <c r="AI6" s="279"/>
    </row>
    <row r="7" spans="1:43" ht="18" customHeight="1">
      <c r="A7" s="279"/>
      <c r="B7" s="279"/>
      <c r="C7" s="279"/>
      <c r="D7" s="279"/>
      <c r="E7" s="279"/>
      <c r="F7" s="279"/>
      <c r="G7" s="279"/>
      <c r="H7" s="279"/>
      <c r="I7" s="279"/>
      <c r="J7" s="279"/>
      <c r="K7" s="279"/>
      <c r="L7" s="279"/>
      <c r="M7" s="279"/>
      <c r="N7" s="279"/>
      <c r="O7" s="279"/>
      <c r="P7" s="279"/>
      <c r="Q7" s="279"/>
      <c r="R7" s="279"/>
      <c r="S7" s="279"/>
      <c r="T7" s="352" t="s">
        <v>354</v>
      </c>
      <c r="U7" s="282" t="s">
        <v>353</v>
      </c>
      <c r="V7" s="1137" t="str">
        <f>鑑!G7</f>
        <v>はぐくみ学童クラブ</v>
      </c>
      <c r="W7" s="1137"/>
      <c r="X7" s="1137"/>
      <c r="Y7" s="1137"/>
      <c r="Z7" s="1137"/>
      <c r="AA7" s="1137"/>
      <c r="AB7" s="1137"/>
      <c r="AC7" s="1137"/>
      <c r="AD7" s="1137"/>
      <c r="AE7" s="1137"/>
      <c r="AF7" s="1137"/>
      <c r="AG7" s="1137"/>
      <c r="AH7" s="1137"/>
      <c r="AI7" s="279"/>
    </row>
    <row r="8" spans="1:43" ht="18" customHeight="1">
      <c r="A8" s="279"/>
      <c r="B8" s="279"/>
      <c r="C8" s="279"/>
      <c r="D8" s="279"/>
      <c r="E8" s="279"/>
      <c r="F8" s="279"/>
      <c r="G8" s="279"/>
      <c r="H8" s="279"/>
      <c r="I8" s="279"/>
      <c r="J8" s="279"/>
      <c r="K8" s="279"/>
      <c r="L8" s="279"/>
      <c r="M8" s="279"/>
      <c r="N8" s="279"/>
      <c r="O8" s="279"/>
      <c r="P8" s="279"/>
      <c r="Q8" s="279"/>
      <c r="R8" s="279"/>
      <c r="S8" s="279"/>
      <c r="T8" s="279"/>
      <c r="U8" s="279"/>
      <c r="V8" s="279"/>
      <c r="W8" s="279"/>
      <c r="X8" s="279"/>
      <c r="Y8" s="279"/>
      <c r="Z8" s="279"/>
      <c r="AA8" s="279"/>
      <c r="AB8" s="279"/>
      <c r="AC8" s="279"/>
      <c r="AD8" s="279"/>
      <c r="AE8" s="279"/>
      <c r="AF8" s="279"/>
      <c r="AG8" s="279"/>
      <c r="AH8" s="279"/>
      <c r="AI8" s="279"/>
    </row>
    <row r="9" spans="1:43" ht="18" customHeight="1" thickBot="1">
      <c r="A9" s="279"/>
      <c r="B9" s="280" t="s">
        <v>355</v>
      </c>
      <c r="C9" s="279"/>
      <c r="D9" s="279"/>
      <c r="E9" s="279"/>
      <c r="F9" s="279"/>
      <c r="G9" s="279"/>
      <c r="H9" s="279"/>
      <c r="I9" s="279"/>
      <c r="J9" s="279"/>
      <c r="K9" s="279"/>
      <c r="L9" s="279"/>
      <c r="M9" s="279"/>
      <c r="N9" s="279"/>
      <c r="O9" s="279"/>
      <c r="P9" s="279"/>
      <c r="Q9" s="279"/>
      <c r="R9" s="279"/>
      <c r="S9" s="279"/>
      <c r="T9" s="279"/>
      <c r="U9" s="279"/>
      <c r="V9" s="279"/>
      <c r="W9" s="279"/>
      <c r="X9" s="279"/>
      <c r="Y9" s="279"/>
      <c r="Z9" s="279"/>
      <c r="AA9" s="279"/>
      <c r="AB9" s="279"/>
      <c r="AC9" s="279"/>
      <c r="AD9" s="279"/>
      <c r="AE9" s="279"/>
      <c r="AF9" s="279"/>
      <c r="AG9" s="279"/>
      <c r="AH9" s="279"/>
      <c r="AI9" s="279"/>
    </row>
    <row r="10" spans="1:43" ht="18" customHeight="1">
      <c r="A10" s="279"/>
      <c r="B10" s="1138" t="s">
        <v>356</v>
      </c>
      <c r="C10" s="1139"/>
      <c r="D10" s="1139"/>
      <c r="E10" s="1139"/>
      <c r="F10" s="1139"/>
      <c r="G10" s="1139"/>
      <c r="H10" s="1139"/>
      <c r="I10" s="1139"/>
      <c r="J10" s="1139"/>
      <c r="K10" s="1139"/>
      <c r="L10" s="1139"/>
      <c r="M10" s="1139"/>
      <c r="N10" s="1139"/>
      <c r="O10" s="1139"/>
      <c r="P10" s="1139"/>
      <c r="Q10" s="1140"/>
      <c r="R10" s="1141" t="s">
        <v>357</v>
      </c>
      <c r="S10" s="1142"/>
      <c r="T10" s="355">
        <v>7</v>
      </c>
      <c r="U10" s="355" t="s">
        <v>358</v>
      </c>
      <c r="V10" s="1142">
        <v>4</v>
      </c>
      <c r="W10" s="1142"/>
      <c r="X10" s="355" t="s">
        <v>359</v>
      </c>
      <c r="Y10" s="1142" t="s">
        <v>360</v>
      </c>
      <c r="Z10" s="1142"/>
      <c r="AA10" s="1142" t="s">
        <v>357</v>
      </c>
      <c r="AB10" s="1142"/>
      <c r="AC10" s="355">
        <v>8</v>
      </c>
      <c r="AD10" s="355" t="s">
        <v>358</v>
      </c>
      <c r="AE10" s="1142">
        <v>3</v>
      </c>
      <c r="AF10" s="1142"/>
      <c r="AG10" s="285" t="s">
        <v>359</v>
      </c>
      <c r="AH10" s="279"/>
      <c r="AI10" s="279"/>
    </row>
    <row r="11" spans="1:43" ht="18" customHeight="1" thickBot="1">
      <c r="A11" s="279"/>
      <c r="B11" s="1160" t="s">
        <v>624</v>
      </c>
      <c r="C11" s="1161"/>
      <c r="D11" s="1161"/>
      <c r="E11" s="1161"/>
      <c r="F11" s="1161"/>
      <c r="G11" s="1161"/>
      <c r="H11" s="1161"/>
      <c r="I11" s="1161"/>
      <c r="J11" s="1161"/>
      <c r="K11" s="1161"/>
      <c r="L11" s="1161"/>
      <c r="M11" s="1161"/>
      <c r="N11" s="1161"/>
      <c r="O11" s="1161"/>
      <c r="P11" s="1161"/>
      <c r="Q11" s="1162"/>
      <c r="R11" s="1163">
        <f>'別紙様式２　事業実績報告書'!R11:AD11</f>
        <v>686400</v>
      </c>
      <c r="S11" s="1164"/>
      <c r="T11" s="1164"/>
      <c r="U11" s="1164"/>
      <c r="V11" s="1164"/>
      <c r="W11" s="1164"/>
      <c r="X11" s="1164"/>
      <c r="Y11" s="1164"/>
      <c r="Z11" s="1164"/>
      <c r="AA11" s="1164"/>
      <c r="AB11" s="1164"/>
      <c r="AC11" s="1164"/>
      <c r="AD11" s="1164"/>
      <c r="AE11" s="1161" t="s">
        <v>0</v>
      </c>
      <c r="AF11" s="1161"/>
      <c r="AG11" s="1162"/>
      <c r="AH11" s="279"/>
      <c r="AI11" s="279"/>
    </row>
    <row r="12" spans="1:43" ht="12.95" customHeight="1">
      <c r="A12" s="279"/>
      <c r="B12" s="279"/>
      <c r="C12" s="279"/>
      <c r="D12" s="279"/>
      <c r="E12" s="279"/>
      <c r="F12" s="279"/>
      <c r="G12" s="279"/>
      <c r="H12" s="279"/>
      <c r="I12" s="279"/>
      <c r="J12" s="279"/>
      <c r="K12" s="279"/>
      <c r="L12" s="279"/>
      <c r="M12" s="279"/>
      <c r="N12" s="279"/>
      <c r="O12" s="279"/>
      <c r="P12" s="279"/>
      <c r="Q12" s="279"/>
      <c r="R12" s="279"/>
      <c r="S12" s="279"/>
      <c r="T12" s="279"/>
      <c r="U12" s="279"/>
      <c r="V12" s="279"/>
      <c r="W12" s="279"/>
      <c r="X12" s="279"/>
      <c r="Y12" s="279"/>
      <c r="Z12" s="279"/>
      <c r="AA12" s="279"/>
      <c r="AB12" s="279"/>
      <c r="AC12" s="279"/>
      <c r="AD12" s="279"/>
      <c r="AE12" s="279"/>
      <c r="AF12" s="279"/>
      <c r="AG12" s="279"/>
      <c r="AH12" s="279"/>
      <c r="AI12" s="279"/>
    </row>
    <row r="13" spans="1:43" ht="18" customHeight="1" thickBot="1">
      <c r="A13" s="279"/>
      <c r="B13" s="280" t="s">
        <v>361</v>
      </c>
      <c r="C13" s="279"/>
      <c r="D13" s="279"/>
      <c r="E13" s="279"/>
      <c r="F13" s="279"/>
      <c r="G13" s="279"/>
      <c r="H13" s="279"/>
      <c r="I13" s="279"/>
      <c r="J13" s="279"/>
      <c r="K13" s="279"/>
      <c r="L13" s="279"/>
      <c r="M13" s="279"/>
      <c r="N13" s="279"/>
      <c r="O13" s="279"/>
      <c r="P13" s="279"/>
      <c r="Q13" s="279"/>
      <c r="R13" s="279"/>
      <c r="S13" s="279"/>
      <c r="T13" s="279"/>
      <c r="U13" s="279"/>
      <c r="V13" s="279"/>
      <c r="W13" s="279"/>
      <c r="X13" s="279"/>
      <c r="Y13" s="279"/>
      <c r="Z13" s="279"/>
      <c r="AA13" s="279"/>
      <c r="AB13" s="279"/>
      <c r="AC13" s="279"/>
      <c r="AD13" s="279"/>
      <c r="AE13" s="279"/>
      <c r="AF13" s="279"/>
      <c r="AG13" s="279"/>
      <c r="AH13" s="279"/>
      <c r="AI13" s="279"/>
    </row>
    <row r="14" spans="1:43" ht="18" customHeight="1" thickBot="1">
      <c r="A14" s="279"/>
      <c r="B14" s="1165" t="s">
        <v>651</v>
      </c>
      <c r="C14" s="1166"/>
      <c r="D14" s="1166"/>
      <c r="E14" s="1166"/>
      <c r="F14" s="1166"/>
      <c r="G14" s="1166"/>
      <c r="H14" s="1166"/>
      <c r="I14" s="1166"/>
      <c r="J14" s="1166"/>
      <c r="K14" s="1166"/>
      <c r="L14" s="1166"/>
      <c r="M14" s="1166"/>
      <c r="N14" s="1166"/>
      <c r="O14" s="1166"/>
      <c r="P14" s="1166"/>
      <c r="Q14" s="1166"/>
      <c r="R14" s="1166"/>
      <c r="S14" s="1166"/>
      <c r="T14" s="1166"/>
      <c r="U14" s="1166"/>
      <c r="V14" s="1166"/>
      <c r="W14" s="1166"/>
      <c r="X14" s="1166"/>
      <c r="Y14" s="1166"/>
      <c r="Z14" s="1166"/>
      <c r="AA14" s="1166"/>
      <c r="AB14" s="1166"/>
      <c r="AC14" s="1166"/>
      <c r="AD14" s="1166"/>
      <c r="AE14" s="1166"/>
      <c r="AF14" s="1166"/>
      <c r="AG14" s="1167"/>
      <c r="AH14" s="279"/>
      <c r="AI14" s="279"/>
      <c r="AM14" s="128" t="s">
        <v>362</v>
      </c>
    </row>
    <row r="15" spans="1:43" ht="18" customHeight="1" thickBot="1">
      <c r="A15" s="279"/>
      <c r="B15" s="286"/>
      <c r="C15" s="1168" t="s">
        <v>389</v>
      </c>
      <c r="D15" s="1153"/>
      <c r="E15" s="1153"/>
      <c r="F15" s="1153"/>
      <c r="G15" s="1153"/>
      <c r="H15" s="1153"/>
      <c r="I15" s="1153"/>
      <c r="J15" s="1153"/>
      <c r="K15" s="1153"/>
      <c r="L15" s="1153"/>
      <c r="M15" s="1153"/>
      <c r="N15" s="1153"/>
      <c r="O15" s="1153"/>
      <c r="P15" s="1153"/>
      <c r="Q15" s="1154"/>
      <c r="R15" s="1233">
        <f>'別紙様式２別添１　賃金改善内訳 '!O41</f>
        <v>686400</v>
      </c>
      <c r="S15" s="1234"/>
      <c r="T15" s="1234"/>
      <c r="U15" s="1234"/>
      <c r="V15" s="1234"/>
      <c r="W15" s="1234"/>
      <c r="X15" s="1234"/>
      <c r="Y15" s="1234"/>
      <c r="Z15" s="1234"/>
      <c r="AA15" s="1234"/>
      <c r="AB15" s="1234"/>
      <c r="AC15" s="1234"/>
      <c r="AD15" s="1234"/>
      <c r="AE15" s="1171" t="s">
        <v>0</v>
      </c>
      <c r="AF15" s="1171"/>
      <c r="AG15" s="1172"/>
      <c r="AH15" s="279"/>
      <c r="AI15" s="279"/>
      <c r="AM15" s="1157" t="str">
        <f>IF(R17&gt;=2/3,"○","×")</f>
        <v>○</v>
      </c>
      <c r="AN15" s="1158"/>
      <c r="AO15" s="1158"/>
      <c r="AP15" s="1159"/>
      <c r="AQ15" s="128" t="s">
        <v>363</v>
      </c>
    </row>
    <row r="16" spans="1:43" ht="18" customHeight="1">
      <c r="A16" s="279"/>
      <c r="B16" s="286"/>
      <c r="C16" s="287"/>
      <c r="D16" s="1143" t="s">
        <v>390</v>
      </c>
      <c r="E16" s="1153"/>
      <c r="F16" s="1153"/>
      <c r="G16" s="1153"/>
      <c r="H16" s="1153"/>
      <c r="I16" s="1153"/>
      <c r="J16" s="1153"/>
      <c r="K16" s="1153"/>
      <c r="L16" s="1153"/>
      <c r="M16" s="1153"/>
      <c r="N16" s="1153"/>
      <c r="O16" s="1153"/>
      <c r="P16" s="1153"/>
      <c r="Q16" s="1154"/>
      <c r="R16" s="1149">
        <f>'別紙様式２別添１　賃金改善内訳 '!P41</f>
        <v>686400</v>
      </c>
      <c r="S16" s="1150"/>
      <c r="T16" s="1150"/>
      <c r="U16" s="1150"/>
      <c r="V16" s="1150"/>
      <c r="W16" s="1150"/>
      <c r="X16" s="1150"/>
      <c r="Y16" s="1150"/>
      <c r="Z16" s="1150"/>
      <c r="AA16" s="1150"/>
      <c r="AB16" s="1150"/>
      <c r="AC16" s="1150"/>
      <c r="AD16" s="1150"/>
      <c r="AE16" s="1153" t="s">
        <v>0</v>
      </c>
      <c r="AF16" s="1153"/>
      <c r="AG16" s="1154"/>
      <c r="AH16" s="279"/>
      <c r="AI16" s="279"/>
    </row>
    <row r="17" spans="1:42" ht="14.25" thickBot="1">
      <c r="A17" s="279"/>
      <c r="B17" s="286"/>
      <c r="C17" s="287"/>
      <c r="D17" s="1173"/>
      <c r="E17" s="1171"/>
      <c r="F17" s="1171"/>
      <c r="G17" s="1171"/>
      <c r="H17" s="1171"/>
      <c r="I17" s="1171"/>
      <c r="J17" s="1171"/>
      <c r="K17" s="1171"/>
      <c r="L17" s="1171"/>
      <c r="M17" s="1171"/>
      <c r="N17" s="1171"/>
      <c r="O17" s="1171"/>
      <c r="P17" s="1171"/>
      <c r="Q17" s="1172"/>
      <c r="R17" s="1235">
        <f>IFERROR(R16/R15,"")</f>
        <v>1</v>
      </c>
      <c r="S17" s="1236"/>
      <c r="T17" s="1236"/>
      <c r="U17" s="1236"/>
      <c r="V17" s="1236"/>
      <c r="W17" s="1236"/>
      <c r="X17" s="1236"/>
      <c r="Y17" s="1236"/>
      <c r="Z17" s="1236"/>
      <c r="AA17" s="1236"/>
      <c r="AB17" s="1236"/>
      <c r="AC17" s="1236"/>
      <c r="AD17" s="1236"/>
      <c r="AE17" s="1236"/>
      <c r="AF17" s="288"/>
      <c r="AG17" s="289"/>
      <c r="AH17" s="279"/>
      <c r="AI17" s="279"/>
      <c r="AM17" s="128" t="s">
        <v>391</v>
      </c>
    </row>
    <row r="18" spans="1:42" ht="18" customHeight="1" thickBot="1">
      <c r="A18" s="279"/>
      <c r="B18" s="286"/>
      <c r="C18" s="1143" t="s">
        <v>364</v>
      </c>
      <c r="D18" s="1144"/>
      <c r="E18" s="1144"/>
      <c r="F18" s="1144"/>
      <c r="G18" s="1144"/>
      <c r="H18" s="1144"/>
      <c r="I18" s="1144"/>
      <c r="J18" s="1144"/>
      <c r="K18" s="1144"/>
      <c r="L18" s="1144"/>
      <c r="M18" s="1144"/>
      <c r="N18" s="1144"/>
      <c r="O18" s="1144"/>
      <c r="P18" s="1144"/>
      <c r="Q18" s="1145"/>
      <c r="R18" s="1149">
        <f>'別紙様式２別添１　賃金改善内訳 '!R41</f>
        <v>0</v>
      </c>
      <c r="S18" s="1150"/>
      <c r="T18" s="1150"/>
      <c r="U18" s="1150"/>
      <c r="V18" s="1150"/>
      <c r="W18" s="1150"/>
      <c r="X18" s="1150"/>
      <c r="Y18" s="1150"/>
      <c r="Z18" s="1150"/>
      <c r="AA18" s="1150"/>
      <c r="AB18" s="1150"/>
      <c r="AC18" s="1150"/>
      <c r="AD18" s="1150"/>
      <c r="AE18" s="1153" t="s">
        <v>0</v>
      </c>
      <c r="AF18" s="1153"/>
      <c r="AG18" s="1154"/>
      <c r="AH18" s="279"/>
      <c r="AI18" s="279"/>
      <c r="AM18" s="1157" t="str">
        <f>IF(R15+R18&gt;=R11,"○","×")</f>
        <v>○</v>
      </c>
      <c r="AN18" s="1158"/>
      <c r="AO18" s="1158"/>
      <c r="AP18" s="1159"/>
    </row>
    <row r="19" spans="1:42" ht="14.25" thickBot="1">
      <c r="A19" s="279"/>
      <c r="B19" s="290"/>
      <c r="C19" s="1146"/>
      <c r="D19" s="1147"/>
      <c r="E19" s="1147"/>
      <c r="F19" s="1147"/>
      <c r="G19" s="1147"/>
      <c r="H19" s="1147"/>
      <c r="I19" s="1147"/>
      <c r="J19" s="1147"/>
      <c r="K19" s="1147"/>
      <c r="L19" s="1147"/>
      <c r="M19" s="1147"/>
      <c r="N19" s="1147"/>
      <c r="O19" s="1147"/>
      <c r="P19" s="1147"/>
      <c r="Q19" s="1148"/>
      <c r="R19" s="353"/>
      <c r="S19" s="354"/>
      <c r="T19" s="354"/>
      <c r="U19" s="354"/>
      <c r="V19" s="354"/>
      <c r="W19" s="354"/>
      <c r="X19" s="354"/>
      <c r="Y19" s="354"/>
      <c r="Z19" s="354"/>
      <c r="AA19" s="354"/>
      <c r="AB19" s="354"/>
      <c r="AC19" s="354"/>
      <c r="AD19" s="354"/>
      <c r="AE19" s="1155"/>
      <c r="AF19" s="1155"/>
      <c r="AG19" s="1156"/>
      <c r="AH19" s="279"/>
      <c r="AI19" s="279"/>
    </row>
    <row r="20" spans="1:42" ht="18" customHeight="1">
      <c r="A20" s="279"/>
      <c r="B20" s="1180" t="s">
        <v>365</v>
      </c>
      <c r="C20" s="1181"/>
      <c r="D20" s="1181"/>
      <c r="E20" s="1181"/>
      <c r="F20" s="1181"/>
      <c r="G20" s="1181"/>
      <c r="H20" s="1181"/>
      <c r="I20" s="1181"/>
      <c r="J20" s="1181"/>
      <c r="K20" s="1181"/>
      <c r="L20" s="1181"/>
      <c r="M20" s="1181"/>
      <c r="N20" s="1181"/>
      <c r="O20" s="1181"/>
      <c r="P20" s="1181"/>
      <c r="Q20" s="1182"/>
      <c r="R20" s="1184" t="s">
        <v>580</v>
      </c>
      <c r="S20" s="1185"/>
      <c r="T20" s="1185"/>
      <c r="U20" s="1185"/>
      <c r="V20" s="1185"/>
      <c r="W20" s="1185"/>
      <c r="X20" s="1185"/>
      <c r="Y20" s="1185"/>
      <c r="Z20" s="1185"/>
      <c r="AA20" s="1185"/>
      <c r="AB20" s="1185"/>
      <c r="AC20" s="1185"/>
      <c r="AD20" s="1185"/>
      <c r="AE20" s="1185"/>
      <c r="AF20" s="1185"/>
      <c r="AG20" s="1186"/>
      <c r="AH20" s="279"/>
      <c r="AI20" s="279"/>
    </row>
    <row r="21" spans="1:42" ht="14.25" thickBot="1">
      <c r="A21" s="279"/>
      <c r="B21" s="1183"/>
      <c r="C21" s="1147"/>
      <c r="D21" s="1147"/>
      <c r="E21" s="1147"/>
      <c r="F21" s="1147"/>
      <c r="G21" s="1147"/>
      <c r="H21" s="1147"/>
      <c r="I21" s="1147"/>
      <c r="J21" s="1147"/>
      <c r="K21" s="1147"/>
      <c r="L21" s="1147"/>
      <c r="M21" s="1147"/>
      <c r="N21" s="1147"/>
      <c r="O21" s="1147"/>
      <c r="P21" s="1147"/>
      <c r="Q21" s="1148"/>
      <c r="R21" s="1187"/>
      <c r="S21" s="1188"/>
      <c r="T21" s="1188"/>
      <c r="U21" s="1188"/>
      <c r="V21" s="1188"/>
      <c r="W21" s="1188"/>
      <c r="X21" s="1188"/>
      <c r="Y21" s="1188"/>
      <c r="Z21" s="1188"/>
      <c r="AA21" s="1188"/>
      <c r="AB21" s="1188"/>
      <c r="AC21" s="1188"/>
      <c r="AD21" s="1188"/>
      <c r="AE21" s="1188"/>
      <c r="AF21" s="1188"/>
      <c r="AG21" s="1189"/>
      <c r="AH21" s="279"/>
      <c r="AI21" s="279"/>
    </row>
    <row r="22" spans="1:42" ht="18" customHeight="1">
      <c r="A22" s="279"/>
      <c r="B22" s="1180" t="s">
        <v>366</v>
      </c>
      <c r="C22" s="1181"/>
      <c r="D22" s="1181"/>
      <c r="E22" s="1181"/>
      <c r="F22" s="1181"/>
      <c r="G22" s="1181"/>
      <c r="H22" s="1181"/>
      <c r="I22" s="1181"/>
      <c r="J22" s="1181"/>
      <c r="K22" s="1181"/>
      <c r="L22" s="1181"/>
      <c r="M22" s="1181"/>
      <c r="N22" s="1181"/>
      <c r="O22" s="1181"/>
      <c r="P22" s="1181"/>
      <c r="Q22" s="1181"/>
      <c r="R22" s="1184" t="s">
        <v>581</v>
      </c>
      <c r="S22" s="1185"/>
      <c r="T22" s="1185"/>
      <c r="U22" s="1185"/>
      <c r="V22" s="1185"/>
      <c r="W22" s="1185"/>
      <c r="X22" s="1185"/>
      <c r="Y22" s="1185"/>
      <c r="Z22" s="1185"/>
      <c r="AA22" s="1185"/>
      <c r="AB22" s="1185"/>
      <c r="AC22" s="1185"/>
      <c r="AD22" s="1185"/>
      <c r="AE22" s="1185"/>
      <c r="AF22" s="1185"/>
      <c r="AG22" s="1186"/>
      <c r="AH22" s="279"/>
      <c r="AI22" s="279"/>
    </row>
    <row r="23" spans="1:42" ht="14.25" thickBot="1">
      <c r="A23" s="279"/>
      <c r="B23" s="1183"/>
      <c r="C23" s="1147"/>
      <c r="D23" s="1147"/>
      <c r="E23" s="1147"/>
      <c r="F23" s="1147"/>
      <c r="G23" s="1147"/>
      <c r="H23" s="1147"/>
      <c r="I23" s="1147"/>
      <c r="J23" s="1147"/>
      <c r="K23" s="1147"/>
      <c r="L23" s="1147"/>
      <c r="M23" s="1147"/>
      <c r="N23" s="1147"/>
      <c r="O23" s="1147"/>
      <c r="P23" s="1147"/>
      <c r="Q23" s="1147"/>
      <c r="R23" s="1187"/>
      <c r="S23" s="1188"/>
      <c r="T23" s="1188"/>
      <c r="U23" s="1188"/>
      <c r="V23" s="1188"/>
      <c r="W23" s="1188"/>
      <c r="X23" s="1188"/>
      <c r="Y23" s="1188"/>
      <c r="Z23" s="1188"/>
      <c r="AA23" s="1188"/>
      <c r="AB23" s="1188"/>
      <c r="AC23" s="1188"/>
      <c r="AD23" s="1188"/>
      <c r="AE23" s="1188"/>
      <c r="AF23" s="1188"/>
      <c r="AG23" s="1189"/>
      <c r="AH23" s="279"/>
      <c r="AI23" s="279"/>
    </row>
    <row r="24" spans="1:42" s="129" customFormat="1" ht="18" customHeight="1">
      <c r="A24" s="291"/>
      <c r="B24" s="292" t="s">
        <v>367</v>
      </c>
      <c r="C24" s="293"/>
      <c r="D24" s="293"/>
      <c r="E24" s="293"/>
      <c r="F24" s="293"/>
      <c r="G24" s="293"/>
      <c r="H24" s="293"/>
      <c r="I24" s="293"/>
      <c r="J24" s="293"/>
      <c r="K24" s="293"/>
      <c r="L24" s="293"/>
      <c r="M24" s="293"/>
      <c r="N24" s="293"/>
      <c r="O24" s="293"/>
      <c r="P24" s="293"/>
      <c r="Q24" s="293"/>
      <c r="R24" s="294"/>
      <c r="S24" s="294"/>
      <c r="T24" s="294"/>
      <c r="U24" s="294"/>
      <c r="V24" s="294"/>
      <c r="W24" s="294"/>
      <c r="X24" s="294"/>
      <c r="Y24" s="294"/>
      <c r="Z24" s="294"/>
      <c r="AA24" s="294"/>
      <c r="AB24" s="294"/>
      <c r="AC24" s="294"/>
      <c r="AD24" s="294"/>
      <c r="AE24" s="294"/>
      <c r="AF24" s="294"/>
      <c r="AG24" s="294"/>
      <c r="AH24" s="291"/>
      <c r="AI24" s="291"/>
    </row>
    <row r="25" spans="1:42" s="129" customFormat="1" ht="18" customHeight="1">
      <c r="A25" s="291"/>
      <c r="B25" s="292" t="s">
        <v>392</v>
      </c>
      <c r="C25" s="293"/>
      <c r="D25" s="293"/>
      <c r="E25" s="293"/>
      <c r="F25" s="293"/>
      <c r="G25" s="293"/>
      <c r="H25" s="293"/>
      <c r="I25" s="293"/>
      <c r="J25" s="293"/>
      <c r="K25" s="293"/>
      <c r="L25" s="293"/>
      <c r="M25" s="293"/>
      <c r="N25" s="293"/>
      <c r="O25" s="293"/>
      <c r="P25" s="293"/>
      <c r="Q25" s="293"/>
      <c r="R25" s="294"/>
      <c r="S25" s="294"/>
      <c r="T25" s="294"/>
      <c r="U25" s="294"/>
      <c r="V25" s="294"/>
      <c r="W25" s="294"/>
      <c r="X25" s="294"/>
      <c r="Y25" s="294"/>
      <c r="Z25" s="294"/>
      <c r="AA25" s="294"/>
      <c r="AB25" s="294"/>
      <c r="AC25" s="294"/>
      <c r="AD25" s="294"/>
      <c r="AE25" s="294"/>
      <c r="AF25" s="294"/>
      <c r="AG25" s="294"/>
      <c r="AH25" s="291"/>
      <c r="AI25" s="291"/>
    </row>
    <row r="26" spans="1:42" ht="12.95" customHeight="1">
      <c r="A26" s="279"/>
      <c r="B26" s="279"/>
      <c r="C26" s="279"/>
      <c r="D26" s="279"/>
      <c r="E26" s="279"/>
      <c r="F26" s="279"/>
      <c r="G26" s="279"/>
      <c r="H26" s="279"/>
      <c r="I26" s="279"/>
      <c r="J26" s="279"/>
      <c r="K26" s="279"/>
      <c r="L26" s="279"/>
      <c r="M26" s="279"/>
      <c r="N26" s="279"/>
      <c r="O26" s="279"/>
      <c r="P26" s="279"/>
      <c r="Q26" s="279"/>
      <c r="R26" s="279"/>
      <c r="S26" s="279"/>
      <c r="T26" s="279"/>
      <c r="U26" s="279"/>
      <c r="V26" s="279"/>
      <c r="W26" s="279"/>
      <c r="X26" s="279"/>
      <c r="Y26" s="279"/>
      <c r="Z26" s="279"/>
      <c r="AA26" s="279"/>
      <c r="AB26" s="279"/>
      <c r="AC26" s="279"/>
      <c r="AD26" s="279"/>
      <c r="AE26" s="279"/>
      <c r="AF26" s="279"/>
      <c r="AG26" s="279"/>
      <c r="AH26" s="279"/>
      <c r="AI26" s="279"/>
    </row>
    <row r="27" spans="1:42" ht="18" customHeight="1">
      <c r="A27" s="279"/>
      <c r="B27" s="279" t="s">
        <v>368</v>
      </c>
      <c r="C27" s="279"/>
      <c r="D27" s="279"/>
      <c r="E27" s="279"/>
      <c r="F27" s="279"/>
      <c r="G27" s="279"/>
      <c r="H27" s="279"/>
      <c r="I27" s="279"/>
      <c r="J27" s="279"/>
      <c r="K27" s="279"/>
      <c r="L27" s="279"/>
      <c r="M27" s="279"/>
      <c r="N27" s="279"/>
      <c r="O27" s="279"/>
      <c r="P27" s="279"/>
      <c r="Q27" s="279"/>
      <c r="R27" s="279"/>
      <c r="S27" s="279"/>
      <c r="T27" s="279"/>
      <c r="U27" s="279"/>
      <c r="V27" s="279"/>
      <c r="W27" s="279"/>
      <c r="X27" s="279"/>
      <c r="Y27" s="279"/>
      <c r="Z27" s="279"/>
      <c r="AA27" s="279"/>
      <c r="AB27" s="279"/>
      <c r="AC27" s="279"/>
      <c r="AD27" s="279"/>
      <c r="AE27" s="279"/>
      <c r="AF27" s="279"/>
      <c r="AG27" s="279"/>
      <c r="AH27" s="279"/>
      <c r="AI27" s="279"/>
    </row>
    <row r="28" spans="1:42" ht="12.95" customHeight="1">
      <c r="A28" s="279"/>
      <c r="B28" s="279"/>
      <c r="C28" s="279"/>
      <c r="D28" s="279"/>
      <c r="E28" s="279"/>
      <c r="F28" s="279"/>
      <c r="G28" s="279"/>
      <c r="H28" s="279"/>
      <c r="I28" s="279"/>
      <c r="J28" s="279"/>
      <c r="K28" s="279"/>
      <c r="L28" s="279"/>
      <c r="M28" s="279"/>
      <c r="N28" s="279"/>
      <c r="O28" s="279"/>
      <c r="P28" s="279"/>
      <c r="Q28" s="279"/>
      <c r="R28" s="279"/>
      <c r="S28" s="279"/>
      <c r="T28" s="279"/>
      <c r="U28" s="279"/>
      <c r="V28" s="279"/>
      <c r="W28" s="279"/>
      <c r="X28" s="279"/>
      <c r="Y28" s="279"/>
      <c r="Z28" s="279"/>
      <c r="AA28" s="279"/>
      <c r="AB28" s="279"/>
      <c r="AC28" s="279"/>
      <c r="AD28" s="279"/>
      <c r="AE28" s="279"/>
      <c r="AF28" s="279"/>
      <c r="AG28" s="279"/>
      <c r="AH28" s="279"/>
      <c r="AI28" s="279"/>
    </row>
    <row r="29" spans="1:42" ht="18" customHeight="1">
      <c r="A29" s="279"/>
      <c r="B29" s="279"/>
      <c r="C29" s="279"/>
      <c r="D29" s="279"/>
      <c r="E29" s="279"/>
      <c r="F29" s="279"/>
      <c r="G29" s="279"/>
      <c r="H29" s="279"/>
      <c r="I29" s="279"/>
      <c r="J29" s="279"/>
      <c r="K29" s="279"/>
      <c r="L29" s="279"/>
      <c r="M29" s="279"/>
      <c r="N29" s="279"/>
      <c r="O29" s="279"/>
      <c r="P29" s="279"/>
      <c r="Q29" s="279"/>
      <c r="R29" s="1176" t="s">
        <v>357</v>
      </c>
      <c r="S29" s="1176"/>
      <c r="T29" s="1176">
        <v>7</v>
      </c>
      <c r="U29" s="1176"/>
      <c r="V29" s="1176" t="s">
        <v>358</v>
      </c>
      <c r="W29" s="1176"/>
      <c r="X29" s="1237"/>
      <c r="Y29" s="1237"/>
      <c r="Z29" s="1176" t="s">
        <v>359</v>
      </c>
      <c r="AA29" s="1176"/>
      <c r="AB29" s="1237"/>
      <c r="AC29" s="1237"/>
      <c r="AD29" s="1176" t="s">
        <v>26</v>
      </c>
      <c r="AE29" s="1176"/>
      <c r="AF29" s="279"/>
      <c r="AG29" s="279"/>
      <c r="AH29" s="279"/>
      <c r="AI29" s="279"/>
    </row>
    <row r="30" spans="1:42" ht="9" customHeight="1">
      <c r="A30" s="279"/>
      <c r="B30" s="279"/>
      <c r="C30" s="279"/>
      <c r="D30" s="279"/>
      <c r="E30" s="279"/>
      <c r="F30" s="279"/>
      <c r="G30" s="279"/>
      <c r="H30" s="279"/>
      <c r="I30" s="279"/>
      <c r="J30" s="279"/>
      <c r="K30" s="279"/>
      <c r="L30" s="279"/>
      <c r="M30" s="279"/>
      <c r="N30" s="279"/>
      <c r="O30" s="279"/>
      <c r="P30" s="279"/>
      <c r="Q30" s="279"/>
      <c r="R30" s="282"/>
      <c r="S30" s="282"/>
      <c r="T30" s="282"/>
      <c r="U30" s="282"/>
      <c r="V30" s="282"/>
      <c r="W30" s="282"/>
      <c r="X30" s="282"/>
      <c r="Y30" s="282"/>
      <c r="Z30" s="282"/>
      <c r="AA30" s="282"/>
      <c r="AB30" s="282"/>
      <c r="AC30" s="282"/>
      <c r="AD30" s="282"/>
      <c r="AE30" s="282"/>
      <c r="AF30" s="279"/>
      <c r="AG30" s="279"/>
      <c r="AH30" s="279"/>
      <c r="AI30" s="279"/>
    </row>
    <row r="31" spans="1:42" ht="18" customHeight="1">
      <c r="A31" s="279"/>
      <c r="B31" s="279"/>
      <c r="C31" s="279"/>
      <c r="D31" s="279"/>
      <c r="E31" s="279"/>
      <c r="F31" s="279"/>
      <c r="G31" s="279"/>
      <c r="H31" s="279"/>
      <c r="I31" s="279"/>
      <c r="J31" s="279"/>
      <c r="K31" s="279"/>
      <c r="L31" s="279"/>
      <c r="M31" s="279"/>
      <c r="N31" s="279"/>
      <c r="O31" s="279"/>
      <c r="P31" s="279"/>
      <c r="Q31" s="279"/>
      <c r="R31" s="279"/>
      <c r="S31" s="295"/>
      <c r="T31" s="295"/>
      <c r="U31" s="295"/>
      <c r="V31" s="295"/>
      <c r="W31" s="295"/>
      <c r="X31" s="295"/>
      <c r="Y31" s="352" t="s">
        <v>369</v>
      </c>
      <c r="Z31" s="295" t="s">
        <v>353</v>
      </c>
      <c r="AA31" s="1177" t="str">
        <f>V7</f>
        <v>はぐくみ学童クラブ</v>
      </c>
      <c r="AB31" s="1177"/>
      <c r="AC31" s="1177"/>
      <c r="AD31" s="1177"/>
      <c r="AE31" s="1177"/>
      <c r="AF31" s="1177"/>
      <c r="AG31" s="1177"/>
      <c r="AH31" s="1177"/>
      <c r="AI31" s="279"/>
    </row>
    <row r="32" spans="1:42" ht="9" customHeight="1">
      <c r="A32" s="279"/>
      <c r="B32" s="279"/>
      <c r="C32" s="279"/>
      <c r="D32" s="279"/>
      <c r="E32" s="279"/>
      <c r="F32" s="279"/>
      <c r="G32" s="279"/>
      <c r="H32" s="279"/>
      <c r="I32" s="279"/>
      <c r="J32" s="279"/>
      <c r="K32" s="279"/>
      <c r="L32" s="279"/>
      <c r="M32" s="279"/>
      <c r="N32" s="279"/>
      <c r="O32" s="279"/>
      <c r="P32" s="279"/>
      <c r="Q32" s="279"/>
      <c r="R32" s="352"/>
      <c r="S32" s="352"/>
      <c r="T32" s="352"/>
      <c r="U32" s="352"/>
      <c r="V32" s="352"/>
      <c r="W32" s="352"/>
      <c r="X32" s="352"/>
      <c r="Y32" s="352"/>
      <c r="Z32" s="295"/>
      <c r="AA32" s="296"/>
      <c r="AB32" s="296"/>
      <c r="AC32" s="296"/>
      <c r="AD32" s="296"/>
      <c r="AE32" s="296"/>
      <c r="AF32" s="296"/>
      <c r="AG32" s="296"/>
      <c r="AH32" s="296"/>
      <c r="AI32" s="279"/>
    </row>
    <row r="33" spans="1:35" ht="18" customHeight="1">
      <c r="A33" s="279"/>
      <c r="B33" s="279"/>
      <c r="C33" s="279"/>
      <c r="D33" s="279"/>
      <c r="E33" s="279"/>
      <c r="F33" s="279"/>
      <c r="G33" s="279"/>
      <c r="H33" s="279"/>
      <c r="I33" s="279"/>
      <c r="J33" s="279"/>
      <c r="K33" s="279"/>
      <c r="L33" s="279"/>
      <c r="M33" s="279"/>
      <c r="N33" s="279"/>
      <c r="O33" s="279"/>
      <c r="P33" s="279"/>
      <c r="Q33" s="279"/>
      <c r="R33" s="1178" t="s">
        <v>370</v>
      </c>
      <c r="S33" s="1178"/>
      <c r="T33" s="1178"/>
      <c r="U33" s="1178"/>
      <c r="V33" s="1178"/>
      <c r="W33" s="1178"/>
      <c r="X33" s="1178"/>
      <c r="Y33" s="1178"/>
      <c r="Z33" s="279" t="s">
        <v>353</v>
      </c>
      <c r="AA33" s="1179" t="str">
        <f>使わない!L13</f>
        <v>横須賀　花子</v>
      </c>
      <c r="AB33" s="1179"/>
      <c r="AC33" s="1179"/>
      <c r="AD33" s="1179"/>
      <c r="AE33" s="1179"/>
      <c r="AF33" s="1179"/>
      <c r="AG33" s="1179"/>
      <c r="AH33" s="1179"/>
      <c r="AI33" s="279"/>
    </row>
    <row r="34" spans="1:35" ht="18" customHeight="1"/>
    <row r="35" spans="1:35" ht="18" customHeight="1"/>
    <row r="36" spans="1:35" ht="18" customHeight="1"/>
    <row r="37" spans="1:35" ht="18" customHeight="1"/>
    <row r="38" spans="1:35" ht="18" customHeight="1"/>
    <row r="39" spans="1:35" ht="18" customHeight="1"/>
    <row r="40" spans="1:35" ht="18" customHeight="1"/>
    <row r="41" spans="1:35" ht="18" customHeight="1"/>
    <row r="42" spans="1:35" ht="18" customHeight="1"/>
    <row r="43" spans="1:35" ht="18" customHeight="1"/>
    <row r="44" spans="1:35" ht="18" customHeight="1"/>
    <row r="45" spans="1:35" ht="18" customHeight="1"/>
    <row r="46" spans="1:35" ht="18" customHeight="1"/>
    <row r="47" spans="1:35" ht="18" customHeight="1"/>
    <row r="48" spans="1:35"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sheetData>
  <mergeCells count="39">
    <mergeCell ref="AA31:AH31"/>
    <mergeCell ref="R33:Y33"/>
    <mergeCell ref="AA33:AH33"/>
    <mergeCell ref="R18:AD18"/>
    <mergeCell ref="B20:Q21"/>
    <mergeCell ref="R20:AG21"/>
    <mergeCell ref="B22:Q23"/>
    <mergeCell ref="R22:AG23"/>
    <mergeCell ref="R29:S29"/>
    <mergeCell ref="T29:U29"/>
    <mergeCell ref="V29:W29"/>
    <mergeCell ref="X29:Y29"/>
    <mergeCell ref="Z29:AA29"/>
    <mergeCell ref="AB29:AC29"/>
    <mergeCell ref="AD29:AE29"/>
    <mergeCell ref="AM15:AP15"/>
    <mergeCell ref="D16:Q17"/>
    <mergeCell ref="R16:AD16"/>
    <mergeCell ref="AE16:AG16"/>
    <mergeCell ref="C18:Q19"/>
    <mergeCell ref="AE18:AG19"/>
    <mergeCell ref="AM18:AP18"/>
    <mergeCell ref="R17:AE17"/>
    <mergeCell ref="B11:Q11"/>
    <mergeCell ref="R11:AD11"/>
    <mergeCell ref="AE11:AG11"/>
    <mergeCell ref="B14:AG14"/>
    <mergeCell ref="C15:Q15"/>
    <mergeCell ref="R15:AD15"/>
    <mergeCell ref="AE15:AG15"/>
    <mergeCell ref="B3:AG3"/>
    <mergeCell ref="V5:AH5"/>
    <mergeCell ref="V7:AH7"/>
    <mergeCell ref="B10:Q10"/>
    <mergeCell ref="R10:S10"/>
    <mergeCell ref="V10:W10"/>
    <mergeCell ref="Y10:Z10"/>
    <mergeCell ref="AA10:AB10"/>
    <mergeCell ref="AE10:AF10"/>
  </mergeCells>
  <phoneticPr fontId="1"/>
  <dataValidations count="2">
    <dataValidation type="list" allowBlank="1" showInputMessage="1" showErrorMessage="1" sqref="R20:AG21" xr:uid="{0B32E254-9AA7-4A06-8FC0-D85B491E0EAC}">
      <formula1>"周知している,周知していない"</formula1>
    </dataValidation>
    <dataValidation type="list" allowBlank="1" showInputMessage="1" showErrorMessage="1" sqref="R22:AG23" xr:uid="{5353FBC9-8443-4704-97B2-DB5C349A9D28}">
      <formula1>"継続する,継続しない"</formula1>
    </dataValidation>
  </dataValidations>
  <printOptions horizontalCentered="1"/>
  <pageMargins left="0.23622047244094491" right="0.23622047244094491" top="0.43307086614173229" bottom="0.43307086614173229" header="0.31496062992125984" footer="0.31496062992125984"/>
  <pageSetup paperSize="9" scale="88"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849FB-D127-4E3C-95C8-EE04EAEEE227}">
  <dimension ref="A1:V1846"/>
  <sheetViews>
    <sheetView view="pageBreakPreview" zoomScale="70" zoomScaleNormal="100" zoomScaleSheetLayoutView="70" workbookViewId="0">
      <selection activeCell="B7" sqref="B7:B9"/>
    </sheetView>
  </sheetViews>
  <sheetFormatPr defaultColWidth="9" defaultRowHeight="13.5"/>
  <cols>
    <col min="1" max="1" width="2.125" style="130" customWidth="1"/>
    <col min="2" max="2" width="5.125" style="130" customWidth="1"/>
    <col min="3" max="4" width="3.625" style="130" customWidth="1"/>
    <col min="5" max="5" width="12.625" style="130" customWidth="1"/>
    <col min="6" max="7" width="15.625" style="130" customWidth="1"/>
    <col min="8" max="8" width="13.625" style="130" customWidth="1"/>
    <col min="9" max="9" width="9.375" style="130" customWidth="1"/>
    <col min="10" max="10" width="12.5" style="130" customWidth="1"/>
    <col min="11" max="11" width="15.625" style="130" customWidth="1"/>
    <col min="12" max="12" width="13.625" style="130" customWidth="1"/>
    <col min="13" max="13" width="10.625" style="130" customWidth="1"/>
    <col min="14" max="14" width="14.5" style="130" customWidth="1"/>
    <col min="15" max="15" width="14.625" style="130" customWidth="1"/>
    <col min="16" max="16" width="15.625" style="130" customWidth="1"/>
    <col min="17" max="17" width="13.625" style="130" customWidth="1"/>
    <col min="18" max="18" width="14" style="130" customWidth="1"/>
    <col min="19" max="19" width="15.625" style="130" customWidth="1"/>
    <col min="20" max="20" width="14.125" style="130" customWidth="1"/>
    <col min="21" max="23" width="15.625" style="130" customWidth="1"/>
    <col min="24" max="24" width="2.125" style="130" customWidth="1"/>
    <col min="25" max="40" width="3.625" style="130" customWidth="1"/>
    <col min="41" max="654" width="2.625" style="130" customWidth="1"/>
    <col min="655" max="16384" width="9" style="130"/>
  </cols>
  <sheetData>
    <row r="1" spans="1:22" ht="18" customHeight="1">
      <c r="A1" s="297"/>
      <c r="B1" s="280" t="s">
        <v>482</v>
      </c>
      <c r="C1" s="297"/>
      <c r="D1" s="297"/>
      <c r="E1" s="297"/>
      <c r="F1" s="297"/>
      <c r="G1" s="297"/>
      <c r="H1" s="297"/>
      <c r="I1" s="297"/>
      <c r="J1" s="297"/>
      <c r="K1" s="297"/>
      <c r="L1" s="297"/>
      <c r="M1" s="297"/>
      <c r="N1" s="297"/>
      <c r="O1" s="297"/>
      <c r="P1" s="297"/>
      <c r="Q1" s="297"/>
      <c r="R1" s="297"/>
      <c r="S1" s="297"/>
      <c r="T1" s="297"/>
      <c r="U1" s="297"/>
      <c r="V1" s="297"/>
    </row>
    <row r="2" spans="1:22" ht="18" customHeight="1">
      <c r="A2" s="297"/>
      <c r="B2" s="297"/>
      <c r="C2" s="297"/>
      <c r="D2" s="297"/>
      <c r="E2" s="297"/>
      <c r="F2" s="297"/>
      <c r="G2" s="297"/>
      <c r="H2" s="297"/>
      <c r="I2" s="297"/>
      <c r="J2" s="297"/>
      <c r="K2" s="297"/>
      <c r="L2" s="297"/>
      <c r="M2" s="297"/>
      <c r="N2" s="297"/>
      <c r="O2" s="297"/>
      <c r="P2" s="297"/>
      <c r="Q2" s="297"/>
      <c r="R2" s="297"/>
      <c r="S2" s="297"/>
      <c r="T2" s="297"/>
      <c r="U2" s="297"/>
      <c r="V2" s="297"/>
    </row>
    <row r="3" spans="1:22" ht="27" customHeight="1">
      <c r="A3" s="297"/>
      <c r="B3" s="1190" t="s">
        <v>371</v>
      </c>
      <c r="C3" s="1190"/>
      <c r="D3" s="1190"/>
      <c r="E3" s="1190"/>
      <c r="F3" s="1190"/>
      <c r="G3" s="1190"/>
      <c r="H3" s="1190"/>
      <c r="I3" s="1190"/>
      <c r="J3" s="1190"/>
      <c r="K3" s="1190"/>
      <c r="L3" s="1190"/>
      <c r="M3" s="1190"/>
      <c r="N3" s="1190"/>
      <c r="O3" s="1190"/>
      <c r="P3" s="1190"/>
      <c r="Q3" s="1190"/>
      <c r="R3" s="1190"/>
      <c r="S3" s="1190"/>
      <c r="T3" s="1190"/>
      <c r="U3" s="1190"/>
      <c r="V3" s="1190"/>
    </row>
    <row r="4" spans="1:22" ht="18" customHeight="1" thickBot="1">
      <c r="A4" s="297"/>
      <c r="B4" s="297"/>
      <c r="C4" s="297"/>
      <c r="D4" s="297"/>
      <c r="E4" s="297"/>
      <c r="F4" s="297"/>
      <c r="G4" s="297"/>
      <c r="H4" s="297"/>
      <c r="I4" s="297"/>
      <c r="J4" s="297"/>
      <c r="K4" s="297"/>
      <c r="L4" s="297"/>
      <c r="M4" s="297"/>
      <c r="N4" s="297"/>
      <c r="O4" s="297"/>
      <c r="P4" s="297"/>
      <c r="Q4" s="297"/>
      <c r="R4" s="297"/>
      <c r="S4" s="297"/>
      <c r="T4" s="297"/>
      <c r="U4" s="297"/>
      <c r="V4" s="297"/>
    </row>
    <row r="5" spans="1:22" ht="18" customHeight="1" thickBot="1">
      <c r="A5" s="297"/>
      <c r="B5" s="297"/>
      <c r="C5" s="297"/>
      <c r="D5" s="297"/>
      <c r="E5" s="297"/>
      <c r="F5" s="297"/>
      <c r="G5" s="297"/>
      <c r="H5" s="297"/>
      <c r="I5" s="297"/>
      <c r="J5" s="297"/>
      <c r="K5" s="297"/>
      <c r="L5" s="297"/>
      <c r="M5" s="297"/>
      <c r="N5" s="297"/>
      <c r="O5" s="297"/>
      <c r="P5" s="297"/>
      <c r="Q5" s="297"/>
      <c r="R5" s="298" t="s">
        <v>354</v>
      </c>
      <c r="S5" s="1191" t="str">
        <f>鑑!G7</f>
        <v>はぐくみ学童クラブ</v>
      </c>
      <c r="T5" s="1192"/>
      <c r="U5" s="364"/>
      <c r="V5" s="297"/>
    </row>
    <row r="6" spans="1:22" ht="18" customHeight="1" thickBot="1">
      <c r="A6" s="297"/>
      <c r="B6" s="297" t="s">
        <v>652</v>
      </c>
      <c r="C6" s="297"/>
      <c r="D6" s="297"/>
      <c r="E6" s="297"/>
      <c r="F6" s="297"/>
      <c r="G6" s="297"/>
      <c r="H6" s="297"/>
      <c r="I6" s="297"/>
      <c r="J6" s="297"/>
      <c r="K6" s="297"/>
      <c r="L6" s="297"/>
      <c r="M6" s="297"/>
      <c r="N6" s="297"/>
      <c r="O6" s="297"/>
      <c r="P6" s="297"/>
      <c r="Q6" s="297"/>
      <c r="R6" s="297"/>
      <c r="S6" s="297"/>
      <c r="T6" s="297"/>
      <c r="U6" s="297"/>
      <c r="V6" s="297"/>
    </row>
    <row r="7" spans="1:22" ht="27" customHeight="1">
      <c r="A7" s="297"/>
      <c r="B7" s="1193" t="s">
        <v>372</v>
      </c>
      <c r="C7" s="1196" t="s">
        <v>373</v>
      </c>
      <c r="D7" s="1197"/>
      <c r="E7" s="1198"/>
      <c r="F7" s="1205" t="s">
        <v>374</v>
      </c>
      <c r="G7" s="1205" t="s">
        <v>375</v>
      </c>
      <c r="H7" s="1205" t="s">
        <v>376</v>
      </c>
      <c r="I7" s="1205" t="s">
        <v>377</v>
      </c>
      <c r="J7" s="1208" t="s">
        <v>378</v>
      </c>
      <c r="K7" s="1209"/>
      <c r="L7" s="1210"/>
      <c r="M7" s="1205" t="s">
        <v>379</v>
      </c>
      <c r="N7" s="1205" t="s">
        <v>380</v>
      </c>
      <c r="O7" s="299" t="s">
        <v>623</v>
      </c>
      <c r="P7" s="300"/>
      <c r="Q7" s="301"/>
      <c r="R7" s="1205" t="s">
        <v>381</v>
      </c>
      <c r="S7" s="1205" t="s">
        <v>394</v>
      </c>
      <c r="T7" s="1193" t="s">
        <v>382</v>
      </c>
      <c r="U7" s="297"/>
      <c r="V7" s="297"/>
    </row>
    <row r="8" spans="1:22" ht="27" customHeight="1">
      <c r="A8" s="297"/>
      <c r="B8" s="1194"/>
      <c r="C8" s="1199"/>
      <c r="D8" s="1200"/>
      <c r="E8" s="1201"/>
      <c r="F8" s="1206"/>
      <c r="G8" s="1206"/>
      <c r="H8" s="1206"/>
      <c r="I8" s="1206"/>
      <c r="J8" s="1211" t="s">
        <v>468</v>
      </c>
      <c r="K8" s="1213" t="s">
        <v>469</v>
      </c>
      <c r="L8" s="1215" t="s">
        <v>383</v>
      </c>
      <c r="M8" s="1206"/>
      <c r="N8" s="1206"/>
      <c r="O8" s="302"/>
      <c r="P8" s="1217" t="s">
        <v>384</v>
      </c>
      <c r="Q8" s="1219" t="s">
        <v>385</v>
      </c>
      <c r="R8" s="1206"/>
      <c r="S8" s="1206"/>
      <c r="T8" s="1194"/>
      <c r="U8" s="297"/>
      <c r="V8" s="297"/>
    </row>
    <row r="9" spans="1:22" ht="15" customHeight="1" thickBot="1">
      <c r="A9" s="297"/>
      <c r="B9" s="1195"/>
      <c r="C9" s="1202"/>
      <c r="D9" s="1203"/>
      <c r="E9" s="1204"/>
      <c r="F9" s="1207"/>
      <c r="G9" s="1207"/>
      <c r="H9" s="1207"/>
      <c r="I9" s="1207"/>
      <c r="J9" s="1212"/>
      <c r="K9" s="1214"/>
      <c r="L9" s="1216"/>
      <c r="M9" s="1207"/>
      <c r="N9" s="1207"/>
      <c r="O9" s="303"/>
      <c r="P9" s="1218"/>
      <c r="Q9" s="1220"/>
      <c r="R9" s="1207"/>
      <c r="S9" s="1207"/>
      <c r="T9" s="1195"/>
      <c r="U9" s="297"/>
      <c r="V9" s="297"/>
    </row>
    <row r="10" spans="1:22" ht="18" customHeight="1">
      <c r="A10" s="297"/>
      <c r="B10" s="357"/>
      <c r="C10" s="1224"/>
      <c r="D10" s="1225"/>
      <c r="E10" s="1226"/>
      <c r="F10" s="305"/>
      <c r="G10" s="305"/>
      <c r="H10" s="305"/>
      <c r="I10" s="306"/>
      <c r="J10" s="307"/>
      <c r="K10" s="173">
        <f>'別紙様式２別添１　賃金改善内訳 '!K10</f>
        <v>160</v>
      </c>
      <c r="L10" s="308"/>
      <c r="M10" s="309"/>
      <c r="N10" s="305"/>
      <c r="O10" s="310"/>
      <c r="P10" s="311"/>
      <c r="Q10" s="312"/>
      <c r="R10" s="1205"/>
      <c r="S10" s="309"/>
      <c r="T10" s="305"/>
      <c r="U10" s="297"/>
      <c r="V10" s="297"/>
    </row>
    <row r="11" spans="1:22" ht="18" customHeight="1">
      <c r="A11" s="297"/>
      <c r="B11" s="313">
        <v>1</v>
      </c>
      <c r="C11" s="1238" t="str">
        <f>'別紙様式２別添１　賃金改善内訳 '!C11:E11</f>
        <v>AA　AA</v>
      </c>
      <c r="D11" s="1239"/>
      <c r="E11" s="1240"/>
      <c r="F11" s="438" t="str">
        <f>'別紙様式２別添１　賃金改善内訳 '!F11</f>
        <v>放課後児童支援員</v>
      </c>
      <c r="G11" s="439" t="str">
        <f>'別紙様式２別添１　賃金改善内訳 '!G11</f>
        <v>常勤職員</v>
      </c>
      <c r="H11" s="314">
        <v>11000</v>
      </c>
      <c r="I11" s="315">
        <f t="shared" ref="I11:I40" si="0">IF(G11="常勤職員",1,"")</f>
        <v>1</v>
      </c>
      <c r="J11" s="164">
        <f>'別紙様式２別添１　賃金改善内訳 '!J11</f>
        <v>0</v>
      </c>
      <c r="K11" s="316">
        <f t="shared" ref="K11:K40" si="1">$K$10</f>
        <v>160</v>
      </c>
      <c r="L11" s="317">
        <f>IFERROR(ROUND(J11/K11,1),"")</f>
        <v>0</v>
      </c>
      <c r="M11" s="165">
        <f>'別紙様式２別添１　賃金改善内訳 '!M11</f>
        <v>12</v>
      </c>
      <c r="N11" s="318">
        <f t="shared" ref="N11:N40" si="2">IFERROR(IF(G11="常勤職員",H11*I11*M11,H11*L11*M11),"")</f>
        <v>132000</v>
      </c>
      <c r="O11" s="166">
        <f>'別紙様式２別添１　賃金改善内訳 '!O11</f>
        <v>132000</v>
      </c>
      <c r="P11" s="167">
        <f>'別紙様式２別添１　賃金改善内訳 '!P11</f>
        <v>132000</v>
      </c>
      <c r="Q11" s="319">
        <f>O11-P11</f>
        <v>0</v>
      </c>
      <c r="R11" s="1206"/>
      <c r="S11" s="320">
        <f>IFERROR(ROUND(O11/M11,0),"")</f>
        <v>11000</v>
      </c>
      <c r="T11" s="440">
        <f>'別紙様式２別添１　賃金改善内訳 '!T11</f>
        <v>0</v>
      </c>
      <c r="U11" s="297"/>
      <c r="V11" s="297"/>
    </row>
    <row r="12" spans="1:22" ht="18" customHeight="1">
      <c r="A12" s="297"/>
      <c r="B12" s="321">
        <v>2</v>
      </c>
      <c r="C12" s="1238" t="str">
        <f>'別紙様式２別添１　賃金改善内訳 '!C12:E12</f>
        <v>BB　BB</v>
      </c>
      <c r="D12" s="1239"/>
      <c r="E12" s="1240"/>
      <c r="F12" s="438" t="str">
        <f>'別紙様式２別添１　賃金改善内訳 '!F12</f>
        <v>放課後児童支援員</v>
      </c>
      <c r="G12" s="439" t="str">
        <f>'別紙様式２別添１　賃金改善内訳 '!G12</f>
        <v>常勤職員</v>
      </c>
      <c r="H12" s="314">
        <v>11000</v>
      </c>
      <c r="I12" s="322">
        <f t="shared" si="0"/>
        <v>1</v>
      </c>
      <c r="J12" s="164">
        <f>'別紙様式２別添１　賃金改善内訳 '!J12</f>
        <v>0</v>
      </c>
      <c r="K12" s="316">
        <f t="shared" si="1"/>
        <v>160</v>
      </c>
      <c r="L12" s="317">
        <f t="shared" ref="L12:L40" si="3">IFERROR(ROUND(J12/K12,1),"")</f>
        <v>0</v>
      </c>
      <c r="M12" s="165">
        <f>'別紙様式２別添１　賃金改善内訳 '!M12</f>
        <v>12</v>
      </c>
      <c r="N12" s="323">
        <f t="shared" si="2"/>
        <v>132000</v>
      </c>
      <c r="O12" s="166">
        <f>'別紙様式２別添１　賃金改善内訳 '!O12</f>
        <v>132000</v>
      </c>
      <c r="P12" s="167">
        <f>'別紙様式２別添１　賃金改善内訳 '!P12</f>
        <v>132000</v>
      </c>
      <c r="Q12" s="319">
        <f t="shared" ref="Q12:Q40" si="4">O12-P12</f>
        <v>0</v>
      </c>
      <c r="R12" s="1206"/>
      <c r="S12" s="324">
        <f t="shared" ref="S12:S41" si="5">IFERROR(ROUND(O12/M12,0),"")</f>
        <v>11000</v>
      </c>
      <c r="T12" s="440">
        <f>'別紙様式２別添１　賃金改善内訳 '!T12</f>
        <v>0</v>
      </c>
      <c r="U12" s="297"/>
      <c r="V12" s="297"/>
    </row>
    <row r="13" spans="1:22" ht="18" customHeight="1">
      <c r="A13" s="297"/>
      <c r="B13" s="321">
        <v>3</v>
      </c>
      <c r="C13" s="1238" t="str">
        <f>'別紙様式２別添１　賃金改善内訳 '!C13:E13</f>
        <v>CC　CC</v>
      </c>
      <c r="D13" s="1239"/>
      <c r="E13" s="1240"/>
      <c r="F13" s="438" t="str">
        <f>'別紙様式２別添１　賃金改善内訳 '!F13</f>
        <v>放課後児童支援員</v>
      </c>
      <c r="G13" s="439" t="str">
        <f>'別紙様式２別添１　賃金改善内訳 '!G13</f>
        <v>常勤職員</v>
      </c>
      <c r="H13" s="314">
        <v>11000</v>
      </c>
      <c r="I13" s="322">
        <f t="shared" si="0"/>
        <v>1</v>
      </c>
      <c r="J13" s="164">
        <f>'別紙様式２別添１　賃金改善内訳 '!J13</f>
        <v>0</v>
      </c>
      <c r="K13" s="316">
        <f t="shared" si="1"/>
        <v>160</v>
      </c>
      <c r="L13" s="317">
        <f t="shared" si="3"/>
        <v>0</v>
      </c>
      <c r="M13" s="165">
        <f>'別紙様式２別添１　賃金改善内訳 '!M13</f>
        <v>12</v>
      </c>
      <c r="N13" s="323">
        <f t="shared" si="2"/>
        <v>132000</v>
      </c>
      <c r="O13" s="166">
        <f>'別紙様式２別添１　賃金改善内訳 '!O13</f>
        <v>132000</v>
      </c>
      <c r="P13" s="167">
        <f>'別紙様式２別添１　賃金改善内訳 '!P13</f>
        <v>132000</v>
      </c>
      <c r="Q13" s="319">
        <f t="shared" si="4"/>
        <v>0</v>
      </c>
      <c r="R13" s="1206"/>
      <c r="S13" s="324">
        <f t="shared" si="5"/>
        <v>11000</v>
      </c>
      <c r="T13" s="440">
        <f>'別紙様式２別添１　賃金改善内訳 '!T13</f>
        <v>0</v>
      </c>
      <c r="U13" s="297"/>
      <c r="V13" s="297"/>
    </row>
    <row r="14" spans="1:22" ht="18" customHeight="1">
      <c r="A14" s="297"/>
      <c r="B14" s="321">
        <v>4</v>
      </c>
      <c r="C14" s="1238" t="str">
        <f>'別紙様式２別添１　賃金改善内訳 '!C14:E14</f>
        <v>DD　DD</v>
      </c>
      <c r="D14" s="1239"/>
      <c r="E14" s="1240"/>
      <c r="F14" s="438" t="str">
        <f>'別紙様式２別添１　賃金改善内訳 '!F14</f>
        <v>放課後児童支援員</v>
      </c>
      <c r="G14" s="439" t="str">
        <f>'別紙様式２別添１　賃金改善内訳 '!G14</f>
        <v>非常勤職員</v>
      </c>
      <c r="H14" s="314">
        <v>11000</v>
      </c>
      <c r="I14" s="322" t="str">
        <f t="shared" si="0"/>
        <v/>
      </c>
      <c r="J14" s="164">
        <f>'別紙様式２別添１　賃金改善内訳 '!J14</f>
        <v>90</v>
      </c>
      <c r="K14" s="316">
        <f t="shared" si="1"/>
        <v>160</v>
      </c>
      <c r="L14" s="317">
        <f t="shared" si="3"/>
        <v>0.6</v>
      </c>
      <c r="M14" s="165">
        <f>'別紙様式２別添１　賃金改善内訳 '!M14</f>
        <v>12</v>
      </c>
      <c r="N14" s="323">
        <f t="shared" si="2"/>
        <v>79200</v>
      </c>
      <c r="O14" s="166">
        <f>'別紙様式２別添１　賃金改善内訳 '!O14</f>
        <v>79200</v>
      </c>
      <c r="P14" s="167">
        <f>'別紙様式２別添１　賃金改善内訳 '!P14</f>
        <v>79200</v>
      </c>
      <c r="Q14" s="319">
        <f t="shared" si="4"/>
        <v>0</v>
      </c>
      <c r="R14" s="1206"/>
      <c r="S14" s="324">
        <f t="shared" si="5"/>
        <v>6600</v>
      </c>
      <c r="T14" s="440">
        <f>'別紙様式２別添１　賃金改善内訳 '!T14</f>
        <v>0</v>
      </c>
      <c r="U14" s="297"/>
      <c r="V14" s="297"/>
    </row>
    <row r="15" spans="1:22" ht="18" customHeight="1">
      <c r="A15" s="297"/>
      <c r="B15" s="321">
        <v>5</v>
      </c>
      <c r="C15" s="1238" t="str">
        <f>'別紙様式２別添１　賃金改善内訳 '!C15:E15</f>
        <v>EE　EE</v>
      </c>
      <c r="D15" s="1239"/>
      <c r="E15" s="1240"/>
      <c r="F15" s="438" t="str">
        <f>'別紙様式２別添１　賃金改善内訳 '!F15</f>
        <v>放課後児童支援員</v>
      </c>
      <c r="G15" s="439" t="str">
        <f>'別紙様式２別添１　賃金改善内訳 '!G15</f>
        <v>非常勤職員</v>
      </c>
      <c r="H15" s="314">
        <v>11000</v>
      </c>
      <c r="I15" s="322" t="str">
        <f t="shared" si="0"/>
        <v/>
      </c>
      <c r="J15" s="164">
        <f>'別紙様式２別添１　賃金改善内訳 '!J15</f>
        <v>80</v>
      </c>
      <c r="K15" s="316">
        <f t="shared" si="1"/>
        <v>160</v>
      </c>
      <c r="L15" s="317">
        <f t="shared" si="3"/>
        <v>0.5</v>
      </c>
      <c r="M15" s="165">
        <f>'別紙様式２別添１　賃金改善内訳 '!M15</f>
        <v>12</v>
      </c>
      <c r="N15" s="323">
        <f t="shared" si="2"/>
        <v>66000</v>
      </c>
      <c r="O15" s="166">
        <f>'別紙様式２別添１　賃金改善内訳 '!O15</f>
        <v>66000</v>
      </c>
      <c r="P15" s="167">
        <f>'別紙様式２別添１　賃金改善内訳 '!P15</f>
        <v>66000</v>
      </c>
      <c r="Q15" s="319">
        <f t="shared" si="4"/>
        <v>0</v>
      </c>
      <c r="R15" s="1206"/>
      <c r="S15" s="324">
        <f t="shared" si="5"/>
        <v>5500</v>
      </c>
      <c r="T15" s="440">
        <f>'別紙様式２別添１　賃金改善内訳 '!T15</f>
        <v>0</v>
      </c>
      <c r="U15" s="297"/>
      <c r="V15" s="297"/>
    </row>
    <row r="16" spans="1:22" ht="18" customHeight="1">
      <c r="A16" s="297"/>
      <c r="B16" s="321">
        <v>6</v>
      </c>
      <c r="C16" s="1238" t="str">
        <f>'別紙様式２別添１　賃金改善内訳 '!C16:E16</f>
        <v>FF　FF</v>
      </c>
      <c r="D16" s="1239"/>
      <c r="E16" s="1240"/>
      <c r="F16" s="438" t="str">
        <f>'別紙様式２別添１　賃金改善内訳 '!F16</f>
        <v>補助員</v>
      </c>
      <c r="G16" s="439" t="str">
        <f>'別紙様式２別添１　賃金改善内訳 '!G16</f>
        <v>非常勤職員</v>
      </c>
      <c r="H16" s="314">
        <v>11000</v>
      </c>
      <c r="I16" s="322" t="str">
        <f t="shared" si="0"/>
        <v/>
      </c>
      <c r="J16" s="164">
        <f>'別紙様式２別添１　賃金改善内訳 '!J16</f>
        <v>80</v>
      </c>
      <c r="K16" s="316">
        <f t="shared" si="1"/>
        <v>160</v>
      </c>
      <c r="L16" s="317">
        <f t="shared" si="3"/>
        <v>0.5</v>
      </c>
      <c r="M16" s="165">
        <f>'別紙様式２別添１　賃金改善内訳 '!M16</f>
        <v>12</v>
      </c>
      <c r="N16" s="323">
        <f t="shared" si="2"/>
        <v>66000</v>
      </c>
      <c r="O16" s="166">
        <f>'別紙様式２別添１　賃金改善内訳 '!O16</f>
        <v>66000</v>
      </c>
      <c r="P16" s="167">
        <f>'別紙様式２別添１　賃金改善内訳 '!P16</f>
        <v>66000</v>
      </c>
      <c r="Q16" s="319">
        <f t="shared" si="4"/>
        <v>0</v>
      </c>
      <c r="R16" s="1206"/>
      <c r="S16" s="324">
        <f t="shared" si="5"/>
        <v>5500</v>
      </c>
      <c r="T16" s="440">
        <f>'別紙様式２別添１　賃金改善内訳 '!T16</f>
        <v>0</v>
      </c>
      <c r="U16" s="297"/>
      <c r="V16" s="297"/>
    </row>
    <row r="17" spans="1:22" ht="18" customHeight="1">
      <c r="A17" s="297"/>
      <c r="B17" s="321">
        <v>7</v>
      </c>
      <c r="C17" s="1238" t="str">
        <f>'別紙様式２別添１　賃金改善内訳 '!C17:E17</f>
        <v>GG　GG</v>
      </c>
      <c r="D17" s="1239"/>
      <c r="E17" s="1240"/>
      <c r="F17" s="438" t="str">
        <f>'別紙様式２別添１　賃金改善内訳 '!F17</f>
        <v>補助員</v>
      </c>
      <c r="G17" s="439" t="str">
        <f>'別紙様式２別添１　賃金改善内訳 '!G17</f>
        <v>非常勤職員</v>
      </c>
      <c r="H17" s="314">
        <v>11000</v>
      </c>
      <c r="I17" s="322" t="str">
        <f t="shared" si="0"/>
        <v/>
      </c>
      <c r="J17" s="164">
        <f>'別紙様式２別添１　賃金改善内訳 '!J17</f>
        <v>65</v>
      </c>
      <c r="K17" s="316">
        <f t="shared" si="1"/>
        <v>160</v>
      </c>
      <c r="L17" s="317">
        <f t="shared" si="3"/>
        <v>0.4</v>
      </c>
      <c r="M17" s="165">
        <f>'別紙様式２別添１　賃金改善内訳 '!M17</f>
        <v>12</v>
      </c>
      <c r="N17" s="323">
        <f t="shared" si="2"/>
        <v>52800</v>
      </c>
      <c r="O17" s="166">
        <f>'別紙様式２別添１　賃金改善内訳 '!O17</f>
        <v>52800</v>
      </c>
      <c r="P17" s="167">
        <f>'別紙様式２別添１　賃金改善内訳 '!P17</f>
        <v>52800</v>
      </c>
      <c r="Q17" s="319">
        <f t="shared" si="4"/>
        <v>0</v>
      </c>
      <c r="R17" s="1206"/>
      <c r="S17" s="324">
        <f t="shared" si="5"/>
        <v>4400</v>
      </c>
      <c r="T17" s="440">
        <f>'別紙様式２別添１　賃金改善内訳 '!T17</f>
        <v>0</v>
      </c>
      <c r="U17" s="297"/>
      <c r="V17" s="297"/>
    </row>
    <row r="18" spans="1:22" ht="18" customHeight="1">
      <c r="A18" s="297"/>
      <c r="B18" s="321">
        <v>8</v>
      </c>
      <c r="C18" s="1238" t="str">
        <f>'別紙様式２別添１　賃金改善内訳 '!C18:E18</f>
        <v>HH　HH</v>
      </c>
      <c r="D18" s="1239"/>
      <c r="E18" s="1240"/>
      <c r="F18" s="438" t="str">
        <f>'別紙様式２別添１　賃金改善内訳 '!F18</f>
        <v>育成支援の周辺業務を行う職員</v>
      </c>
      <c r="G18" s="439" t="str">
        <f>'別紙様式２別添１　賃金改善内訳 '!G18</f>
        <v>非常勤職員</v>
      </c>
      <c r="H18" s="314">
        <v>11000</v>
      </c>
      <c r="I18" s="322" t="str">
        <f t="shared" si="0"/>
        <v/>
      </c>
      <c r="J18" s="164">
        <f>'別紙様式２別添１　賃金改善内訳 '!J18</f>
        <v>30</v>
      </c>
      <c r="K18" s="316">
        <f t="shared" si="1"/>
        <v>160</v>
      </c>
      <c r="L18" s="317">
        <f t="shared" si="3"/>
        <v>0.2</v>
      </c>
      <c r="M18" s="165">
        <f>'別紙様式２別添１　賃金改善内訳 '!M18</f>
        <v>12</v>
      </c>
      <c r="N18" s="323">
        <f t="shared" si="2"/>
        <v>26400</v>
      </c>
      <c r="O18" s="166">
        <f>'別紙様式２別添１　賃金改善内訳 '!O18</f>
        <v>26400</v>
      </c>
      <c r="P18" s="167">
        <f>'別紙様式２別添１　賃金改善内訳 '!P18</f>
        <v>26400</v>
      </c>
      <c r="Q18" s="319">
        <f t="shared" si="4"/>
        <v>0</v>
      </c>
      <c r="R18" s="1206"/>
      <c r="S18" s="324">
        <f t="shared" si="5"/>
        <v>2200</v>
      </c>
      <c r="T18" s="440">
        <f>'別紙様式２別添１　賃金改善内訳 '!T18</f>
        <v>0</v>
      </c>
      <c r="U18" s="297"/>
      <c r="V18" s="297"/>
    </row>
    <row r="19" spans="1:22" ht="18" customHeight="1">
      <c r="A19" s="297"/>
      <c r="B19" s="321">
        <v>9</v>
      </c>
      <c r="C19" s="1238">
        <f>'別紙様式２別添１　賃金改善内訳 '!C19:E19</f>
        <v>0</v>
      </c>
      <c r="D19" s="1239"/>
      <c r="E19" s="1240"/>
      <c r="F19" s="438">
        <f>'別紙様式２別添１　賃金改善内訳 '!F19</f>
        <v>0</v>
      </c>
      <c r="G19" s="439">
        <f>'別紙様式２別添１　賃金改善内訳 '!G19</f>
        <v>0</v>
      </c>
      <c r="H19" s="314">
        <v>11000</v>
      </c>
      <c r="I19" s="322" t="str">
        <f t="shared" si="0"/>
        <v/>
      </c>
      <c r="J19" s="164">
        <f>'別紙様式２別添１　賃金改善内訳 '!J19</f>
        <v>0</v>
      </c>
      <c r="K19" s="316">
        <f t="shared" si="1"/>
        <v>160</v>
      </c>
      <c r="L19" s="317">
        <f t="shared" si="3"/>
        <v>0</v>
      </c>
      <c r="M19" s="165">
        <f>'別紙様式２別添１　賃金改善内訳 '!M19</f>
        <v>0</v>
      </c>
      <c r="N19" s="323">
        <f t="shared" si="2"/>
        <v>0</v>
      </c>
      <c r="O19" s="166">
        <f>'別紙様式２別添１　賃金改善内訳 '!O19</f>
        <v>0</v>
      </c>
      <c r="P19" s="167">
        <f>'別紙様式２別添１　賃金改善内訳 '!P19</f>
        <v>0</v>
      </c>
      <c r="Q19" s="319">
        <f t="shared" si="4"/>
        <v>0</v>
      </c>
      <c r="R19" s="1206"/>
      <c r="S19" s="324" t="str">
        <f t="shared" si="5"/>
        <v/>
      </c>
      <c r="T19" s="440">
        <f>'別紙様式２別添１　賃金改善内訳 '!T19</f>
        <v>0</v>
      </c>
      <c r="U19" s="297"/>
      <c r="V19" s="297"/>
    </row>
    <row r="20" spans="1:22" ht="18" customHeight="1">
      <c r="A20" s="297"/>
      <c r="B20" s="321">
        <v>10</v>
      </c>
      <c r="C20" s="1238">
        <f>'別紙様式２別添１　賃金改善内訳 '!C20:E20</f>
        <v>0</v>
      </c>
      <c r="D20" s="1239"/>
      <c r="E20" s="1240"/>
      <c r="F20" s="438">
        <f>'別紙様式２別添１　賃金改善内訳 '!F20</f>
        <v>0</v>
      </c>
      <c r="G20" s="439">
        <f>'別紙様式２別添１　賃金改善内訳 '!G20</f>
        <v>0</v>
      </c>
      <c r="H20" s="314">
        <v>11000</v>
      </c>
      <c r="I20" s="322" t="str">
        <f t="shared" si="0"/>
        <v/>
      </c>
      <c r="J20" s="164">
        <f>'別紙様式２別添１　賃金改善内訳 '!J20</f>
        <v>0</v>
      </c>
      <c r="K20" s="316">
        <f t="shared" si="1"/>
        <v>160</v>
      </c>
      <c r="L20" s="317">
        <f t="shared" si="3"/>
        <v>0</v>
      </c>
      <c r="M20" s="165">
        <f>'別紙様式２別添１　賃金改善内訳 '!M20</f>
        <v>0</v>
      </c>
      <c r="N20" s="323">
        <f t="shared" si="2"/>
        <v>0</v>
      </c>
      <c r="O20" s="166">
        <f>'別紙様式２別添１　賃金改善内訳 '!O20</f>
        <v>0</v>
      </c>
      <c r="P20" s="167">
        <f>'別紙様式２別添１　賃金改善内訳 '!P20</f>
        <v>0</v>
      </c>
      <c r="Q20" s="319">
        <f t="shared" si="4"/>
        <v>0</v>
      </c>
      <c r="R20" s="1206"/>
      <c r="S20" s="324" t="str">
        <f t="shared" si="5"/>
        <v/>
      </c>
      <c r="T20" s="440">
        <f>'別紙様式２別添１　賃金改善内訳 '!T20</f>
        <v>0</v>
      </c>
      <c r="U20" s="297"/>
      <c r="V20" s="297"/>
    </row>
    <row r="21" spans="1:22" ht="18" customHeight="1">
      <c r="A21" s="297"/>
      <c r="B21" s="321">
        <v>11</v>
      </c>
      <c r="C21" s="1238">
        <f>'別紙様式２別添１　賃金改善内訳 '!C21:E21</f>
        <v>0</v>
      </c>
      <c r="D21" s="1239"/>
      <c r="E21" s="1240"/>
      <c r="F21" s="438">
        <f>'別紙様式２別添１　賃金改善内訳 '!F21</f>
        <v>0</v>
      </c>
      <c r="G21" s="439">
        <f>'別紙様式２別添１　賃金改善内訳 '!G21</f>
        <v>0</v>
      </c>
      <c r="H21" s="314">
        <v>11000</v>
      </c>
      <c r="I21" s="322" t="str">
        <f t="shared" si="0"/>
        <v/>
      </c>
      <c r="J21" s="164">
        <f>'別紙様式２別添１　賃金改善内訳 '!J21</f>
        <v>0</v>
      </c>
      <c r="K21" s="316">
        <f t="shared" si="1"/>
        <v>160</v>
      </c>
      <c r="L21" s="317">
        <f t="shared" si="3"/>
        <v>0</v>
      </c>
      <c r="M21" s="165">
        <f>'別紙様式２別添１　賃金改善内訳 '!M21</f>
        <v>0</v>
      </c>
      <c r="N21" s="323">
        <f t="shared" si="2"/>
        <v>0</v>
      </c>
      <c r="O21" s="166">
        <f>'別紙様式２別添１　賃金改善内訳 '!O21</f>
        <v>0</v>
      </c>
      <c r="P21" s="167">
        <f>'別紙様式２別添１　賃金改善内訳 '!P21</f>
        <v>0</v>
      </c>
      <c r="Q21" s="319">
        <f t="shared" si="4"/>
        <v>0</v>
      </c>
      <c r="R21" s="1206"/>
      <c r="S21" s="324" t="str">
        <f t="shared" si="5"/>
        <v/>
      </c>
      <c r="T21" s="440">
        <f>'別紙様式２別添１　賃金改善内訳 '!T21</f>
        <v>0</v>
      </c>
      <c r="U21" s="297"/>
      <c r="V21" s="297"/>
    </row>
    <row r="22" spans="1:22" ht="18" customHeight="1">
      <c r="A22" s="297"/>
      <c r="B22" s="321">
        <v>12</v>
      </c>
      <c r="C22" s="1238">
        <f>'別紙様式２別添１　賃金改善内訳 '!C22:E22</f>
        <v>0</v>
      </c>
      <c r="D22" s="1239"/>
      <c r="E22" s="1240"/>
      <c r="F22" s="438">
        <f>'別紙様式２別添１　賃金改善内訳 '!F22</f>
        <v>0</v>
      </c>
      <c r="G22" s="439">
        <f>'別紙様式２別添１　賃金改善内訳 '!G22</f>
        <v>0</v>
      </c>
      <c r="H22" s="314">
        <v>11000</v>
      </c>
      <c r="I22" s="322" t="str">
        <f t="shared" si="0"/>
        <v/>
      </c>
      <c r="J22" s="164">
        <f>'別紙様式２別添１　賃金改善内訳 '!J22</f>
        <v>0</v>
      </c>
      <c r="K22" s="316">
        <f t="shared" si="1"/>
        <v>160</v>
      </c>
      <c r="L22" s="317">
        <f t="shared" si="3"/>
        <v>0</v>
      </c>
      <c r="M22" s="165">
        <f>'別紙様式２別添１　賃金改善内訳 '!M22</f>
        <v>0</v>
      </c>
      <c r="N22" s="323">
        <f t="shared" si="2"/>
        <v>0</v>
      </c>
      <c r="O22" s="166">
        <f>'別紙様式２別添１　賃金改善内訳 '!O22</f>
        <v>0</v>
      </c>
      <c r="P22" s="167">
        <f>'別紙様式２別添１　賃金改善内訳 '!P22</f>
        <v>0</v>
      </c>
      <c r="Q22" s="319">
        <f t="shared" si="4"/>
        <v>0</v>
      </c>
      <c r="R22" s="1206"/>
      <c r="S22" s="324" t="str">
        <f t="shared" si="5"/>
        <v/>
      </c>
      <c r="T22" s="440">
        <f>'別紙様式２別添１　賃金改善内訳 '!T22</f>
        <v>0</v>
      </c>
      <c r="U22" s="297"/>
      <c r="V22" s="297"/>
    </row>
    <row r="23" spans="1:22" ht="18" customHeight="1">
      <c r="A23" s="325"/>
      <c r="B23" s="321">
        <v>13</v>
      </c>
      <c r="C23" s="1238">
        <f>'別紙様式２別添１　賃金改善内訳 '!C23:E23</f>
        <v>0</v>
      </c>
      <c r="D23" s="1239"/>
      <c r="E23" s="1240"/>
      <c r="F23" s="438">
        <f>'別紙様式２別添１　賃金改善内訳 '!F23</f>
        <v>0</v>
      </c>
      <c r="G23" s="439">
        <f>'別紙様式２別添１　賃金改善内訳 '!G23</f>
        <v>0</v>
      </c>
      <c r="H23" s="314">
        <v>11000</v>
      </c>
      <c r="I23" s="322" t="str">
        <f t="shared" si="0"/>
        <v/>
      </c>
      <c r="J23" s="164">
        <f>'別紙様式２別添１　賃金改善内訳 '!J23</f>
        <v>0</v>
      </c>
      <c r="K23" s="316">
        <f t="shared" si="1"/>
        <v>160</v>
      </c>
      <c r="L23" s="317">
        <f t="shared" si="3"/>
        <v>0</v>
      </c>
      <c r="M23" s="165">
        <f>'別紙様式２別添１　賃金改善内訳 '!M23</f>
        <v>0</v>
      </c>
      <c r="N23" s="323">
        <f t="shared" si="2"/>
        <v>0</v>
      </c>
      <c r="O23" s="166">
        <f>'別紙様式２別添１　賃金改善内訳 '!O23</f>
        <v>0</v>
      </c>
      <c r="P23" s="167">
        <f>'別紙様式２別添１　賃金改善内訳 '!P23</f>
        <v>0</v>
      </c>
      <c r="Q23" s="319">
        <f t="shared" si="4"/>
        <v>0</v>
      </c>
      <c r="R23" s="1206"/>
      <c r="S23" s="324" t="str">
        <f t="shared" si="5"/>
        <v/>
      </c>
      <c r="T23" s="440">
        <f>'別紙様式２別添１　賃金改善内訳 '!T23</f>
        <v>0</v>
      </c>
      <c r="U23" s="297"/>
      <c r="V23" s="297"/>
    </row>
    <row r="24" spans="1:22" ht="18" customHeight="1">
      <c r="A24" s="297"/>
      <c r="B24" s="321">
        <v>14</v>
      </c>
      <c r="C24" s="1238">
        <f>'別紙様式２別添１　賃金改善内訳 '!C24:E24</f>
        <v>0</v>
      </c>
      <c r="D24" s="1239"/>
      <c r="E24" s="1240"/>
      <c r="F24" s="438">
        <f>'別紙様式２別添１　賃金改善内訳 '!F24</f>
        <v>0</v>
      </c>
      <c r="G24" s="439">
        <f>'別紙様式２別添１　賃金改善内訳 '!G24</f>
        <v>0</v>
      </c>
      <c r="H24" s="314">
        <v>11000</v>
      </c>
      <c r="I24" s="322" t="str">
        <f t="shared" si="0"/>
        <v/>
      </c>
      <c r="J24" s="164">
        <f>'別紙様式２別添１　賃金改善内訳 '!J24</f>
        <v>0</v>
      </c>
      <c r="K24" s="316">
        <f t="shared" si="1"/>
        <v>160</v>
      </c>
      <c r="L24" s="317">
        <f t="shared" si="3"/>
        <v>0</v>
      </c>
      <c r="M24" s="165">
        <f>'別紙様式２別添１　賃金改善内訳 '!M24</f>
        <v>0</v>
      </c>
      <c r="N24" s="323">
        <f t="shared" si="2"/>
        <v>0</v>
      </c>
      <c r="O24" s="166">
        <f>'別紙様式２別添１　賃金改善内訳 '!O24</f>
        <v>0</v>
      </c>
      <c r="P24" s="167">
        <f>'別紙様式２別添１　賃金改善内訳 '!P24</f>
        <v>0</v>
      </c>
      <c r="Q24" s="319">
        <f t="shared" si="4"/>
        <v>0</v>
      </c>
      <c r="R24" s="1206"/>
      <c r="S24" s="324" t="str">
        <f t="shared" si="5"/>
        <v/>
      </c>
      <c r="T24" s="440">
        <f>'別紙様式２別添１　賃金改善内訳 '!T24</f>
        <v>0</v>
      </c>
      <c r="U24" s="297"/>
      <c r="V24" s="297"/>
    </row>
    <row r="25" spans="1:22" ht="18" customHeight="1">
      <c r="A25" s="297"/>
      <c r="B25" s="321">
        <v>15</v>
      </c>
      <c r="C25" s="1238">
        <f>'別紙様式２別添１　賃金改善内訳 '!C25:E25</f>
        <v>0</v>
      </c>
      <c r="D25" s="1239"/>
      <c r="E25" s="1240"/>
      <c r="F25" s="438">
        <f>'別紙様式２別添１　賃金改善内訳 '!F25</f>
        <v>0</v>
      </c>
      <c r="G25" s="439">
        <f>'別紙様式２別添１　賃金改善内訳 '!G25</f>
        <v>0</v>
      </c>
      <c r="H25" s="314">
        <v>11000</v>
      </c>
      <c r="I25" s="322" t="str">
        <f t="shared" si="0"/>
        <v/>
      </c>
      <c r="J25" s="164">
        <f>'別紙様式２別添１　賃金改善内訳 '!J25</f>
        <v>0</v>
      </c>
      <c r="K25" s="316">
        <f t="shared" si="1"/>
        <v>160</v>
      </c>
      <c r="L25" s="317">
        <f t="shared" si="3"/>
        <v>0</v>
      </c>
      <c r="M25" s="165">
        <f>'別紙様式２別添１　賃金改善内訳 '!M25</f>
        <v>0</v>
      </c>
      <c r="N25" s="323">
        <f t="shared" si="2"/>
        <v>0</v>
      </c>
      <c r="O25" s="166">
        <f>'別紙様式２別添１　賃金改善内訳 '!O25</f>
        <v>0</v>
      </c>
      <c r="P25" s="167">
        <f>'別紙様式２別添１　賃金改善内訳 '!P25</f>
        <v>0</v>
      </c>
      <c r="Q25" s="319">
        <f t="shared" si="4"/>
        <v>0</v>
      </c>
      <c r="R25" s="1206"/>
      <c r="S25" s="324" t="str">
        <f t="shared" si="5"/>
        <v/>
      </c>
      <c r="T25" s="440">
        <f>'別紙様式２別添１　賃金改善内訳 '!T25</f>
        <v>0</v>
      </c>
      <c r="U25" s="297"/>
      <c r="V25" s="297"/>
    </row>
    <row r="26" spans="1:22" ht="18" customHeight="1">
      <c r="A26" s="297"/>
      <c r="B26" s="321">
        <v>16</v>
      </c>
      <c r="C26" s="1238">
        <f>'別紙様式２別添１　賃金改善内訳 '!C26:E26</f>
        <v>0</v>
      </c>
      <c r="D26" s="1239"/>
      <c r="E26" s="1240"/>
      <c r="F26" s="438">
        <f>'別紙様式２別添１　賃金改善内訳 '!F26</f>
        <v>0</v>
      </c>
      <c r="G26" s="439">
        <f>'別紙様式２別添１　賃金改善内訳 '!G26</f>
        <v>0</v>
      </c>
      <c r="H26" s="314">
        <v>11000</v>
      </c>
      <c r="I26" s="322" t="str">
        <f t="shared" si="0"/>
        <v/>
      </c>
      <c r="J26" s="164">
        <f>'別紙様式２別添１　賃金改善内訳 '!J26</f>
        <v>0</v>
      </c>
      <c r="K26" s="316">
        <f t="shared" si="1"/>
        <v>160</v>
      </c>
      <c r="L26" s="317">
        <f t="shared" si="3"/>
        <v>0</v>
      </c>
      <c r="M26" s="165">
        <f>'別紙様式２別添１　賃金改善内訳 '!M26</f>
        <v>0</v>
      </c>
      <c r="N26" s="323">
        <f t="shared" si="2"/>
        <v>0</v>
      </c>
      <c r="O26" s="166">
        <f>'別紙様式２別添１　賃金改善内訳 '!O26</f>
        <v>0</v>
      </c>
      <c r="P26" s="167">
        <f>'別紙様式２別添１　賃金改善内訳 '!P26</f>
        <v>0</v>
      </c>
      <c r="Q26" s="319">
        <f t="shared" si="4"/>
        <v>0</v>
      </c>
      <c r="R26" s="1206"/>
      <c r="S26" s="324" t="str">
        <f t="shared" si="5"/>
        <v/>
      </c>
      <c r="T26" s="440">
        <f>'別紙様式２別添１　賃金改善内訳 '!T26</f>
        <v>0</v>
      </c>
      <c r="U26" s="297"/>
      <c r="V26" s="297"/>
    </row>
    <row r="27" spans="1:22" ht="18" customHeight="1">
      <c r="A27" s="297"/>
      <c r="B27" s="321">
        <v>17</v>
      </c>
      <c r="C27" s="1238">
        <f>'別紙様式２別添１　賃金改善内訳 '!C27:E27</f>
        <v>0</v>
      </c>
      <c r="D27" s="1239"/>
      <c r="E27" s="1240"/>
      <c r="F27" s="438">
        <f>'別紙様式２別添１　賃金改善内訳 '!F27</f>
        <v>0</v>
      </c>
      <c r="G27" s="439">
        <f>'別紙様式２別添１　賃金改善内訳 '!G27</f>
        <v>0</v>
      </c>
      <c r="H27" s="314">
        <v>11000</v>
      </c>
      <c r="I27" s="322" t="str">
        <f t="shared" si="0"/>
        <v/>
      </c>
      <c r="J27" s="164">
        <f>'別紙様式２別添１　賃金改善内訳 '!J27</f>
        <v>0</v>
      </c>
      <c r="K27" s="316">
        <f t="shared" si="1"/>
        <v>160</v>
      </c>
      <c r="L27" s="317">
        <f t="shared" si="3"/>
        <v>0</v>
      </c>
      <c r="M27" s="165">
        <f>'別紙様式２別添１　賃金改善内訳 '!M27</f>
        <v>0</v>
      </c>
      <c r="N27" s="323">
        <f t="shared" si="2"/>
        <v>0</v>
      </c>
      <c r="O27" s="166">
        <f>'別紙様式２別添１　賃金改善内訳 '!O27</f>
        <v>0</v>
      </c>
      <c r="P27" s="167">
        <f>'別紙様式２別添１　賃金改善内訳 '!P27</f>
        <v>0</v>
      </c>
      <c r="Q27" s="319">
        <f t="shared" si="4"/>
        <v>0</v>
      </c>
      <c r="R27" s="1206"/>
      <c r="S27" s="324" t="str">
        <f t="shared" si="5"/>
        <v/>
      </c>
      <c r="T27" s="440">
        <f>'別紙様式２別添１　賃金改善内訳 '!T27</f>
        <v>0</v>
      </c>
      <c r="U27" s="297"/>
      <c r="V27" s="297"/>
    </row>
    <row r="28" spans="1:22" ht="18" customHeight="1">
      <c r="A28" s="297"/>
      <c r="B28" s="321">
        <v>18</v>
      </c>
      <c r="C28" s="1238">
        <f>'別紙様式２別添１　賃金改善内訳 '!C28:E28</f>
        <v>0</v>
      </c>
      <c r="D28" s="1239"/>
      <c r="E28" s="1240"/>
      <c r="F28" s="438">
        <f>'別紙様式２別添１　賃金改善内訳 '!F28</f>
        <v>0</v>
      </c>
      <c r="G28" s="439">
        <f>'別紙様式２別添１　賃金改善内訳 '!G28</f>
        <v>0</v>
      </c>
      <c r="H28" s="314">
        <v>11000</v>
      </c>
      <c r="I28" s="322" t="str">
        <f t="shared" si="0"/>
        <v/>
      </c>
      <c r="J28" s="164">
        <f>'別紙様式２別添１　賃金改善内訳 '!J28</f>
        <v>0</v>
      </c>
      <c r="K28" s="316">
        <f t="shared" si="1"/>
        <v>160</v>
      </c>
      <c r="L28" s="317">
        <f t="shared" si="3"/>
        <v>0</v>
      </c>
      <c r="M28" s="165">
        <f>'別紙様式２別添１　賃金改善内訳 '!M28</f>
        <v>0</v>
      </c>
      <c r="N28" s="323">
        <f t="shared" si="2"/>
        <v>0</v>
      </c>
      <c r="O28" s="166">
        <f>'別紙様式２別添１　賃金改善内訳 '!O28</f>
        <v>0</v>
      </c>
      <c r="P28" s="167">
        <f>'別紙様式２別添１　賃金改善内訳 '!P28</f>
        <v>0</v>
      </c>
      <c r="Q28" s="319">
        <f t="shared" si="4"/>
        <v>0</v>
      </c>
      <c r="R28" s="1206"/>
      <c r="S28" s="324" t="str">
        <f t="shared" si="5"/>
        <v/>
      </c>
      <c r="T28" s="440">
        <f>'別紙様式２別添１　賃金改善内訳 '!T28</f>
        <v>0</v>
      </c>
      <c r="U28" s="297"/>
      <c r="V28" s="297"/>
    </row>
    <row r="29" spans="1:22" ht="18" customHeight="1">
      <c r="A29" s="297"/>
      <c r="B29" s="321">
        <v>19</v>
      </c>
      <c r="C29" s="1238">
        <f>'別紙様式２別添１　賃金改善内訳 '!C29:E29</f>
        <v>0</v>
      </c>
      <c r="D29" s="1239"/>
      <c r="E29" s="1240"/>
      <c r="F29" s="438">
        <f>'別紙様式２別添１　賃金改善内訳 '!F29</f>
        <v>0</v>
      </c>
      <c r="G29" s="439">
        <f>'別紙様式２別添１　賃金改善内訳 '!G29</f>
        <v>0</v>
      </c>
      <c r="H29" s="314">
        <v>11000</v>
      </c>
      <c r="I29" s="322" t="str">
        <f t="shared" si="0"/>
        <v/>
      </c>
      <c r="J29" s="164">
        <f>'別紙様式２別添１　賃金改善内訳 '!J29</f>
        <v>0</v>
      </c>
      <c r="K29" s="316">
        <f t="shared" si="1"/>
        <v>160</v>
      </c>
      <c r="L29" s="317">
        <f t="shared" si="3"/>
        <v>0</v>
      </c>
      <c r="M29" s="165">
        <f>'別紙様式２別添１　賃金改善内訳 '!M29</f>
        <v>0</v>
      </c>
      <c r="N29" s="323">
        <f t="shared" si="2"/>
        <v>0</v>
      </c>
      <c r="O29" s="166">
        <f>'別紙様式２別添１　賃金改善内訳 '!O29</f>
        <v>0</v>
      </c>
      <c r="P29" s="167">
        <f>'別紙様式２別添１　賃金改善内訳 '!P29</f>
        <v>0</v>
      </c>
      <c r="Q29" s="319">
        <f t="shared" si="4"/>
        <v>0</v>
      </c>
      <c r="R29" s="1206"/>
      <c r="S29" s="324" t="str">
        <f t="shared" si="5"/>
        <v/>
      </c>
      <c r="T29" s="440">
        <f>'別紙様式２別添１　賃金改善内訳 '!T29</f>
        <v>0</v>
      </c>
      <c r="U29" s="297"/>
      <c r="V29" s="297"/>
    </row>
    <row r="30" spans="1:22" ht="18" customHeight="1">
      <c r="A30" s="297"/>
      <c r="B30" s="321">
        <v>20</v>
      </c>
      <c r="C30" s="1238">
        <f>'別紙様式２別添１　賃金改善内訳 '!C30:E30</f>
        <v>0</v>
      </c>
      <c r="D30" s="1239"/>
      <c r="E30" s="1240"/>
      <c r="F30" s="438">
        <f>'別紙様式２別添１　賃金改善内訳 '!F30</f>
        <v>0</v>
      </c>
      <c r="G30" s="439">
        <f>'別紙様式２別添１　賃金改善内訳 '!G30</f>
        <v>0</v>
      </c>
      <c r="H30" s="314">
        <v>11000</v>
      </c>
      <c r="I30" s="322" t="str">
        <f t="shared" si="0"/>
        <v/>
      </c>
      <c r="J30" s="164">
        <f>'別紙様式２別添１　賃金改善内訳 '!J30</f>
        <v>0</v>
      </c>
      <c r="K30" s="316">
        <f t="shared" si="1"/>
        <v>160</v>
      </c>
      <c r="L30" s="317">
        <f t="shared" si="3"/>
        <v>0</v>
      </c>
      <c r="M30" s="165">
        <f>'別紙様式２別添１　賃金改善内訳 '!M30</f>
        <v>0</v>
      </c>
      <c r="N30" s="323">
        <f t="shared" si="2"/>
        <v>0</v>
      </c>
      <c r="O30" s="166">
        <f>'別紙様式２別添１　賃金改善内訳 '!O30</f>
        <v>0</v>
      </c>
      <c r="P30" s="167">
        <f>'別紙様式２別添１　賃金改善内訳 '!P30</f>
        <v>0</v>
      </c>
      <c r="Q30" s="319">
        <f t="shared" si="4"/>
        <v>0</v>
      </c>
      <c r="R30" s="1206"/>
      <c r="S30" s="324" t="str">
        <f t="shared" si="5"/>
        <v/>
      </c>
      <c r="T30" s="440">
        <f>'別紙様式２別添１　賃金改善内訳 '!T30</f>
        <v>0</v>
      </c>
      <c r="U30" s="297"/>
      <c r="V30" s="297"/>
    </row>
    <row r="31" spans="1:22" ht="18" customHeight="1">
      <c r="A31" s="297"/>
      <c r="B31" s="321">
        <v>21</v>
      </c>
      <c r="C31" s="1238">
        <f>'別紙様式２別添１　賃金改善内訳 '!C31:E31</f>
        <v>0</v>
      </c>
      <c r="D31" s="1239"/>
      <c r="E31" s="1240"/>
      <c r="F31" s="438">
        <f>'別紙様式２別添１　賃金改善内訳 '!F31</f>
        <v>0</v>
      </c>
      <c r="G31" s="439">
        <f>'別紙様式２別添１　賃金改善内訳 '!G31</f>
        <v>0</v>
      </c>
      <c r="H31" s="314">
        <v>11000</v>
      </c>
      <c r="I31" s="322" t="str">
        <f t="shared" si="0"/>
        <v/>
      </c>
      <c r="J31" s="164">
        <f>'別紙様式２別添１　賃金改善内訳 '!J31</f>
        <v>0</v>
      </c>
      <c r="K31" s="316">
        <f t="shared" si="1"/>
        <v>160</v>
      </c>
      <c r="L31" s="317">
        <f t="shared" si="3"/>
        <v>0</v>
      </c>
      <c r="M31" s="165">
        <f>'別紙様式２別添１　賃金改善内訳 '!M31</f>
        <v>0</v>
      </c>
      <c r="N31" s="323">
        <f t="shared" si="2"/>
        <v>0</v>
      </c>
      <c r="O31" s="166">
        <f>'別紙様式２別添１　賃金改善内訳 '!O31</f>
        <v>0</v>
      </c>
      <c r="P31" s="167">
        <f>'別紙様式２別添１　賃金改善内訳 '!P31</f>
        <v>0</v>
      </c>
      <c r="Q31" s="319">
        <f t="shared" si="4"/>
        <v>0</v>
      </c>
      <c r="R31" s="1206"/>
      <c r="S31" s="324" t="str">
        <f t="shared" si="5"/>
        <v/>
      </c>
      <c r="T31" s="440">
        <f>'別紙様式２別添１　賃金改善内訳 '!T31</f>
        <v>0</v>
      </c>
      <c r="U31" s="297"/>
      <c r="V31" s="297"/>
    </row>
    <row r="32" spans="1:22" ht="18" customHeight="1">
      <c r="A32" s="297"/>
      <c r="B32" s="321">
        <v>22</v>
      </c>
      <c r="C32" s="1238">
        <f>'別紙様式２別添１　賃金改善内訳 '!C32:E32</f>
        <v>0</v>
      </c>
      <c r="D32" s="1239"/>
      <c r="E32" s="1240"/>
      <c r="F32" s="438">
        <f>'別紙様式２別添１　賃金改善内訳 '!F32</f>
        <v>0</v>
      </c>
      <c r="G32" s="439">
        <f>'別紙様式２別添１　賃金改善内訳 '!G32</f>
        <v>0</v>
      </c>
      <c r="H32" s="314">
        <v>11000</v>
      </c>
      <c r="I32" s="322" t="str">
        <f t="shared" si="0"/>
        <v/>
      </c>
      <c r="J32" s="164">
        <f>'別紙様式２別添１　賃金改善内訳 '!J32</f>
        <v>0</v>
      </c>
      <c r="K32" s="316">
        <f t="shared" si="1"/>
        <v>160</v>
      </c>
      <c r="L32" s="317">
        <f t="shared" si="3"/>
        <v>0</v>
      </c>
      <c r="M32" s="165">
        <f>'別紙様式２別添１　賃金改善内訳 '!M32</f>
        <v>0</v>
      </c>
      <c r="N32" s="323">
        <f t="shared" si="2"/>
        <v>0</v>
      </c>
      <c r="O32" s="166">
        <f>'別紙様式２別添１　賃金改善内訳 '!O32</f>
        <v>0</v>
      </c>
      <c r="P32" s="167">
        <f>'別紙様式２別添１　賃金改善内訳 '!P32</f>
        <v>0</v>
      </c>
      <c r="Q32" s="319">
        <f t="shared" si="4"/>
        <v>0</v>
      </c>
      <c r="R32" s="1206"/>
      <c r="S32" s="324" t="str">
        <f t="shared" si="5"/>
        <v/>
      </c>
      <c r="T32" s="440">
        <f>'別紙様式２別添１　賃金改善内訳 '!T32</f>
        <v>0</v>
      </c>
      <c r="U32" s="297"/>
      <c r="V32" s="297"/>
    </row>
    <row r="33" spans="1:22" ht="18" customHeight="1">
      <c r="A33" s="297"/>
      <c r="B33" s="321">
        <v>23</v>
      </c>
      <c r="C33" s="1238">
        <f>'別紙様式２別添１　賃金改善内訳 '!C33:E33</f>
        <v>0</v>
      </c>
      <c r="D33" s="1239"/>
      <c r="E33" s="1240"/>
      <c r="F33" s="438">
        <f>'別紙様式２別添１　賃金改善内訳 '!F33</f>
        <v>0</v>
      </c>
      <c r="G33" s="439">
        <f>'別紙様式２別添１　賃金改善内訳 '!G33</f>
        <v>0</v>
      </c>
      <c r="H33" s="314">
        <v>11000</v>
      </c>
      <c r="I33" s="322" t="str">
        <f t="shared" si="0"/>
        <v/>
      </c>
      <c r="J33" s="164">
        <f>'別紙様式２別添１　賃金改善内訳 '!J33</f>
        <v>0</v>
      </c>
      <c r="K33" s="316">
        <f t="shared" si="1"/>
        <v>160</v>
      </c>
      <c r="L33" s="317">
        <f t="shared" si="3"/>
        <v>0</v>
      </c>
      <c r="M33" s="165">
        <f>'別紙様式２別添１　賃金改善内訳 '!M33</f>
        <v>0</v>
      </c>
      <c r="N33" s="323">
        <f t="shared" si="2"/>
        <v>0</v>
      </c>
      <c r="O33" s="166">
        <f>'別紙様式２別添１　賃金改善内訳 '!O33</f>
        <v>0</v>
      </c>
      <c r="P33" s="167">
        <f>'別紙様式２別添１　賃金改善内訳 '!P33</f>
        <v>0</v>
      </c>
      <c r="Q33" s="319">
        <f t="shared" si="4"/>
        <v>0</v>
      </c>
      <c r="R33" s="1206"/>
      <c r="S33" s="324" t="str">
        <f t="shared" si="5"/>
        <v/>
      </c>
      <c r="T33" s="440">
        <f>'別紙様式２別添１　賃金改善内訳 '!T33</f>
        <v>0</v>
      </c>
      <c r="U33" s="297"/>
      <c r="V33" s="297"/>
    </row>
    <row r="34" spans="1:22" ht="18" customHeight="1">
      <c r="A34" s="297"/>
      <c r="B34" s="321">
        <v>24</v>
      </c>
      <c r="C34" s="1238">
        <f>'別紙様式２別添１　賃金改善内訳 '!C34:E34</f>
        <v>0</v>
      </c>
      <c r="D34" s="1239"/>
      <c r="E34" s="1240"/>
      <c r="F34" s="438">
        <f>'別紙様式２別添１　賃金改善内訳 '!F34</f>
        <v>0</v>
      </c>
      <c r="G34" s="439">
        <f>'別紙様式２別添１　賃金改善内訳 '!G34</f>
        <v>0</v>
      </c>
      <c r="H34" s="314">
        <v>11000</v>
      </c>
      <c r="I34" s="322" t="str">
        <f t="shared" si="0"/>
        <v/>
      </c>
      <c r="J34" s="164">
        <f>'別紙様式２別添１　賃金改善内訳 '!J34</f>
        <v>0</v>
      </c>
      <c r="K34" s="316">
        <f t="shared" si="1"/>
        <v>160</v>
      </c>
      <c r="L34" s="317">
        <f t="shared" si="3"/>
        <v>0</v>
      </c>
      <c r="M34" s="165">
        <f>'別紙様式２別添１　賃金改善内訳 '!M34</f>
        <v>0</v>
      </c>
      <c r="N34" s="323">
        <f t="shared" si="2"/>
        <v>0</v>
      </c>
      <c r="O34" s="166">
        <f>'別紙様式２別添１　賃金改善内訳 '!O34</f>
        <v>0</v>
      </c>
      <c r="P34" s="167">
        <f>'別紙様式２別添１　賃金改善内訳 '!P34</f>
        <v>0</v>
      </c>
      <c r="Q34" s="319">
        <f t="shared" si="4"/>
        <v>0</v>
      </c>
      <c r="R34" s="1206"/>
      <c r="S34" s="324" t="str">
        <f t="shared" si="5"/>
        <v/>
      </c>
      <c r="T34" s="440">
        <f>'別紙様式２別添１　賃金改善内訳 '!T34</f>
        <v>0</v>
      </c>
      <c r="U34" s="297"/>
      <c r="V34" s="297"/>
    </row>
    <row r="35" spans="1:22" ht="18" customHeight="1">
      <c r="A35" s="297"/>
      <c r="B35" s="321">
        <v>25</v>
      </c>
      <c r="C35" s="1238">
        <f>'別紙様式２別添１　賃金改善内訳 '!C35:E35</f>
        <v>0</v>
      </c>
      <c r="D35" s="1239"/>
      <c r="E35" s="1240"/>
      <c r="F35" s="438">
        <f>'別紙様式２別添１　賃金改善内訳 '!F35</f>
        <v>0</v>
      </c>
      <c r="G35" s="439">
        <f>'別紙様式２別添１　賃金改善内訳 '!G35</f>
        <v>0</v>
      </c>
      <c r="H35" s="314">
        <v>11000</v>
      </c>
      <c r="I35" s="322" t="str">
        <f t="shared" si="0"/>
        <v/>
      </c>
      <c r="J35" s="164">
        <f>'別紙様式２別添１　賃金改善内訳 '!J35</f>
        <v>0</v>
      </c>
      <c r="K35" s="316">
        <f t="shared" si="1"/>
        <v>160</v>
      </c>
      <c r="L35" s="317">
        <f t="shared" si="3"/>
        <v>0</v>
      </c>
      <c r="M35" s="165">
        <f>'別紙様式２別添１　賃金改善内訳 '!M35</f>
        <v>0</v>
      </c>
      <c r="N35" s="323">
        <f t="shared" si="2"/>
        <v>0</v>
      </c>
      <c r="O35" s="166">
        <f>'別紙様式２別添１　賃金改善内訳 '!O35</f>
        <v>0</v>
      </c>
      <c r="P35" s="167">
        <f>'別紙様式２別添１　賃金改善内訳 '!P35</f>
        <v>0</v>
      </c>
      <c r="Q35" s="319">
        <f t="shared" si="4"/>
        <v>0</v>
      </c>
      <c r="R35" s="1206"/>
      <c r="S35" s="324" t="str">
        <f t="shared" si="5"/>
        <v/>
      </c>
      <c r="T35" s="440">
        <f>'別紙様式２別添１　賃金改善内訳 '!T35</f>
        <v>0</v>
      </c>
      <c r="U35" s="297"/>
      <c r="V35" s="297"/>
    </row>
    <row r="36" spans="1:22" ht="18" customHeight="1">
      <c r="A36" s="297"/>
      <c r="B36" s="321">
        <v>26</v>
      </c>
      <c r="C36" s="1238">
        <f>'別紙様式２別添１　賃金改善内訳 '!C36:E36</f>
        <v>0</v>
      </c>
      <c r="D36" s="1239"/>
      <c r="E36" s="1240"/>
      <c r="F36" s="438">
        <f>'別紙様式２別添１　賃金改善内訳 '!F36</f>
        <v>0</v>
      </c>
      <c r="G36" s="439">
        <f>'別紙様式２別添１　賃金改善内訳 '!G36</f>
        <v>0</v>
      </c>
      <c r="H36" s="314">
        <v>11000</v>
      </c>
      <c r="I36" s="322" t="str">
        <f t="shared" si="0"/>
        <v/>
      </c>
      <c r="J36" s="164">
        <f>'別紙様式２別添１　賃金改善内訳 '!J36</f>
        <v>0</v>
      </c>
      <c r="K36" s="316">
        <f t="shared" si="1"/>
        <v>160</v>
      </c>
      <c r="L36" s="317">
        <f t="shared" si="3"/>
        <v>0</v>
      </c>
      <c r="M36" s="165">
        <f>'別紙様式２別添１　賃金改善内訳 '!M36</f>
        <v>0</v>
      </c>
      <c r="N36" s="323">
        <f t="shared" si="2"/>
        <v>0</v>
      </c>
      <c r="O36" s="166">
        <f>'別紙様式２別添１　賃金改善内訳 '!O36</f>
        <v>0</v>
      </c>
      <c r="P36" s="167">
        <f>'別紙様式２別添１　賃金改善内訳 '!P36</f>
        <v>0</v>
      </c>
      <c r="Q36" s="319">
        <f t="shared" si="4"/>
        <v>0</v>
      </c>
      <c r="R36" s="1206"/>
      <c r="S36" s="324" t="str">
        <f t="shared" si="5"/>
        <v/>
      </c>
      <c r="T36" s="440">
        <f>'別紙様式２別添１　賃金改善内訳 '!T36</f>
        <v>0</v>
      </c>
      <c r="U36" s="297"/>
      <c r="V36" s="297"/>
    </row>
    <row r="37" spans="1:22" ht="18" customHeight="1">
      <c r="A37" s="297"/>
      <c r="B37" s="321">
        <v>27</v>
      </c>
      <c r="C37" s="1238">
        <f>'別紙様式２別添１　賃金改善内訳 '!C37:E37</f>
        <v>0</v>
      </c>
      <c r="D37" s="1239"/>
      <c r="E37" s="1240"/>
      <c r="F37" s="438">
        <f>'別紙様式２別添１　賃金改善内訳 '!F37</f>
        <v>0</v>
      </c>
      <c r="G37" s="439">
        <f>'別紙様式２別添１　賃金改善内訳 '!G37</f>
        <v>0</v>
      </c>
      <c r="H37" s="314">
        <v>11000</v>
      </c>
      <c r="I37" s="322" t="str">
        <f t="shared" si="0"/>
        <v/>
      </c>
      <c r="J37" s="164">
        <f>'別紙様式２別添１　賃金改善内訳 '!J37</f>
        <v>0</v>
      </c>
      <c r="K37" s="316">
        <f t="shared" si="1"/>
        <v>160</v>
      </c>
      <c r="L37" s="317">
        <f t="shared" si="3"/>
        <v>0</v>
      </c>
      <c r="M37" s="165">
        <f>'別紙様式２別添１　賃金改善内訳 '!M37</f>
        <v>0</v>
      </c>
      <c r="N37" s="323">
        <f t="shared" si="2"/>
        <v>0</v>
      </c>
      <c r="O37" s="166">
        <f>'別紙様式２別添１　賃金改善内訳 '!O37</f>
        <v>0</v>
      </c>
      <c r="P37" s="167">
        <f>'別紙様式２別添１　賃金改善内訳 '!P37</f>
        <v>0</v>
      </c>
      <c r="Q37" s="319">
        <f t="shared" si="4"/>
        <v>0</v>
      </c>
      <c r="R37" s="1206"/>
      <c r="S37" s="324" t="str">
        <f t="shared" si="5"/>
        <v/>
      </c>
      <c r="T37" s="440">
        <f>'別紙様式２別添１　賃金改善内訳 '!T37</f>
        <v>0</v>
      </c>
      <c r="U37" s="297"/>
      <c r="V37" s="297"/>
    </row>
    <row r="38" spans="1:22" ht="18" customHeight="1">
      <c r="A38" s="297"/>
      <c r="B38" s="321">
        <v>28</v>
      </c>
      <c r="C38" s="1238">
        <f>'別紙様式２別添１　賃金改善内訳 '!C38:E38</f>
        <v>0</v>
      </c>
      <c r="D38" s="1239"/>
      <c r="E38" s="1240"/>
      <c r="F38" s="438">
        <f>'別紙様式２別添１　賃金改善内訳 '!F38</f>
        <v>0</v>
      </c>
      <c r="G38" s="439">
        <f>'別紙様式２別添１　賃金改善内訳 '!G38</f>
        <v>0</v>
      </c>
      <c r="H38" s="314">
        <v>11000</v>
      </c>
      <c r="I38" s="322" t="str">
        <f t="shared" si="0"/>
        <v/>
      </c>
      <c r="J38" s="164">
        <f>'別紙様式２別添１　賃金改善内訳 '!J38</f>
        <v>0</v>
      </c>
      <c r="K38" s="316">
        <f t="shared" si="1"/>
        <v>160</v>
      </c>
      <c r="L38" s="317">
        <f t="shared" si="3"/>
        <v>0</v>
      </c>
      <c r="M38" s="165">
        <f>'別紙様式２別添１　賃金改善内訳 '!M38</f>
        <v>0</v>
      </c>
      <c r="N38" s="323">
        <f t="shared" si="2"/>
        <v>0</v>
      </c>
      <c r="O38" s="166">
        <f>'別紙様式２別添１　賃金改善内訳 '!O38</f>
        <v>0</v>
      </c>
      <c r="P38" s="167">
        <f>'別紙様式２別添１　賃金改善内訳 '!P38</f>
        <v>0</v>
      </c>
      <c r="Q38" s="319">
        <f t="shared" si="4"/>
        <v>0</v>
      </c>
      <c r="R38" s="1206"/>
      <c r="S38" s="324" t="str">
        <f t="shared" si="5"/>
        <v/>
      </c>
      <c r="T38" s="440">
        <f>'別紙様式２別添１　賃金改善内訳 '!T38</f>
        <v>0</v>
      </c>
      <c r="U38" s="297"/>
      <c r="V38" s="297"/>
    </row>
    <row r="39" spans="1:22" ht="18" customHeight="1">
      <c r="A39" s="297"/>
      <c r="B39" s="321">
        <v>29</v>
      </c>
      <c r="C39" s="1238">
        <f>'別紙様式２別添１　賃金改善内訳 '!C39:E39</f>
        <v>0</v>
      </c>
      <c r="D39" s="1239"/>
      <c r="E39" s="1240"/>
      <c r="F39" s="438">
        <f>'別紙様式２別添１　賃金改善内訳 '!F39</f>
        <v>0</v>
      </c>
      <c r="G39" s="439">
        <f>'別紙様式２別添１　賃金改善内訳 '!G39</f>
        <v>0</v>
      </c>
      <c r="H39" s="314">
        <v>11000</v>
      </c>
      <c r="I39" s="322" t="str">
        <f t="shared" si="0"/>
        <v/>
      </c>
      <c r="J39" s="164">
        <f>'別紙様式２別添１　賃金改善内訳 '!J39</f>
        <v>0</v>
      </c>
      <c r="K39" s="316">
        <f t="shared" si="1"/>
        <v>160</v>
      </c>
      <c r="L39" s="317">
        <f t="shared" si="3"/>
        <v>0</v>
      </c>
      <c r="M39" s="165">
        <f>'別紙様式２別添１　賃金改善内訳 '!M39</f>
        <v>0</v>
      </c>
      <c r="N39" s="323">
        <f t="shared" si="2"/>
        <v>0</v>
      </c>
      <c r="O39" s="166">
        <f>'別紙様式２別添１　賃金改善内訳 '!O39</f>
        <v>0</v>
      </c>
      <c r="P39" s="167">
        <f>'別紙様式２別添１　賃金改善内訳 '!P39</f>
        <v>0</v>
      </c>
      <c r="Q39" s="319">
        <f t="shared" si="4"/>
        <v>0</v>
      </c>
      <c r="R39" s="1206"/>
      <c r="S39" s="324" t="str">
        <f t="shared" si="5"/>
        <v/>
      </c>
      <c r="T39" s="440">
        <f>'別紙様式２別添１　賃金改善内訳 '!T39</f>
        <v>0</v>
      </c>
      <c r="U39" s="297"/>
      <c r="V39" s="297"/>
    </row>
    <row r="40" spans="1:22" ht="18" customHeight="1" thickBot="1">
      <c r="A40" s="297"/>
      <c r="B40" s="321">
        <v>30</v>
      </c>
      <c r="C40" s="1238">
        <f>'別紙様式２別添１　賃金改善内訳 '!C40:E40</f>
        <v>0</v>
      </c>
      <c r="D40" s="1239"/>
      <c r="E40" s="1240"/>
      <c r="F40" s="438">
        <f>'別紙様式２別添１　賃金改善内訳 '!F40</f>
        <v>0</v>
      </c>
      <c r="G40" s="439">
        <f>'別紙様式２別添１　賃金改善内訳 '!G40</f>
        <v>0</v>
      </c>
      <c r="H40" s="314">
        <v>11000</v>
      </c>
      <c r="I40" s="322" t="str">
        <f t="shared" si="0"/>
        <v/>
      </c>
      <c r="J40" s="164">
        <f>'別紙様式２別添１　賃金改善内訳 '!J40</f>
        <v>0</v>
      </c>
      <c r="K40" s="316">
        <f t="shared" si="1"/>
        <v>160</v>
      </c>
      <c r="L40" s="317">
        <f t="shared" si="3"/>
        <v>0</v>
      </c>
      <c r="M40" s="165">
        <f>'別紙様式２別添１　賃金改善内訳 '!M40</f>
        <v>0</v>
      </c>
      <c r="N40" s="323">
        <f t="shared" si="2"/>
        <v>0</v>
      </c>
      <c r="O40" s="166">
        <f>'別紙様式２別添１　賃金改善内訳 '!O40</f>
        <v>0</v>
      </c>
      <c r="P40" s="167">
        <f>'別紙様式２別添１　賃金改善内訳 '!P40</f>
        <v>0</v>
      </c>
      <c r="Q40" s="319">
        <f t="shared" si="4"/>
        <v>0</v>
      </c>
      <c r="R40" s="1207"/>
      <c r="S40" s="324" t="str">
        <f t="shared" si="5"/>
        <v/>
      </c>
      <c r="T40" s="440">
        <f>'別紙様式２別添１　賃金改善内訳 '!T40</f>
        <v>0</v>
      </c>
      <c r="U40" s="297"/>
      <c r="V40" s="297"/>
    </row>
    <row r="41" spans="1:22" ht="18" customHeight="1" thickBot="1">
      <c r="A41" s="297"/>
      <c r="B41" s="1230" t="s">
        <v>22</v>
      </c>
      <c r="C41" s="1231"/>
      <c r="D41" s="1231"/>
      <c r="E41" s="1231"/>
      <c r="F41" s="1231"/>
      <c r="G41" s="1232"/>
      <c r="H41" s="356"/>
      <c r="I41" s="327">
        <f>SUM(I11:I40)</f>
        <v>3</v>
      </c>
      <c r="J41" s="328"/>
      <c r="K41" s="329"/>
      <c r="L41" s="330">
        <f t="shared" ref="L41:Q41" si="6">SUM(L11:L40)</f>
        <v>2.2000000000000002</v>
      </c>
      <c r="M41" s="331">
        <f t="shared" si="6"/>
        <v>96</v>
      </c>
      <c r="N41" s="332">
        <f t="shared" si="6"/>
        <v>686400</v>
      </c>
      <c r="O41" s="332">
        <f t="shared" si="6"/>
        <v>686400</v>
      </c>
      <c r="P41" s="333">
        <f t="shared" si="6"/>
        <v>686400</v>
      </c>
      <c r="Q41" s="334">
        <f t="shared" si="6"/>
        <v>0</v>
      </c>
      <c r="R41" s="170">
        <f>'別紙様式２別添１　賃金改善内訳 '!R41</f>
        <v>0</v>
      </c>
      <c r="S41" s="335">
        <f t="shared" si="5"/>
        <v>7150</v>
      </c>
      <c r="T41" s="336"/>
      <c r="U41" s="297"/>
      <c r="V41" s="297"/>
    </row>
    <row r="42" spans="1:22" ht="18" customHeight="1">
      <c r="A42" s="297"/>
      <c r="B42" s="297" t="s">
        <v>386</v>
      </c>
      <c r="C42" s="297"/>
      <c r="D42" s="297"/>
      <c r="E42" s="297"/>
      <c r="F42" s="297"/>
      <c r="G42" s="297"/>
      <c r="H42" s="297"/>
      <c r="I42" s="297"/>
      <c r="J42" s="297"/>
      <c r="K42" s="297"/>
      <c r="L42" s="297"/>
      <c r="M42" s="297"/>
      <c r="N42" s="297"/>
      <c r="O42" s="297"/>
      <c r="P42" s="297"/>
      <c r="Q42" s="297"/>
      <c r="R42" s="297"/>
      <c r="S42" s="297"/>
      <c r="T42" s="297"/>
      <c r="U42" s="297"/>
      <c r="V42" s="297"/>
    </row>
    <row r="43" spans="1:22" ht="18" customHeight="1">
      <c r="A43" s="297"/>
      <c r="B43" s="337" t="s">
        <v>466</v>
      </c>
      <c r="C43" s="297"/>
      <c r="D43" s="297"/>
      <c r="E43" s="297"/>
      <c r="F43" s="297"/>
      <c r="G43" s="297"/>
      <c r="H43" s="297"/>
      <c r="I43" s="297"/>
      <c r="J43" s="297"/>
      <c r="K43" s="297"/>
      <c r="L43" s="297"/>
      <c r="M43" s="297"/>
      <c r="N43" s="297"/>
      <c r="O43" s="297"/>
      <c r="P43" s="297"/>
      <c r="Q43" s="297"/>
      <c r="R43" s="297"/>
      <c r="S43" s="297"/>
      <c r="T43" s="297"/>
      <c r="U43" s="297"/>
      <c r="V43" s="297"/>
    </row>
    <row r="44" spans="1:22" ht="18" customHeight="1">
      <c r="A44" s="297"/>
      <c r="B44" s="338" t="s">
        <v>465</v>
      </c>
      <c r="C44" s="297"/>
      <c r="D44" s="297"/>
      <c r="E44" s="297"/>
      <c r="F44" s="337"/>
      <c r="G44" s="297"/>
      <c r="H44" s="297"/>
      <c r="I44" s="297"/>
      <c r="J44" s="297"/>
      <c r="K44" s="297"/>
      <c r="L44" s="297"/>
      <c r="M44" s="297"/>
      <c r="N44" s="297"/>
      <c r="O44" s="297"/>
      <c r="P44" s="297"/>
      <c r="Q44" s="297"/>
      <c r="R44" s="297"/>
      <c r="S44" s="297"/>
      <c r="T44" s="297"/>
      <c r="U44" s="297"/>
      <c r="V44" s="297"/>
    </row>
    <row r="45" spans="1:22" ht="18" customHeight="1"/>
    <row r="46" spans="1:22" ht="18" customHeight="1"/>
    <row r="47" spans="1:22" ht="18" customHeight="1"/>
    <row r="48" spans="1:22"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row r="1002" ht="18" customHeight="1"/>
    <row r="1003" ht="18" customHeight="1"/>
    <row r="1004" ht="18" customHeight="1"/>
    <row r="1005" ht="18" customHeight="1"/>
    <row r="1006" ht="18" customHeight="1"/>
    <row r="1007" ht="18" customHeight="1"/>
    <row r="1008" ht="18" customHeight="1"/>
    <row r="1009" ht="18" customHeight="1"/>
    <row r="1010" ht="18" customHeight="1"/>
    <row r="1011" ht="18" customHeight="1"/>
    <row r="1012" ht="18" customHeight="1"/>
    <row r="1013" ht="18" customHeight="1"/>
    <row r="1014" ht="18" customHeight="1"/>
    <row r="1015" ht="18" customHeight="1"/>
    <row r="1016" ht="18" customHeight="1"/>
    <row r="1017" ht="18" customHeight="1"/>
    <row r="1018" ht="18" customHeight="1"/>
    <row r="1019" ht="18" customHeight="1"/>
    <row r="1020" ht="18" customHeight="1"/>
    <row r="1021" ht="18" customHeight="1"/>
    <row r="1022" ht="18" customHeight="1"/>
    <row r="1023" ht="18" customHeight="1"/>
    <row r="1024" ht="18" customHeight="1"/>
    <row r="1025" ht="18" customHeight="1"/>
    <row r="1026" ht="18" customHeight="1"/>
    <row r="1027" ht="18" customHeight="1"/>
    <row r="1028" ht="18" customHeight="1"/>
    <row r="1029" ht="18" customHeight="1"/>
    <row r="1030" ht="18" customHeight="1"/>
    <row r="1031" ht="18" customHeight="1"/>
    <row r="1032" ht="18" customHeight="1"/>
    <row r="1033" ht="18" customHeight="1"/>
    <row r="1034" ht="18" customHeight="1"/>
    <row r="1035" ht="18" customHeight="1"/>
    <row r="1036" ht="18" customHeight="1"/>
    <row r="1037" ht="18" customHeight="1"/>
    <row r="1038" ht="18" customHeight="1"/>
    <row r="1039" ht="18" customHeight="1"/>
    <row r="1040" ht="18" customHeight="1"/>
    <row r="1041" ht="18" customHeight="1"/>
    <row r="1042" ht="18" customHeight="1"/>
    <row r="1043" ht="18" customHeight="1"/>
    <row r="1044" ht="18" customHeight="1"/>
    <row r="1045" ht="18" customHeight="1"/>
    <row r="1046" ht="18" customHeight="1"/>
    <row r="1047" ht="18" customHeight="1"/>
    <row r="1048" ht="18" customHeight="1"/>
    <row r="1049" ht="18" customHeight="1"/>
    <row r="1050" ht="18" customHeight="1"/>
    <row r="1051" ht="18" customHeight="1"/>
    <row r="1052" ht="18" customHeight="1"/>
    <row r="1053" ht="18" customHeight="1"/>
    <row r="1054" ht="18" customHeight="1"/>
    <row r="1055" ht="18" customHeight="1"/>
    <row r="1056" ht="18" customHeight="1"/>
    <row r="1057" ht="18" customHeight="1"/>
    <row r="1058" ht="18" customHeight="1"/>
    <row r="1059" ht="18" customHeight="1"/>
    <row r="1060" ht="18" customHeight="1"/>
    <row r="1061" ht="18" customHeight="1"/>
    <row r="1062" ht="18" customHeight="1"/>
    <row r="1063" ht="18" customHeight="1"/>
    <row r="1064" ht="18" customHeight="1"/>
    <row r="1065" ht="18" customHeight="1"/>
    <row r="1066" ht="18" customHeight="1"/>
    <row r="1067" ht="18" customHeight="1"/>
    <row r="1068" ht="18" customHeight="1"/>
    <row r="1069" ht="18" customHeight="1"/>
    <row r="1070" ht="18" customHeight="1"/>
    <row r="1071" ht="18" customHeight="1"/>
    <row r="1072" ht="18" customHeight="1"/>
    <row r="1073" ht="18" customHeight="1"/>
    <row r="1074" ht="18" customHeight="1"/>
    <row r="1075" ht="18" customHeight="1"/>
    <row r="1076" ht="18" customHeight="1"/>
    <row r="1077" ht="18" customHeight="1"/>
    <row r="1078" ht="18" customHeight="1"/>
    <row r="1079" ht="18" customHeight="1"/>
    <row r="1080" ht="18" customHeight="1"/>
    <row r="1081" ht="18" customHeight="1"/>
    <row r="1082" ht="18" customHeight="1"/>
    <row r="1083" ht="18" customHeight="1"/>
    <row r="1084" ht="18" customHeight="1"/>
    <row r="1085" ht="18" customHeight="1"/>
    <row r="1086" ht="18" customHeight="1"/>
    <row r="1087" ht="18" customHeight="1"/>
    <row r="1088" ht="18" customHeight="1"/>
    <row r="1089" ht="18" customHeight="1"/>
    <row r="1090" ht="18" customHeight="1"/>
    <row r="1091" ht="18" customHeight="1"/>
    <row r="1092" ht="18" customHeight="1"/>
    <row r="1093" ht="18" customHeight="1"/>
    <row r="1094" ht="18" customHeight="1"/>
    <row r="1095" ht="18" customHeight="1"/>
    <row r="1096" ht="18" customHeight="1"/>
    <row r="1097" ht="18" customHeight="1"/>
    <row r="1098" ht="18" customHeight="1"/>
    <row r="1099" ht="18" customHeight="1"/>
    <row r="1100" ht="18" customHeight="1"/>
    <row r="1101" ht="18" customHeight="1"/>
    <row r="1102" ht="18" customHeight="1"/>
    <row r="1103" ht="18" customHeight="1"/>
    <row r="1104" ht="18" customHeight="1"/>
    <row r="1105" ht="18" customHeight="1"/>
    <row r="1106" ht="18" customHeight="1"/>
    <row r="1107" ht="18" customHeight="1"/>
    <row r="1108" ht="18" customHeight="1"/>
    <row r="1109" ht="18" customHeight="1"/>
    <row r="1110" ht="18" customHeight="1"/>
    <row r="1111" ht="18" customHeight="1"/>
    <row r="1112" ht="18" customHeight="1"/>
    <row r="1113" ht="18" customHeight="1"/>
    <row r="1114" ht="18" customHeight="1"/>
    <row r="1115" ht="18" customHeight="1"/>
    <row r="1116" ht="18" customHeight="1"/>
    <row r="1117" ht="18" customHeight="1"/>
    <row r="1118" ht="18" customHeight="1"/>
    <row r="1119" ht="18" customHeight="1"/>
    <row r="1120" ht="18" customHeight="1"/>
    <row r="1121" ht="18" customHeight="1"/>
    <row r="1122" ht="18" customHeight="1"/>
    <row r="1123" ht="18" customHeight="1"/>
    <row r="1124" ht="18" customHeight="1"/>
    <row r="1125" ht="18" customHeight="1"/>
    <row r="1126" ht="18" customHeight="1"/>
    <row r="1127" ht="18" customHeight="1"/>
    <row r="1128" ht="18" customHeight="1"/>
    <row r="1129" ht="18" customHeight="1"/>
    <row r="1130" ht="18" customHeight="1"/>
    <row r="1131" ht="18" customHeight="1"/>
    <row r="1132" ht="18" customHeight="1"/>
    <row r="1133" ht="18" customHeight="1"/>
    <row r="1134" ht="18" customHeight="1"/>
    <row r="1135" ht="18" customHeight="1"/>
    <row r="1136" ht="18" customHeight="1"/>
    <row r="1137" ht="18" customHeight="1"/>
    <row r="1138" ht="18" customHeight="1"/>
    <row r="1139" ht="18" customHeight="1"/>
    <row r="1140" ht="18" customHeight="1"/>
    <row r="1141" ht="18" customHeight="1"/>
    <row r="1142" ht="18" customHeight="1"/>
    <row r="1143" ht="18" customHeight="1"/>
    <row r="1144" ht="18" customHeight="1"/>
    <row r="1145" ht="18" customHeight="1"/>
    <row r="1146" ht="18" customHeight="1"/>
    <row r="1147" ht="18" customHeight="1"/>
    <row r="1148" ht="18" customHeight="1"/>
    <row r="1149" ht="18" customHeight="1"/>
    <row r="1150" ht="18" customHeight="1"/>
    <row r="1151" ht="18" customHeight="1"/>
    <row r="1152" ht="18" customHeight="1"/>
    <row r="1153" ht="18" customHeight="1"/>
    <row r="1154" ht="18" customHeight="1"/>
    <row r="1155" ht="18" customHeight="1"/>
    <row r="1156" ht="18" customHeight="1"/>
    <row r="1157" ht="18" customHeight="1"/>
    <row r="1158" ht="18" customHeight="1"/>
    <row r="1159" ht="18" customHeight="1"/>
    <row r="1160" ht="18" customHeight="1"/>
    <row r="1161" ht="18" customHeight="1"/>
    <row r="1162" ht="18" customHeight="1"/>
    <row r="1163" ht="18" customHeight="1"/>
    <row r="1164" ht="18" customHeight="1"/>
    <row r="1165" ht="18" customHeight="1"/>
    <row r="1166" ht="18" customHeight="1"/>
    <row r="1167" ht="18" customHeight="1"/>
    <row r="1168" ht="18" customHeight="1"/>
    <row r="1169" ht="18" customHeight="1"/>
    <row r="1170" ht="18" customHeight="1"/>
    <row r="1171" ht="18" customHeight="1"/>
    <row r="1172" ht="18" customHeight="1"/>
    <row r="1173" ht="18" customHeight="1"/>
    <row r="1174" ht="18" customHeight="1"/>
    <row r="1175" ht="18" customHeight="1"/>
    <row r="1176" ht="18" customHeight="1"/>
    <row r="1177" ht="18" customHeight="1"/>
    <row r="1178" ht="18" customHeight="1"/>
    <row r="1179" ht="18" customHeight="1"/>
    <row r="1180" ht="18" customHeight="1"/>
    <row r="1181" ht="18" customHeight="1"/>
    <row r="1182" ht="18" customHeight="1"/>
    <row r="1183" ht="18" customHeight="1"/>
    <row r="1184" ht="18" customHeight="1"/>
    <row r="1185" ht="18" customHeight="1"/>
    <row r="1186" ht="18" customHeight="1"/>
    <row r="1187" ht="18" customHeight="1"/>
    <row r="1188" ht="18" customHeight="1"/>
    <row r="1189" ht="18" customHeight="1"/>
    <row r="1190" ht="18" customHeight="1"/>
    <row r="1191" ht="18" customHeight="1"/>
    <row r="1192" ht="18" customHeight="1"/>
    <row r="1193" ht="18" customHeight="1"/>
    <row r="1194" ht="18" customHeight="1"/>
    <row r="1195" ht="18" customHeight="1"/>
    <row r="1196" ht="18" customHeight="1"/>
    <row r="1197" ht="18" customHeight="1"/>
    <row r="1198" ht="18" customHeight="1"/>
    <row r="1199" ht="18" customHeight="1"/>
    <row r="1200" ht="18" customHeight="1"/>
    <row r="1201" ht="18" customHeight="1"/>
    <row r="1202" ht="18" customHeight="1"/>
    <row r="1203" ht="18" customHeight="1"/>
    <row r="1204" ht="18" customHeight="1"/>
    <row r="1205" ht="18" customHeight="1"/>
    <row r="1206" ht="18" customHeight="1"/>
    <row r="1207" ht="18" customHeight="1"/>
    <row r="1208" ht="18" customHeight="1"/>
    <row r="1209" ht="18" customHeight="1"/>
    <row r="1210" ht="18" customHeight="1"/>
    <row r="1211" ht="18" customHeight="1"/>
    <row r="1212" ht="18" customHeight="1"/>
    <row r="1213" ht="18" customHeight="1"/>
    <row r="1214" ht="18" customHeight="1"/>
    <row r="1215" ht="18" customHeight="1"/>
    <row r="1216" ht="18" customHeight="1"/>
    <row r="1217" ht="18" customHeight="1"/>
    <row r="1218" ht="18" customHeight="1"/>
    <row r="1219" ht="18" customHeight="1"/>
    <row r="1220" ht="18" customHeight="1"/>
    <row r="1221" ht="18" customHeight="1"/>
    <row r="1222" ht="18" customHeight="1"/>
    <row r="1223" ht="18" customHeight="1"/>
    <row r="1224" ht="18" customHeight="1"/>
    <row r="1225" ht="18" customHeight="1"/>
    <row r="1226" ht="18" customHeight="1"/>
    <row r="1227" ht="18" customHeight="1"/>
    <row r="1228" ht="18" customHeight="1"/>
    <row r="1229" ht="18" customHeight="1"/>
    <row r="1230" ht="18" customHeight="1"/>
    <row r="1231" ht="18" customHeight="1"/>
    <row r="1232" ht="18" customHeight="1"/>
    <row r="1233" ht="18" customHeight="1"/>
    <row r="1234" ht="18" customHeight="1"/>
    <row r="1235" ht="18" customHeight="1"/>
    <row r="1236" ht="18" customHeight="1"/>
    <row r="1237" ht="18" customHeight="1"/>
    <row r="1238" ht="18" customHeight="1"/>
    <row r="1239" ht="18" customHeight="1"/>
    <row r="1240" ht="18" customHeight="1"/>
    <row r="1241" ht="18" customHeight="1"/>
    <row r="1242" ht="18" customHeight="1"/>
    <row r="1243" ht="18" customHeight="1"/>
    <row r="1244" ht="18" customHeight="1"/>
    <row r="1245" ht="18" customHeight="1"/>
    <row r="1246" ht="18" customHeight="1"/>
    <row r="1247" ht="18" customHeight="1"/>
    <row r="1248" ht="18" customHeight="1"/>
    <row r="1249" ht="18" customHeight="1"/>
    <row r="1250" ht="18" customHeight="1"/>
    <row r="1251" ht="18" customHeight="1"/>
    <row r="1252" ht="18" customHeight="1"/>
    <row r="1253" ht="18" customHeight="1"/>
    <row r="1254" ht="18" customHeight="1"/>
    <row r="1255" ht="18" customHeight="1"/>
    <row r="1256" ht="18" customHeight="1"/>
    <row r="1257" ht="18" customHeight="1"/>
    <row r="1258" ht="18" customHeight="1"/>
    <row r="1259" ht="18" customHeight="1"/>
    <row r="1260" ht="18" customHeight="1"/>
    <row r="1261" ht="18" customHeight="1"/>
    <row r="1262" ht="18" customHeight="1"/>
    <row r="1263" ht="18" customHeight="1"/>
    <row r="1264" ht="18" customHeight="1"/>
    <row r="1265" ht="18" customHeight="1"/>
    <row r="1266" ht="18" customHeight="1"/>
    <row r="1267" ht="18" customHeight="1"/>
    <row r="1268" ht="18" customHeight="1"/>
    <row r="1269" ht="18" customHeight="1"/>
    <row r="1270" ht="18" customHeight="1"/>
    <row r="1271" ht="18" customHeight="1"/>
    <row r="1272" ht="18" customHeight="1"/>
    <row r="1273" ht="18" customHeight="1"/>
    <row r="1274" ht="18" customHeight="1"/>
    <row r="1275" ht="18" customHeight="1"/>
    <row r="1276" ht="18" customHeight="1"/>
    <row r="1277" ht="18" customHeight="1"/>
    <row r="1278" ht="18" customHeight="1"/>
    <row r="1279" ht="18" customHeight="1"/>
    <row r="1280" ht="18" customHeight="1"/>
    <row r="1281" ht="18" customHeight="1"/>
    <row r="1282" ht="18" customHeight="1"/>
    <row r="1283" ht="18" customHeight="1"/>
    <row r="1284" ht="18" customHeight="1"/>
    <row r="1285" ht="18" customHeight="1"/>
    <row r="1286" ht="18" customHeight="1"/>
    <row r="1287" ht="18" customHeight="1"/>
    <row r="1288" ht="18" customHeight="1"/>
    <row r="1289" ht="18" customHeight="1"/>
    <row r="1290" ht="18" customHeight="1"/>
    <row r="1291" ht="18" customHeight="1"/>
    <row r="1292" ht="18" customHeight="1"/>
    <row r="1293" ht="18" customHeight="1"/>
    <row r="1294" ht="18" customHeight="1"/>
    <row r="1295" ht="18" customHeight="1"/>
    <row r="1296" ht="18" customHeight="1"/>
    <row r="1297" ht="18" customHeight="1"/>
    <row r="1298" ht="18" customHeight="1"/>
    <row r="1299" ht="18" customHeight="1"/>
    <row r="1300" ht="18" customHeight="1"/>
    <row r="1301" ht="18" customHeight="1"/>
    <row r="1302" ht="18" customHeight="1"/>
    <row r="1303" ht="18" customHeight="1"/>
    <row r="1304" ht="18" customHeight="1"/>
    <row r="1305" ht="18" customHeight="1"/>
    <row r="1306" ht="18" customHeight="1"/>
    <row r="1307" ht="18" customHeight="1"/>
    <row r="1308" ht="18" customHeight="1"/>
    <row r="1309" ht="18" customHeight="1"/>
    <row r="1310" ht="18" customHeight="1"/>
    <row r="1311" ht="18" customHeight="1"/>
    <row r="1312" ht="18" customHeight="1"/>
    <row r="1313" ht="18" customHeight="1"/>
    <row r="1314" ht="18" customHeight="1"/>
    <row r="1315" ht="18" customHeight="1"/>
    <row r="1316" ht="18" customHeight="1"/>
    <row r="1317" ht="18" customHeight="1"/>
    <row r="1318" ht="18" customHeight="1"/>
    <row r="1319" ht="18" customHeight="1"/>
    <row r="1320" ht="18" customHeight="1"/>
    <row r="1321" ht="18" customHeight="1"/>
    <row r="1322" ht="18" customHeight="1"/>
    <row r="1323" ht="18" customHeight="1"/>
    <row r="1324" ht="18" customHeight="1"/>
    <row r="1325" ht="18" customHeight="1"/>
    <row r="1326" ht="18" customHeight="1"/>
    <row r="1327" ht="18" customHeight="1"/>
    <row r="1328" ht="18" customHeight="1"/>
    <row r="1329" ht="18" customHeight="1"/>
    <row r="1330" ht="18" customHeight="1"/>
    <row r="1331" ht="18" customHeight="1"/>
    <row r="1332" ht="18" customHeight="1"/>
    <row r="1333" ht="18" customHeight="1"/>
    <row r="1334" ht="18" customHeight="1"/>
    <row r="1335" ht="18" customHeight="1"/>
    <row r="1336" ht="18" customHeight="1"/>
    <row r="1337" ht="18" customHeight="1"/>
    <row r="1338" ht="18" customHeight="1"/>
    <row r="1339" ht="18" customHeight="1"/>
    <row r="1340" ht="18" customHeight="1"/>
    <row r="1341" ht="18" customHeight="1"/>
    <row r="1342" ht="18" customHeight="1"/>
    <row r="1343" ht="18" customHeight="1"/>
    <row r="1344" ht="18" customHeight="1"/>
    <row r="1345" ht="18" customHeight="1"/>
    <row r="1346" ht="18" customHeight="1"/>
    <row r="1347" ht="18" customHeight="1"/>
    <row r="1348" ht="18" customHeight="1"/>
    <row r="1349" ht="18" customHeight="1"/>
    <row r="1350" ht="18" customHeight="1"/>
    <row r="1351" ht="18" customHeight="1"/>
    <row r="1352" ht="18" customHeight="1"/>
    <row r="1353" ht="18" customHeight="1"/>
    <row r="1354" ht="18" customHeight="1"/>
    <row r="1355" ht="18" customHeight="1"/>
    <row r="1356" ht="18" customHeight="1"/>
    <row r="1357" ht="18" customHeight="1"/>
    <row r="1358" ht="18" customHeight="1"/>
    <row r="1359" ht="18" customHeight="1"/>
    <row r="1360" ht="18" customHeight="1"/>
    <row r="1361" ht="18" customHeight="1"/>
    <row r="1362" ht="18" customHeight="1"/>
    <row r="1363" ht="18" customHeight="1"/>
    <row r="1364" ht="18" customHeight="1"/>
    <row r="1365" ht="18" customHeight="1"/>
    <row r="1366" ht="18" customHeight="1"/>
    <row r="1367" ht="18" customHeight="1"/>
    <row r="1368" ht="18" customHeight="1"/>
    <row r="1369" ht="18" customHeight="1"/>
    <row r="1370" ht="18" customHeight="1"/>
    <row r="1371" ht="18" customHeight="1"/>
    <row r="1372" ht="18" customHeight="1"/>
    <row r="1373" ht="18" customHeight="1"/>
    <row r="1374" ht="18" customHeight="1"/>
    <row r="1375" ht="18" customHeight="1"/>
    <row r="1376" ht="18" customHeight="1"/>
    <row r="1377" ht="18" customHeight="1"/>
    <row r="1378" ht="18" customHeight="1"/>
    <row r="1379" ht="18" customHeight="1"/>
    <row r="1380" ht="18" customHeight="1"/>
    <row r="1381" ht="18" customHeight="1"/>
    <row r="1382" ht="18" customHeight="1"/>
    <row r="1383" ht="18" customHeight="1"/>
    <row r="1384" ht="18" customHeight="1"/>
    <row r="1385" ht="18" customHeight="1"/>
    <row r="1386" ht="18" customHeight="1"/>
    <row r="1387" ht="18" customHeight="1"/>
    <row r="1388" ht="18" customHeight="1"/>
    <row r="1389" ht="18" customHeight="1"/>
    <row r="1390" ht="18" customHeight="1"/>
    <row r="1391" ht="18" customHeight="1"/>
    <row r="1392" ht="18" customHeight="1"/>
    <row r="1393" ht="18" customHeight="1"/>
    <row r="1394" ht="18" customHeight="1"/>
    <row r="1395" ht="18" customHeight="1"/>
    <row r="1396" ht="18" customHeight="1"/>
    <row r="1397" ht="18" customHeight="1"/>
    <row r="1398" ht="18" customHeight="1"/>
    <row r="1399" ht="18" customHeight="1"/>
    <row r="1400" ht="18" customHeight="1"/>
    <row r="1401" ht="18" customHeight="1"/>
    <row r="1402" ht="18" customHeight="1"/>
    <row r="1403" ht="18" customHeight="1"/>
    <row r="1404" ht="18" customHeight="1"/>
    <row r="1405" ht="18" customHeight="1"/>
    <row r="1406" ht="18" customHeight="1"/>
    <row r="1407" ht="18" customHeight="1"/>
    <row r="1408" ht="18" customHeight="1"/>
    <row r="1409" ht="18" customHeight="1"/>
    <row r="1410" ht="18" customHeight="1"/>
    <row r="1411" ht="18" customHeight="1"/>
    <row r="1412" ht="18" customHeight="1"/>
    <row r="1413" ht="18" customHeight="1"/>
    <row r="1414" ht="18" customHeight="1"/>
    <row r="1415" ht="18" customHeight="1"/>
    <row r="1416" ht="18" customHeight="1"/>
    <row r="1417" ht="18" customHeight="1"/>
    <row r="1418" ht="18" customHeight="1"/>
    <row r="1419" ht="18" customHeight="1"/>
    <row r="1420" ht="18" customHeight="1"/>
    <row r="1421" ht="18" customHeight="1"/>
    <row r="1422" ht="18" customHeight="1"/>
    <row r="1423" ht="18" customHeight="1"/>
    <row r="1424" ht="18" customHeight="1"/>
    <row r="1425" ht="18" customHeight="1"/>
    <row r="1426" ht="18" customHeight="1"/>
    <row r="1427" ht="18" customHeight="1"/>
    <row r="1428" ht="18" customHeight="1"/>
    <row r="1429" ht="18" customHeight="1"/>
    <row r="1430" ht="18" customHeight="1"/>
    <row r="1431" ht="18" customHeight="1"/>
    <row r="1432" ht="18" customHeight="1"/>
    <row r="1433" ht="18" customHeight="1"/>
    <row r="1434" ht="18" customHeight="1"/>
    <row r="1435" ht="18" customHeight="1"/>
    <row r="1436" ht="18" customHeight="1"/>
    <row r="1437" ht="18" customHeight="1"/>
    <row r="1438" ht="18" customHeight="1"/>
    <row r="1439" ht="18" customHeight="1"/>
    <row r="1440" ht="18" customHeight="1"/>
    <row r="1441" ht="18" customHeight="1"/>
    <row r="1442" ht="18" customHeight="1"/>
    <row r="1443" ht="18" customHeight="1"/>
    <row r="1444" ht="18" customHeight="1"/>
    <row r="1445" ht="18" customHeight="1"/>
    <row r="1446" ht="18" customHeight="1"/>
    <row r="1447" ht="18" customHeight="1"/>
    <row r="1448" ht="18" customHeight="1"/>
    <row r="1449" ht="18" customHeight="1"/>
    <row r="1450" ht="18" customHeight="1"/>
    <row r="1451" ht="18" customHeight="1"/>
    <row r="1452" ht="18" customHeight="1"/>
    <row r="1453" ht="18" customHeight="1"/>
    <row r="1454" ht="18" customHeight="1"/>
    <row r="1455" ht="18" customHeight="1"/>
    <row r="1456" ht="18" customHeight="1"/>
    <row r="1457" ht="18" customHeight="1"/>
    <row r="1458" ht="18" customHeight="1"/>
    <row r="1459" ht="18" customHeight="1"/>
    <row r="1460" ht="18" customHeight="1"/>
    <row r="1461" ht="18" customHeight="1"/>
    <row r="1462" ht="18" customHeight="1"/>
    <row r="1463" ht="18" customHeight="1"/>
    <row r="1464" ht="18" customHeight="1"/>
    <row r="1465" ht="18" customHeight="1"/>
    <row r="1466" ht="18" customHeight="1"/>
    <row r="1467" ht="18" customHeight="1"/>
    <row r="1468" ht="18" customHeight="1"/>
    <row r="1469" ht="18" customHeight="1"/>
    <row r="1470" ht="18" customHeight="1"/>
    <row r="1471" ht="18" customHeight="1"/>
    <row r="1472" ht="18" customHeight="1"/>
    <row r="1473" ht="18" customHeight="1"/>
    <row r="1474" ht="18" customHeight="1"/>
    <row r="1475" ht="18" customHeight="1"/>
    <row r="1476" ht="18" customHeight="1"/>
    <row r="1477" ht="18" customHeight="1"/>
    <row r="1478" ht="18" customHeight="1"/>
    <row r="1479" ht="18" customHeight="1"/>
    <row r="1480" ht="18" customHeight="1"/>
    <row r="1481" ht="18" customHeight="1"/>
    <row r="1482" ht="18" customHeight="1"/>
    <row r="1483" ht="18" customHeight="1"/>
    <row r="1484" ht="18" customHeight="1"/>
    <row r="1485" ht="18" customHeight="1"/>
    <row r="1486" ht="18" customHeight="1"/>
    <row r="1487" ht="18" customHeight="1"/>
    <row r="1488" ht="18" customHeight="1"/>
    <row r="1489" ht="18" customHeight="1"/>
    <row r="1490" ht="18" customHeight="1"/>
    <row r="1491" ht="18" customHeight="1"/>
    <row r="1492" ht="18" customHeight="1"/>
    <row r="1493" ht="18" customHeight="1"/>
    <row r="1494" ht="18" customHeight="1"/>
    <row r="1495" ht="18" customHeight="1"/>
    <row r="1496" ht="18" customHeight="1"/>
    <row r="1497" ht="18" customHeight="1"/>
    <row r="1498" ht="18" customHeight="1"/>
    <row r="1499" ht="18" customHeight="1"/>
    <row r="1500" ht="18" customHeight="1"/>
    <row r="1501" ht="18" customHeight="1"/>
    <row r="1502" ht="18" customHeight="1"/>
    <row r="1503" ht="18" customHeight="1"/>
    <row r="1504" ht="18" customHeight="1"/>
    <row r="1505" ht="18" customHeight="1"/>
    <row r="1506" ht="18" customHeight="1"/>
    <row r="1507" ht="18" customHeight="1"/>
    <row r="1508" ht="18" customHeight="1"/>
    <row r="1509" ht="18" customHeight="1"/>
    <row r="1510" ht="18" customHeight="1"/>
    <row r="1511" ht="18" customHeight="1"/>
    <row r="1512" ht="18" customHeight="1"/>
    <row r="1513" ht="18" customHeight="1"/>
    <row r="1514" ht="18" customHeight="1"/>
    <row r="1515" ht="18" customHeight="1"/>
    <row r="1516" ht="18" customHeight="1"/>
    <row r="1517" ht="18" customHeight="1"/>
    <row r="1518" ht="18" customHeight="1"/>
    <row r="1519" ht="18" customHeight="1"/>
    <row r="1520" ht="18" customHeight="1"/>
    <row r="1521" ht="18" customHeight="1"/>
    <row r="1522" ht="18" customHeight="1"/>
    <row r="1523" ht="18" customHeight="1"/>
    <row r="1524" ht="18" customHeight="1"/>
    <row r="1525" ht="18" customHeight="1"/>
    <row r="1526" ht="18" customHeight="1"/>
    <row r="1527" ht="18" customHeight="1"/>
    <row r="1528" ht="18" customHeight="1"/>
    <row r="1529" ht="18" customHeight="1"/>
    <row r="1530" ht="18" customHeight="1"/>
    <row r="1531" ht="18" customHeight="1"/>
    <row r="1532" ht="18" customHeight="1"/>
    <row r="1533" ht="18" customHeight="1"/>
    <row r="1534" ht="18" customHeight="1"/>
    <row r="1535" ht="18" customHeight="1"/>
    <row r="1536" ht="18" customHeight="1"/>
    <row r="1537" ht="18" customHeight="1"/>
    <row r="1538" ht="18" customHeight="1"/>
    <row r="1539" ht="18" customHeight="1"/>
    <row r="1540" ht="18" customHeight="1"/>
    <row r="1541" ht="18" customHeight="1"/>
    <row r="1542" ht="18" customHeight="1"/>
    <row r="1543" ht="18" customHeight="1"/>
    <row r="1544" ht="18" customHeight="1"/>
    <row r="1545" ht="18" customHeight="1"/>
    <row r="1546" ht="18" customHeight="1"/>
    <row r="1547" ht="18" customHeight="1"/>
    <row r="1548" ht="18" customHeight="1"/>
    <row r="1549" ht="18" customHeight="1"/>
    <row r="1550" ht="18" customHeight="1"/>
    <row r="1551" ht="18" customHeight="1"/>
    <row r="1552" ht="18" customHeight="1"/>
    <row r="1553" ht="18" customHeight="1"/>
    <row r="1554" ht="18" customHeight="1"/>
    <row r="1555" ht="18" customHeight="1"/>
    <row r="1556" ht="18" customHeight="1"/>
    <row r="1557" ht="18" customHeight="1"/>
    <row r="1558" ht="18" customHeight="1"/>
    <row r="1559" ht="18" customHeight="1"/>
    <row r="1560" ht="18" customHeight="1"/>
    <row r="1561" ht="18" customHeight="1"/>
    <row r="1562" ht="18" customHeight="1"/>
    <row r="1563" ht="18" customHeight="1"/>
    <row r="1564" ht="18" customHeight="1"/>
    <row r="1565" ht="18" customHeight="1"/>
    <row r="1566" ht="18" customHeight="1"/>
    <row r="1567" ht="18" customHeight="1"/>
    <row r="1568" ht="18" customHeight="1"/>
    <row r="1569" ht="18" customHeight="1"/>
    <row r="1570" ht="18" customHeight="1"/>
    <row r="1571" ht="18" customHeight="1"/>
    <row r="1572" ht="18" customHeight="1"/>
    <row r="1573" ht="18" customHeight="1"/>
    <row r="1574" ht="18" customHeight="1"/>
    <row r="1575" ht="18" customHeight="1"/>
    <row r="1576" ht="18" customHeight="1"/>
    <row r="1577" ht="18" customHeight="1"/>
    <row r="1578" ht="18" customHeight="1"/>
    <row r="1579" ht="18" customHeight="1"/>
    <row r="1580" ht="18" customHeight="1"/>
    <row r="1581" ht="18" customHeight="1"/>
    <row r="1582" ht="18" customHeight="1"/>
    <row r="1583" ht="18" customHeight="1"/>
    <row r="1584" ht="18" customHeight="1"/>
    <row r="1585" ht="18" customHeight="1"/>
    <row r="1586" ht="18" customHeight="1"/>
    <row r="1587" ht="18" customHeight="1"/>
    <row r="1588" ht="18" customHeight="1"/>
    <row r="1589" ht="18" customHeight="1"/>
    <row r="1590" ht="18" customHeight="1"/>
    <row r="1591" ht="18" customHeight="1"/>
    <row r="1592" ht="18" customHeight="1"/>
    <row r="1593" ht="18" customHeight="1"/>
    <row r="1594" ht="18" customHeight="1"/>
    <row r="1595" ht="18" customHeight="1"/>
    <row r="1596" ht="18" customHeight="1"/>
    <row r="1597" ht="18" customHeight="1"/>
    <row r="1598" ht="18" customHeight="1"/>
    <row r="1599" ht="18" customHeight="1"/>
    <row r="1600" ht="18" customHeight="1"/>
    <row r="1601" ht="18" customHeight="1"/>
    <row r="1602" ht="18" customHeight="1"/>
    <row r="1603" ht="18" customHeight="1"/>
    <row r="1604" ht="18" customHeight="1"/>
    <row r="1605" ht="18" customHeight="1"/>
    <row r="1606" ht="18" customHeight="1"/>
    <row r="1607" ht="18" customHeight="1"/>
    <row r="1608" ht="18" customHeight="1"/>
    <row r="1609" ht="18" customHeight="1"/>
    <row r="1610" ht="18" customHeight="1"/>
    <row r="1611" ht="18" customHeight="1"/>
    <row r="1612" ht="18" customHeight="1"/>
    <row r="1613" ht="18" customHeight="1"/>
    <row r="1614" ht="18" customHeight="1"/>
    <row r="1615" ht="18" customHeight="1"/>
    <row r="1616" ht="18" customHeight="1"/>
    <row r="1617" ht="18" customHeight="1"/>
    <row r="1618" ht="18" customHeight="1"/>
    <row r="1619" ht="18" customHeight="1"/>
    <row r="1620" ht="18" customHeight="1"/>
    <row r="1621" ht="18" customHeight="1"/>
    <row r="1622" ht="18" customHeight="1"/>
    <row r="1623" ht="18" customHeight="1"/>
    <row r="1624" ht="18" customHeight="1"/>
    <row r="1625" ht="18" customHeight="1"/>
    <row r="1626" ht="18" customHeight="1"/>
    <row r="1627" ht="18" customHeight="1"/>
    <row r="1628" ht="18" customHeight="1"/>
    <row r="1629" ht="18" customHeight="1"/>
    <row r="1630" ht="18" customHeight="1"/>
    <row r="1631" ht="18" customHeight="1"/>
    <row r="1632" ht="18" customHeight="1"/>
    <row r="1633" ht="18" customHeight="1"/>
    <row r="1634" ht="18" customHeight="1"/>
    <row r="1635" ht="18" customHeight="1"/>
    <row r="1636" ht="18" customHeight="1"/>
    <row r="1637" ht="18" customHeight="1"/>
    <row r="1638" ht="18" customHeight="1"/>
    <row r="1639" ht="18" customHeight="1"/>
    <row r="1640" ht="18" customHeight="1"/>
    <row r="1641" ht="18" customHeight="1"/>
    <row r="1642" ht="18" customHeight="1"/>
    <row r="1643" ht="18" customHeight="1"/>
    <row r="1644" ht="18" customHeight="1"/>
    <row r="1645" ht="18" customHeight="1"/>
    <row r="1646" ht="18" customHeight="1"/>
    <row r="1647" ht="18" customHeight="1"/>
    <row r="1648" ht="18" customHeight="1"/>
    <row r="1649" ht="18" customHeight="1"/>
    <row r="1650" ht="18" customHeight="1"/>
    <row r="1651" ht="18" customHeight="1"/>
    <row r="1652" ht="18" customHeight="1"/>
    <row r="1653" ht="18" customHeight="1"/>
    <row r="1654" ht="18" customHeight="1"/>
    <row r="1655" ht="18" customHeight="1"/>
    <row r="1656" ht="18" customHeight="1"/>
    <row r="1657" ht="18" customHeight="1"/>
    <row r="1658" ht="18" customHeight="1"/>
    <row r="1659" ht="18" customHeight="1"/>
    <row r="1660" ht="18" customHeight="1"/>
    <row r="1661" ht="18" customHeight="1"/>
    <row r="1662" ht="18" customHeight="1"/>
    <row r="1663" ht="18" customHeight="1"/>
    <row r="1664" ht="18" customHeight="1"/>
    <row r="1665" ht="18" customHeight="1"/>
    <row r="1666" ht="18" customHeight="1"/>
    <row r="1667" ht="18" customHeight="1"/>
    <row r="1668" ht="18" customHeight="1"/>
    <row r="1669" ht="18" customHeight="1"/>
    <row r="1670" ht="18" customHeight="1"/>
    <row r="1671" ht="18" customHeight="1"/>
    <row r="1672" ht="18" customHeight="1"/>
    <row r="1673" ht="18" customHeight="1"/>
    <row r="1674" ht="18" customHeight="1"/>
    <row r="1675" ht="18" customHeight="1"/>
    <row r="1676" ht="18" customHeight="1"/>
    <row r="1677" ht="18" customHeight="1"/>
    <row r="1678" ht="18" customHeight="1"/>
    <row r="1679" ht="18" customHeight="1"/>
    <row r="1680" ht="18" customHeight="1"/>
    <row r="1681" ht="18" customHeight="1"/>
    <row r="1682" ht="18" customHeight="1"/>
    <row r="1683" ht="18" customHeight="1"/>
    <row r="1684" ht="18" customHeight="1"/>
    <row r="1685" ht="18" customHeight="1"/>
    <row r="1686" ht="18" customHeight="1"/>
    <row r="1687" ht="18" customHeight="1"/>
    <row r="1688" ht="18" customHeight="1"/>
    <row r="1689" ht="18" customHeight="1"/>
    <row r="1690" ht="18" customHeight="1"/>
    <row r="1691" ht="18" customHeight="1"/>
    <row r="1692" ht="18" customHeight="1"/>
    <row r="1693" ht="18" customHeight="1"/>
    <row r="1694" ht="18" customHeight="1"/>
    <row r="1695" ht="18" customHeight="1"/>
    <row r="1696" ht="18" customHeight="1"/>
    <row r="1697" ht="18" customHeight="1"/>
    <row r="1698" ht="18" customHeight="1"/>
    <row r="1699" ht="18" customHeight="1"/>
    <row r="1700" ht="18" customHeight="1"/>
    <row r="1701" ht="18" customHeight="1"/>
    <row r="1702" ht="18" customHeight="1"/>
    <row r="1703" ht="18" customHeight="1"/>
    <row r="1704" ht="18" customHeight="1"/>
    <row r="1705" ht="18" customHeight="1"/>
    <row r="1706" ht="18" customHeight="1"/>
    <row r="1707" ht="18" customHeight="1"/>
    <row r="1708" ht="18" customHeight="1"/>
    <row r="1709" ht="18" customHeight="1"/>
    <row r="1710" ht="18" customHeight="1"/>
    <row r="1711" ht="18" customHeight="1"/>
    <row r="1712" ht="18" customHeight="1"/>
    <row r="1713" ht="18" customHeight="1"/>
    <row r="1714" ht="18" customHeight="1"/>
    <row r="1715" ht="18" customHeight="1"/>
    <row r="1716" ht="18" customHeight="1"/>
    <row r="1717" ht="18" customHeight="1"/>
    <row r="1718" ht="18" customHeight="1"/>
    <row r="1719" ht="18" customHeight="1"/>
    <row r="1720" ht="18" customHeight="1"/>
    <row r="1721" ht="18" customHeight="1"/>
    <row r="1722" ht="18" customHeight="1"/>
    <row r="1723" ht="18" customHeight="1"/>
    <row r="1724" ht="18" customHeight="1"/>
    <row r="1725" ht="18" customHeight="1"/>
    <row r="1726" ht="18" customHeight="1"/>
    <row r="1727" ht="18" customHeight="1"/>
    <row r="1728" ht="18" customHeight="1"/>
    <row r="1729" ht="18" customHeight="1"/>
    <row r="1730" ht="18" customHeight="1"/>
    <row r="1731" ht="18" customHeight="1"/>
    <row r="1732" ht="18" customHeight="1"/>
    <row r="1733" ht="18" customHeight="1"/>
    <row r="1734" ht="18" customHeight="1"/>
    <row r="1735" ht="18" customHeight="1"/>
    <row r="1736" ht="18" customHeight="1"/>
    <row r="1737" ht="18" customHeight="1"/>
    <row r="1738" ht="18" customHeight="1"/>
    <row r="1739" ht="18" customHeight="1"/>
    <row r="1740" ht="18" customHeight="1"/>
    <row r="1741" ht="18" customHeight="1"/>
    <row r="1742" ht="18" customHeight="1"/>
    <row r="1743" ht="18" customHeight="1"/>
    <row r="1744" ht="18" customHeight="1"/>
    <row r="1745" ht="18" customHeight="1"/>
    <row r="1746" ht="18" customHeight="1"/>
    <row r="1747" ht="18" customHeight="1"/>
    <row r="1748" ht="18" customHeight="1"/>
    <row r="1749" ht="18" customHeight="1"/>
    <row r="1750" ht="18" customHeight="1"/>
    <row r="1751" ht="18" customHeight="1"/>
    <row r="1752" ht="18" customHeight="1"/>
    <row r="1753" ht="18" customHeight="1"/>
    <row r="1754" ht="18" customHeight="1"/>
    <row r="1755" ht="18" customHeight="1"/>
    <row r="1756" ht="18" customHeight="1"/>
    <row r="1757" ht="18" customHeight="1"/>
    <row r="1758" ht="18" customHeight="1"/>
    <row r="1759" ht="18" customHeight="1"/>
    <row r="1760" ht="18" customHeight="1"/>
    <row r="1761" ht="18" customHeight="1"/>
    <row r="1762" ht="18" customHeight="1"/>
    <row r="1763" ht="18" customHeight="1"/>
    <row r="1764" ht="18" customHeight="1"/>
    <row r="1765" ht="18" customHeight="1"/>
    <row r="1766" ht="18" customHeight="1"/>
    <row r="1767" ht="18" customHeight="1"/>
    <row r="1768" ht="18" customHeight="1"/>
    <row r="1769" ht="18" customHeight="1"/>
    <row r="1770" ht="18" customHeight="1"/>
    <row r="1771" ht="18" customHeight="1"/>
    <row r="1772" ht="18" customHeight="1"/>
    <row r="1773" ht="18" customHeight="1"/>
    <row r="1774" ht="18" customHeight="1"/>
    <row r="1775" ht="18" customHeight="1"/>
    <row r="1776" ht="18" customHeight="1"/>
    <row r="1777" ht="18" customHeight="1"/>
    <row r="1778" ht="18" customHeight="1"/>
    <row r="1779" ht="18" customHeight="1"/>
    <row r="1780" ht="18" customHeight="1"/>
    <row r="1781" ht="18" customHeight="1"/>
    <row r="1782" ht="18" customHeight="1"/>
    <row r="1783" ht="18" customHeight="1"/>
    <row r="1784" ht="18" customHeight="1"/>
    <row r="1785" ht="18" customHeight="1"/>
    <row r="1786" ht="18" customHeight="1"/>
    <row r="1787" ht="18" customHeight="1"/>
    <row r="1788" ht="18" customHeight="1"/>
    <row r="1789" ht="18" customHeight="1"/>
    <row r="1790" ht="18" customHeight="1"/>
    <row r="1791" ht="18" customHeight="1"/>
    <row r="1792" ht="18" customHeight="1"/>
    <row r="1793" ht="18" customHeight="1"/>
    <row r="1794" ht="18" customHeight="1"/>
    <row r="1795" ht="18" customHeight="1"/>
    <row r="1796" ht="18" customHeight="1"/>
    <row r="1797" ht="18" customHeight="1"/>
    <row r="1798" ht="18" customHeight="1"/>
    <row r="1799" ht="18" customHeight="1"/>
    <row r="1800" ht="18" customHeight="1"/>
    <row r="1801" ht="18" customHeight="1"/>
    <row r="1802" ht="18" customHeight="1"/>
    <row r="1803" ht="18" customHeight="1"/>
    <row r="1804" ht="18" customHeight="1"/>
    <row r="1805" ht="18" customHeight="1"/>
    <row r="1806" ht="18" customHeight="1"/>
    <row r="1807" ht="18" customHeight="1"/>
    <row r="1808" ht="18" customHeight="1"/>
    <row r="1809" ht="18" customHeight="1"/>
    <row r="1810" ht="18" customHeight="1"/>
    <row r="1811" ht="18" customHeight="1"/>
    <row r="1812" ht="18" customHeight="1"/>
    <row r="1813" ht="18" customHeight="1"/>
    <row r="1814" ht="18" customHeight="1"/>
    <row r="1815" ht="18" customHeight="1"/>
    <row r="1816" ht="18" customHeight="1"/>
    <row r="1817" ht="18" customHeight="1"/>
    <row r="1818" ht="18" customHeight="1"/>
    <row r="1819" ht="18" customHeight="1"/>
    <row r="1820" ht="18" customHeight="1"/>
    <row r="1821" ht="18" customHeight="1"/>
    <row r="1822" ht="18" customHeight="1"/>
    <row r="1823" ht="18" customHeight="1"/>
    <row r="1824" ht="18" customHeight="1"/>
    <row r="1825" ht="18" customHeight="1"/>
    <row r="1826" ht="18" customHeight="1"/>
    <row r="1827" ht="18" customHeight="1"/>
    <row r="1828" ht="18" customHeight="1"/>
    <row r="1829" ht="18" customHeight="1"/>
    <row r="1830" ht="18" customHeight="1"/>
    <row r="1831" ht="18" customHeight="1"/>
    <row r="1832" ht="18" customHeight="1"/>
    <row r="1833" ht="18" customHeight="1"/>
    <row r="1834" ht="18" customHeight="1"/>
    <row r="1835" ht="18" customHeight="1"/>
    <row r="1836" ht="18" customHeight="1"/>
    <row r="1837" ht="18" customHeight="1"/>
    <row r="1838" ht="18" customHeight="1"/>
    <row r="1839" ht="18" customHeight="1"/>
    <row r="1840" ht="18" customHeight="1"/>
    <row r="1841" ht="18" customHeight="1"/>
    <row r="1842" ht="18" customHeight="1"/>
    <row r="1843" ht="18" customHeight="1"/>
    <row r="1844" ht="18" customHeight="1"/>
    <row r="1845" ht="18" customHeight="1"/>
    <row r="1846" ht="18" customHeight="1"/>
  </sheetData>
  <mergeCells count="52">
    <mergeCell ref="C37:E37"/>
    <mergeCell ref="C38:E38"/>
    <mergeCell ref="C39:E39"/>
    <mergeCell ref="C40:E40"/>
    <mergeCell ref="B41:G41"/>
    <mergeCell ref="C31:E31"/>
    <mergeCell ref="C32:E32"/>
    <mergeCell ref="C33:E33"/>
    <mergeCell ref="C34:E34"/>
    <mergeCell ref="C35:E35"/>
    <mergeCell ref="C26:E26"/>
    <mergeCell ref="C27:E27"/>
    <mergeCell ref="C28:E28"/>
    <mergeCell ref="C29:E29"/>
    <mergeCell ref="C30:E30"/>
    <mergeCell ref="R10:R40"/>
    <mergeCell ref="C11:E11"/>
    <mergeCell ref="C12:E12"/>
    <mergeCell ref="C13:E13"/>
    <mergeCell ref="C14:E14"/>
    <mergeCell ref="C15:E15"/>
    <mergeCell ref="C16:E16"/>
    <mergeCell ref="C17:E17"/>
    <mergeCell ref="C18:E18"/>
    <mergeCell ref="C19:E19"/>
    <mergeCell ref="C20:E20"/>
    <mergeCell ref="C21:E21"/>
    <mergeCell ref="C22:E22"/>
    <mergeCell ref="C23:E23"/>
    <mergeCell ref="C36:E36"/>
    <mergeCell ref="C25:E25"/>
    <mergeCell ref="L8:L9"/>
    <mergeCell ref="P8:P9"/>
    <mergeCell ref="Q8:Q9"/>
    <mergeCell ref="C24:E24"/>
    <mergeCell ref="C10:E10"/>
    <mergeCell ref="B3:V3"/>
    <mergeCell ref="S5:T5"/>
    <mergeCell ref="B7:B9"/>
    <mergeCell ref="C7:E9"/>
    <mergeCell ref="F7:F9"/>
    <mergeCell ref="G7:G9"/>
    <mergeCell ref="H7:H9"/>
    <mergeCell ref="I7:I9"/>
    <mergeCell ref="J7:L7"/>
    <mergeCell ref="M7:M9"/>
    <mergeCell ref="N7:N9"/>
    <mergeCell ref="R7:R9"/>
    <mergeCell ref="S7:S9"/>
    <mergeCell ref="T7:T9"/>
    <mergeCell ref="J8:J9"/>
    <mergeCell ref="K8:K9"/>
  </mergeCells>
  <phoneticPr fontId="1"/>
  <conditionalFormatting sqref="J11:L40">
    <cfRule type="expression" dxfId="0" priority="1">
      <formula>G11="常勤職員"</formula>
    </cfRule>
  </conditionalFormatting>
  <printOptions horizontalCentered="1"/>
  <pageMargins left="0.23622047244094491" right="0.23622047244094491" top="0.55118110236220474" bottom="0.55118110236220474" header="0.31496062992125984" footer="0.31496062992125984"/>
  <pageSetup paperSize="9" scale="56"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B748A-11AA-4AB2-814A-D706283BA85B}">
  <sheetPr>
    <tabColor theme="1"/>
    <pageSetUpPr fitToPage="1"/>
  </sheetPr>
  <dimension ref="A1:H46"/>
  <sheetViews>
    <sheetView view="pageBreakPreview" topLeftCell="A11" zoomScaleNormal="100" zoomScaleSheetLayoutView="100" workbookViewId="0">
      <selection activeCell="H25" sqref="H25"/>
    </sheetView>
  </sheetViews>
  <sheetFormatPr defaultColWidth="9" defaultRowHeight="13.5"/>
  <cols>
    <col min="1" max="1" width="3.5" style="2" bestFit="1" customWidth="1"/>
    <col min="2" max="2" width="30.375" style="2" bestFit="1" customWidth="1"/>
    <col min="3" max="3" width="2.875" style="2" customWidth="1"/>
    <col min="4" max="6" width="10.875" style="2" customWidth="1"/>
    <col min="7" max="7" width="9.625" style="2" customWidth="1"/>
    <col min="8" max="8" width="78.875" style="2" customWidth="1"/>
    <col min="9" max="24" width="4.875" style="2" customWidth="1"/>
    <col min="25" max="16384" width="9" style="2"/>
  </cols>
  <sheetData>
    <row r="1" spans="1:8" ht="18.75">
      <c r="A1" s="1298" t="s">
        <v>449</v>
      </c>
      <c r="B1" s="1298"/>
      <c r="C1" s="1298"/>
      <c r="D1" s="1298"/>
      <c r="E1" s="1298"/>
      <c r="F1" s="1298"/>
      <c r="G1" s="1298"/>
      <c r="H1" s="1298"/>
    </row>
    <row r="3" spans="1:8" ht="24" customHeight="1">
      <c r="A3" s="1299" t="s">
        <v>28</v>
      </c>
      <c r="B3" s="1300"/>
      <c r="C3" s="1300" t="s">
        <v>80</v>
      </c>
      <c r="D3" s="1300"/>
      <c r="E3" s="1300"/>
      <c r="F3" s="1300"/>
      <c r="G3" s="1300"/>
      <c r="H3" s="578" t="s">
        <v>81</v>
      </c>
    </row>
    <row r="4" spans="1:8" ht="24" customHeight="1">
      <c r="A4" s="1261">
        <v>1</v>
      </c>
      <c r="B4" s="1294" t="s">
        <v>515</v>
      </c>
      <c r="C4" s="1288" t="s">
        <v>79</v>
      </c>
      <c r="D4" s="1289"/>
      <c r="E4" s="1289"/>
      <c r="F4" s="1289"/>
      <c r="G4" s="1289"/>
      <c r="H4" s="579"/>
    </row>
    <row r="5" spans="1:8" ht="24" customHeight="1">
      <c r="A5" s="1272"/>
      <c r="B5" s="1294"/>
      <c r="C5" s="580"/>
      <c r="D5" s="1295" t="s">
        <v>114</v>
      </c>
      <c r="E5" s="1291"/>
      <c r="F5" s="1291"/>
      <c r="G5" s="1291"/>
      <c r="H5" s="505" t="s">
        <v>625</v>
      </c>
    </row>
    <row r="6" spans="1:8" ht="24" customHeight="1">
      <c r="A6" s="1272"/>
      <c r="B6" s="1294"/>
      <c r="C6" s="580"/>
      <c r="D6" s="1296" t="s">
        <v>84</v>
      </c>
      <c r="E6" s="1297"/>
      <c r="F6" s="1297"/>
      <c r="G6" s="1297"/>
      <c r="H6" s="506" t="s">
        <v>626</v>
      </c>
    </row>
    <row r="7" spans="1:8" ht="24" customHeight="1">
      <c r="A7" s="1272"/>
      <c r="B7" s="1294"/>
      <c r="C7" s="580"/>
      <c r="D7" s="1296" t="s">
        <v>85</v>
      </c>
      <c r="E7" s="1297"/>
      <c r="F7" s="1297"/>
      <c r="G7" s="1297"/>
      <c r="H7" s="506" t="s">
        <v>627</v>
      </c>
    </row>
    <row r="8" spans="1:8" ht="24" customHeight="1">
      <c r="A8" s="1272"/>
      <c r="B8" s="1294"/>
      <c r="C8" s="581"/>
      <c r="D8" s="1292" t="s">
        <v>86</v>
      </c>
      <c r="E8" s="1293"/>
      <c r="F8" s="1293"/>
      <c r="G8" s="1293"/>
      <c r="H8" s="507" t="s">
        <v>628</v>
      </c>
    </row>
    <row r="9" spans="1:8" ht="24" customHeight="1">
      <c r="A9" s="1272"/>
      <c r="B9" s="1294"/>
      <c r="C9" s="1288" t="s">
        <v>87</v>
      </c>
      <c r="D9" s="1289"/>
      <c r="E9" s="1289"/>
      <c r="F9" s="1289"/>
      <c r="G9" s="1289"/>
      <c r="H9" s="579"/>
    </row>
    <row r="10" spans="1:8" ht="24" customHeight="1">
      <c r="A10" s="1272"/>
      <c r="B10" s="1294"/>
      <c r="C10" s="580"/>
      <c r="D10" s="1290" t="s">
        <v>88</v>
      </c>
      <c r="E10" s="1291"/>
      <c r="F10" s="1291"/>
      <c r="G10" s="1291"/>
      <c r="H10" s="508" t="s">
        <v>629</v>
      </c>
    </row>
    <row r="11" spans="1:8" ht="24" customHeight="1">
      <c r="A11" s="1272"/>
      <c r="B11" s="1294"/>
      <c r="C11" s="581"/>
      <c r="D11" s="1292" t="s">
        <v>125</v>
      </c>
      <c r="E11" s="1293"/>
      <c r="F11" s="1293"/>
      <c r="G11" s="1293"/>
      <c r="H11" s="507" t="s">
        <v>630</v>
      </c>
    </row>
    <row r="12" spans="1:8" ht="24" customHeight="1">
      <c r="A12" s="1272"/>
      <c r="B12" s="1294" t="s">
        <v>595</v>
      </c>
      <c r="C12" s="1288" t="s">
        <v>79</v>
      </c>
      <c r="D12" s="1289"/>
      <c r="E12" s="1289"/>
      <c r="F12" s="1289"/>
      <c r="G12" s="1289"/>
      <c r="H12" s="579"/>
    </row>
    <row r="13" spans="1:8" ht="24" customHeight="1">
      <c r="A13" s="1272"/>
      <c r="B13" s="1294"/>
      <c r="C13" s="580"/>
      <c r="D13" s="1295" t="s">
        <v>114</v>
      </c>
      <c r="E13" s="1291"/>
      <c r="F13" s="1291"/>
      <c r="G13" s="1291"/>
      <c r="H13" s="505" t="s">
        <v>631</v>
      </c>
    </row>
    <row r="14" spans="1:8" ht="24" customHeight="1">
      <c r="A14" s="1272"/>
      <c r="B14" s="1294"/>
      <c r="C14" s="580"/>
      <c r="D14" s="1296" t="s">
        <v>84</v>
      </c>
      <c r="E14" s="1297"/>
      <c r="F14" s="1297"/>
      <c r="G14" s="1297"/>
      <c r="H14" s="506" t="s">
        <v>632</v>
      </c>
    </row>
    <row r="15" spans="1:8" ht="24" customHeight="1">
      <c r="A15" s="1272"/>
      <c r="B15" s="1294"/>
      <c r="C15" s="580"/>
      <c r="D15" s="1296" t="s">
        <v>85</v>
      </c>
      <c r="E15" s="1297"/>
      <c r="F15" s="1297"/>
      <c r="G15" s="1297"/>
      <c r="H15" s="506" t="s">
        <v>633</v>
      </c>
    </row>
    <row r="16" spans="1:8" ht="24" customHeight="1">
      <c r="A16" s="1272"/>
      <c r="B16" s="1294"/>
      <c r="C16" s="581"/>
      <c r="D16" s="1292" t="s">
        <v>86</v>
      </c>
      <c r="E16" s="1293"/>
      <c r="F16" s="1293"/>
      <c r="G16" s="1293"/>
      <c r="H16" s="507" t="s">
        <v>634</v>
      </c>
    </row>
    <row r="17" spans="1:8" ht="24" customHeight="1">
      <c r="A17" s="1272"/>
      <c r="B17" s="1294"/>
      <c r="C17" s="1288" t="s">
        <v>87</v>
      </c>
      <c r="D17" s="1289"/>
      <c r="E17" s="1289"/>
      <c r="F17" s="1289"/>
      <c r="G17" s="1289"/>
      <c r="H17" s="579"/>
    </row>
    <row r="18" spans="1:8" ht="24" customHeight="1">
      <c r="A18" s="1272"/>
      <c r="B18" s="1294"/>
      <c r="C18" s="580"/>
      <c r="D18" s="1290" t="s">
        <v>88</v>
      </c>
      <c r="E18" s="1291"/>
      <c r="F18" s="1291"/>
      <c r="G18" s="1291"/>
      <c r="H18" s="508" t="s">
        <v>635</v>
      </c>
    </row>
    <row r="19" spans="1:8" ht="24" customHeight="1">
      <c r="A19" s="1262"/>
      <c r="B19" s="1294"/>
      <c r="C19" s="581"/>
      <c r="D19" s="1292" t="s">
        <v>125</v>
      </c>
      <c r="E19" s="1293"/>
      <c r="F19" s="1293"/>
      <c r="G19" s="1293"/>
      <c r="H19" s="507" t="s">
        <v>636</v>
      </c>
    </row>
    <row r="20" spans="1:8" ht="24" customHeight="1">
      <c r="A20" s="582">
        <v>2</v>
      </c>
      <c r="B20" s="583" t="s">
        <v>31</v>
      </c>
      <c r="C20" s="1250" t="s">
        <v>126</v>
      </c>
      <c r="D20" s="1250"/>
      <c r="E20" s="1250"/>
      <c r="F20" s="1250"/>
      <c r="G20" s="1250"/>
      <c r="H20" s="569" t="s">
        <v>637</v>
      </c>
    </row>
    <row r="21" spans="1:8" ht="24" customHeight="1">
      <c r="A21" s="1261">
        <v>3</v>
      </c>
      <c r="B21" s="583" t="s">
        <v>516</v>
      </c>
      <c r="C21" s="1252" t="s">
        <v>662</v>
      </c>
      <c r="D21" s="1253"/>
      <c r="E21" s="1253"/>
      <c r="F21" s="1253"/>
      <c r="G21" s="1254"/>
      <c r="H21" s="569" t="s">
        <v>638</v>
      </c>
    </row>
    <row r="22" spans="1:8" ht="24" customHeight="1">
      <c r="A22" s="1262"/>
      <c r="B22" s="583" t="s">
        <v>596</v>
      </c>
      <c r="C22" s="1255"/>
      <c r="D22" s="1256"/>
      <c r="E22" s="1256"/>
      <c r="F22" s="1256"/>
      <c r="G22" s="1257"/>
      <c r="H22" s="569" t="s">
        <v>639</v>
      </c>
    </row>
    <row r="23" spans="1:8" ht="24" customHeight="1">
      <c r="A23" s="1261">
        <v>4</v>
      </c>
      <c r="B23" s="583" t="s">
        <v>518</v>
      </c>
      <c r="C23" s="1263" t="s">
        <v>663</v>
      </c>
      <c r="D23" s="1264"/>
      <c r="E23" s="1264"/>
      <c r="F23" s="1264"/>
      <c r="G23" s="1265"/>
      <c r="H23" s="569" t="s">
        <v>664</v>
      </c>
    </row>
    <row r="24" spans="1:8" ht="24" customHeight="1">
      <c r="A24" s="1262"/>
      <c r="B24" s="583" t="s">
        <v>517</v>
      </c>
      <c r="C24" s="1266"/>
      <c r="D24" s="1267"/>
      <c r="E24" s="1267"/>
      <c r="F24" s="1267"/>
      <c r="G24" s="1268"/>
      <c r="H24" s="569" t="s">
        <v>665</v>
      </c>
    </row>
    <row r="25" spans="1:8" ht="24" customHeight="1">
      <c r="A25" s="1261">
        <v>5</v>
      </c>
      <c r="B25" s="509" t="s">
        <v>519</v>
      </c>
      <c r="C25" s="1263" t="s">
        <v>127</v>
      </c>
      <c r="D25" s="1264"/>
      <c r="E25" s="1264"/>
      <c r="F25" s="1264"/>
      <c r="G25" s="1265"/>
      <c r="H25" s="570" t="s">
        <v>640</v>
      </c>
    </row>
    <row r="26" spans="1:8" ht="24" customHeight="1">
      <c r="A26" s="1262"/>
      <c r="B26" s="509" t="s">
        <v>520</v>
      </c>
      <c r="C26" s="1266"/>
      <c r="D26" s="1267"/>
      <c r="E26" s="1267"/>
      <c r="F26" s="1267"/>
      <c r="G26" s="1268"/>
      <c r="H26" s="570" t="s">
        <v>641</v>
      </c>
    </row>
    <row r="27" spans="1:8" ht="24" customHeight="1">
      <c r="A27" s="582">
        <v>6</v>
      </c>
      <c r="B27" s="583" t="s">
        <v>34</v>
      </c>
      <c r="C27" s="1269" t="s">
        <v>461</v>
      </c>
      <c r="D27" s="1250"/>
      <c r="E27" s="1250"/>
      <c r="F27" s="1250"/>
      <c r="G27" s="1250"/>
      <c r="H27" s="569" t="s">
        <v>642</v>
      </c>
    </row>
    <row r="28" spans="1:8" ht="33.950000000000003" customHeight="1">
      <c r="A28" s="582">
        <v>7</v>
      </c>
      <c r="B28" s="583" t="s">
        <v>35</v>
      </c>
      <c r="C28" s="1270" t="s">
        <v>463</v>
      </c>
      <c r="D28" s="1271"/>
      <c r="E28" s="1271"/>
      <c r="F28" s="1271"/>
      <c r="G28" s="1271"/>
      <c r="H28" s="569" t="s">
        <v>643</v>
      </c>
    </row>
    <row r="29" spans="1:8" ht="24" customHeight="1">
      <c r="A29" s="1261">
        <v>8</v>
      </c>
      <c r="B29" s="1273" t="s">
        <v>36</v>
      </c>
      <c r="C29" s="1269" t="s">
        <v>128</v>
      </c>
      <c r="D29" s="1269"/>
      <c r="E29" s="1269"/>
      <c r="F29" s="1269"/>
      <c r="G29" s="1269"/>
      <c r="H29" s="569" t="s">
        <v>644</v>
      </c>
    </row>
    <row r="30" spans="1:8" ht="24" customHeight="1">
      <c r="A30" s="1272"/>
      <c r="B30" s="1274"/>
      <c r="C30" s="1269" t="s">
        <v>459</v>
      </c>
      <c r="D30" s="1269"/>
      <c r="E30" s="1269"/>
      <c r="F30" s="1269"/>
      <c r="G30" s="1269"/>
      <c r="H30" s="569" t="s">
        <v>645</v>
      </c>
    </row>
    <row r="31" spans="1:8" ht="24" customHeight="1">
      <c r="A31" s="1262"/>
      <c r="B31" s="1275"/>
      <c r="C31" s="1269" t="s">
        <v>460</v>
      </c>
      <c r="D31" s="1269"/>
      <c r="E31" s="1269"/>
      <c r="F31" s="1269"/>
      <c r="G31" s="1269"/>
      <c r="H31" s="569" t="s">
        <v>646</v>
      </c>
    </row>
    <row r="32" spans="1:8" ht="47.25" customHeight="1">
      <c r="A32" s="582">
        <v>9</v>
      </c>
      <c r="B32" s="583" t="s">
        <v>102</v>
      </c>
      <c r="C32" s="1270" t="s">
        <v>129</v>
      </c>
      <c r="D32" s="1270"/>
      <c r="E32" s="1270"/>
      <c r="F32" s="1270"/>
      <c r="G32" s="1270"/>
      <c r="H32" s="569" t="s">
        <v>647</v>
      </c>
    </row>
    <row r="33" spans="1:8" ht="24" customHeight="1">
      <c r="A33" s="1261">
        <v>10</v>
      </c>
      <c r="B33" s="1276" t="s">
        <v>130</v>
      </c>
      <c r="C33" s="1279" t="s">
        <v>131</v>
      </c>
      <c r="D33" s="1280"/>
      <c r="E33" s="1280"/>
      <c r="F33" s="1280"/>
      <c r="G33" s="1281"/>
      <c r="H33" s="570" t="s">
        <v>521</v>
      </c>
    </row>
    <row r="34" spans="1:8" ht="33.950000000000003" customHeight="1">
      <c r="A34" s="1272"/>
      <c r="B34" s="1277"/>
      <c r="C34" s="1282"/>
      <c r="D34" s="1283"/>
      <c r="E34" s="1283"/>
      <c r="F34" s="1283"/>
      <c r="G34" s="1284"/>
      <c r="H34" s="570" t="s">
        <v>522</v>
      </c>
    </row>
    <row r="35" spans="1:8" ht="33.950000000000003" customHeight="1">
      <c r="A35" s="1272"/>
      <c r="B35" s="1277"/>
      <c r="C35" s="1282"/>
      <c r="D35" s="1283"/>
      <c r="E35" s="1283"/>
      <c r="F35" s="1283"/>
      <c r="G35" s="1284"/>
      <c r="H35" s="570" t="s">
        <v>530</v>
      </c>
    </row>
    <row r="36" spans="1:8" ht="24" customHeight="1">
      <c r="A36" s="1262"/>
      <c r="B36" s="1278"/>
      <c r="C36" s="1285"/>
      <c r="D36" s="1286"/>
      <c r="E36" s="1286"/>
      <c r="F36" s="1286"/>
      <c r="G36" s="1287"/>
      <c r="H36" s="570" t="s">
        <v>592</v>
      </c>
    </row>
    <row r="37" spans="1:8" ht="57.75" customHeight="1">
      <c r="A37" s="582">
        <v>11</v>
      </c>
      <c r="B37" s="510" t="s">
        <v>448</v>
      </c>
      <c r="C37" s="1258" t="s">
        <v>427</v>
      </c>
      <c r="D37" s="1259"/>
      <c r="E37" s="1259"/>
      <c r="F37" s="1259"/>
      <c r="G37" s="1260"/>
      <c r="H37" s="570" t="s">
        <v>648</v>
      </c>
    </row>
    <row r="38" spans="1:8" ht="40.5" customHeight="1">
      <c r="A38" s="582">
        <v>12</v>
      </c>
      <c r="B38" s="510" t="s">
        <v>428</v>
      </c>
      <c r="C38" s="1258" t="s">
        <v>429</v>
      </c>
      <c r="D38" s="1259"/>
      <c r="E38" s="1259"/>
      <c r="F38" s="1259"/>
      <c r="G38" s="1260"/>
      <c r="H38" s="570" t="s">
        <v>649</v>
      </c>
    </row>
    <row r="39" spans="1:8" ht="40.5" customHeight="1">
      <c r="A39" s="582">
        <v>13</v>
      </c>
      <c r="B39" s="510" t="s">
        <v>312</v>
      </c>
      <c r="C39" s="1244" t="s">
        <v>430</v>
      </c>
      <c r="D39" s="1245"/>
      <c r="E39" s="1245"/>
      <c r="F39" s="1245"/>
      <c r="G39" s="1246"/>
      <c r="H39" s="570" t="s">
        <v>650</v>
      </c>
    </row>
    <row r="40" spans="1:8" ht="24" customHeight="1">
      <c r="A40" s="582">
        <v>14</v>
      </c>
      <c r="B40" s="509" t="s">
        <v>76</v>
      </c>
      <c r="C40" s="1247" t="s">
        <v>83</v>
      </c>
      <c r="D40" s="1248"/>
      <c r="E40" s="1248"/>
      <c r="F40" s="1248"/>
      <c r="G40" s="1249"/>
      <c r="H40" s="584" t="s">
        <v>434</v>
      </c>
    </row>
    <row r="41" spans="1:8" ht="33.75" customHeight="1">
      <c r="A41" s="582">
        <v>15</v>
      </c>
      <c r="B41" s="583" t="s">
        <v>103</v>
      </c>
      <c r="C41" s="1250" t="s">
        <v>132</v>
      </c>
      <c r="D41" s="1250"/>
      <c r="E41" s="1250"/>
      <c r="F41" s="1250"/>
      <c r="G41" s="1250"/>
      <c r="H41" s="584" t="s">
        <v>434</v>
      </c>
    </row>
    <row r="42" spans="1:8" ht="24" customHeight="1">
      <c r="A42" s="582">
        <v>16</v>
      </c>
      <c r="B42" s="583" t="s">
        <v>37</v>
      </c>
      <c r="C42" s="1250" t="s">
        <v>82</v>
      </c>
      <c r="D42" s="1250"/>
      <c r="E42" s="1250"/>
      <c r="F42" s="1250"/>
      <c r="G42" s="1250"/>
      <c r="H42" s="584" t="s">
        <v>462</v>
      </c>
    </row>
    <row r="43" spans="1:8" ht="24" customHeight="1">
      <c r="A43" s="582">
        <v>17</v>
      </c>
      <c r="B43" s="583" t="s">
        <v>75</v>
      </c>
      <c r="C43" s="1247" t="s">
        <v>75</v>
      </c>
      <c r="D43" s="1248"/>
      <c r="E43" s="1248"/>
      <c r="F43" s="1248"/>
      <c r="G43" s="1249"/>
      <c r="H43" s="569" t="s">
        <v>597</v>
      </c>
    </row>
    <row r="44" spans="1:8" s="463" customFormat="1" ht="40.5" customHeight="1">
      <c r="A44" s="582">
        <v>18</v>
      </c>
      <c r="B44" s="583" t="s">
        <v>525</v>
      </c>
      <c r="C44" s="1251" t="s">
        <v>526</v>
      </c>
      <c r="D44" s="1251"/>
      <c r="E44" s="1251"/>
      <c r="F44" s="1251"/>
      <c r="G44" s="1251"/>
      <c r="H44" s="584" t="s">
        <v>527</v>
      </c>
    </row>
    <row r="45" spans="1:8" s="463" customFormat="1" ht="40.5" customHeight="1">
      <c r="A45" s="582">
        <v>19</v>
      </c>
      <c r="B45" s="583" t="s">
        <v>528</v>
      </c>
      <c r="C45" s="1241" t="s">
        <v>529</v>
      </c>
      <c r="D45" s="1242"/>
      <c r="E45" s="1242"/>
      <c r="F45" s="1242"/>
      <c r="G45" s="1243"/>
      <c r="H45" s="584" t="s">
        <v>599</v>
      </c>
    </row>
    <row r="46" spans="1:8" ht="14.25">
      <c r="A46" s="585"/>
      <c r="B46" s="585"/>
      <c r="C46" s="585"/>
      <c r="D46" s="585"/>
      <c r="E46" s="585"/>
      <c r="F46" s="585"/>
      <c r="G46" s="585"/>
      <c r="H46" s="511" t="s">
        <v>464</v>
      </c>
    </row>
  </sheetData>
  <mergeCells count="49">
    <mergeCell ref="A1:H1"/>
    <mergeCell ref="A3:B3"/>
    <mergeCell ref="C3:G3"/>
    <mergeCell ref="A4:A19"/>
    <mergeCell ref="B4:B11"/>
    <mergeCell ref="C4:G4"/>
    <mergeCell ref="D5:G5"/>
    <mergeCell ref="D6:G6"/>
    <mergeCell ref="D7:G7"/>
    <mergeCell ref="D8:G8"/>
    <mergeCell ref="A23:A24"/>
    <mergeCell ref="C23:G24"/>
    <mergeCell ref="C9:G9"/>
    <mergeCell ref="D10:G10"/>
    <mergeCell ref="D11:G11"/>
    <mergeCell ref="B12:B19"/>
    <mergeCell ref="C12:G12"/>
    <mergeCell ref="D13:G13"/>
    <mergeCell ref="D14:G14"/>
    <mergeCell ref="D15:G15"/>
    <mergeCell ref="D16:G16"/>
    <mergeCell ref="C17:G17"/>
    <mergeCell ref="D18:G18"/>
    <mergeCell ref="D19:G19"/>
    <mergeCell ref="C20:G20"/>
    <mergeCell ref="A21:A22"/>
    <mergeCell ref="C21:G22"/>
    <mergeCell ref="C38:G38"/>
    <mergeCell ref="A25:A26"/>
    <mergeCell ref="C25:G26"/>
    <mergeCell ref="C27:G27"/>
    <mergeCell ref="C28:G28"/>
    <mergeCell ref="A29:A31"/>
    <mergeCell ref="B29:B31"/>
    <mergeCell ref="C29:G29"/>
    <mergeCell ref="C30:G30"/>
    <mergeCell ref="C31:G31"/>
    <mergeCell ref="C32:G32"/>
    <mergeCell ref="A33:A36"/>
    <mergeCell ref="B33:B36"/>
    <mergeCell ref="C33:G36"/>
    <mergeCell ref="C37:G37"/>
    <mergeCell ref="C45:G45"/>
    <mergeCell ref="C39:G39"/>
    <mergeCell ref="C40:G40"/>
    <mergeCell ref="C41:G41"/>
    <mergeCell ref="C42:G42"/>
    <mergeCell ref="C43:G43"/>
    <mergeCell ref="C44:G44"/>
  </mergeCells>
  <phoneticPr fontId="1"/>
  <pageMargins left="0.31496062992125984" right="0.31496062992125984" top="0.55118110236220474" bottom="0.35433070866141736" header="0.31496062992125984" footer="0.31496062992125984"/>
  <pageSetup paperSize="9" scale="89" fitToHeight="0" orientation="landscape" r:id="rId1"/>
  <rowBreaks count="1" manualBreakCount="1">
    <brk id="2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3FEF0-4BE8-4C4D-BE33-92CAA0E3B23C}">
  <sheetPr>
    <pageSetUpPr fitToPage="1"/>
  </sheetPr>
  <dimension ref="A1:BK165"/>
  <sheetViews>
    <sheetView view="pageBreakPreview" zoomScale="75" zoomScaleNormal="100" zoomScaleSheetLayoutView="75" workbookViewId="0">
      <selection activeCell="S7" sqref="S7"/>
    </sheetView>
  </sheetViews>
  <sheetFormatPr defaultColWidth="9" defaultRowHeight="14.25"/>
  <cols>
    <col min="1" max="1" width="3.875" style="470" customWidth="1"/>
    <col min="2" max="2" width="8.125" style="470" customWidth="1"/>
    <col min="3" max="4" width="5.875" style="470" customWidth="1"/>
    <col min="5" max="5" width="7" style="470" customWidth="1"/>
    <col min="6" max="6" width="5.875" style="470" bestFit="1" customWidth="1"/>
    <col min="7" max="10" width="7.125" style="470" customWidth="1"/>
    <col min="11" max="15" width="5.875" style="470" customWidth="1"/>
    <col min="16" max="18" width="4.875" style="471" customWidth="1"/>
    <col min="19" max="19" width="13.625" style="573" customWidth="1"/>
    <col min="20" max="20" width="7" style="471" customWidth="1"/>
    <col min="21" max="22" width="12.375" style="472" customWidth="1"/>
    <col min="23" max="43" width="5.875" style="470" customWidth="1"/>
    <col min="44" max="44" width="4.875" style="470" bestFit="1" customWidth="1"/>
    <col min="45" max="58" width="5.875" style="470" customWidth="1"/>
    <col min="59" max="68" width="5.625" style="470" customWidth="1"/>
    <col min="69" max="16384" width="9" style="470"/>
  </cols>
  <sheetData>
    <row r="1" spans="1:63">
      <c r="A1" s="217" t="s">
        <v>454</v>
      </c>
      <c r="B1" s="217"/>
      <c r="C1" s="217"/>
      <c r="D1" s="217"/>
      <c r="E1" s="217"/>
      <c r="F1" s="217"/>
      <c r="G1" s="217"/>
      <c r="H1" s="217"/>
      <c r="I1" s="217"/>
      <c r="J1" s="217"/>
      <c r="K1" s="217"/>
      <c r="L1" s="217"/>
      <c r="M1" s="217"/>
      <c r="N1" s="217"/>
      <c r="O1" s="217"/>
      <c r="P1" s="228"/>
      <c r="Q1" s="228"/>
      <c r="R1" s="228"/>
      <c r="T1" s="228"/>
      <c r="U1" s="481"/>
      <c r="V1" s="481"/>
    </row>
    <row r="2" spans="1:63" ht="18.75">
      <c r="A2" s="625" t="s">
        <v>601</v>
      </c>
      <c r="B2" s="625"/>
      <c r="C2" s="625"/>
      <c r="D2" s="625"/>
      <c r="E2" s="625"/>
      <c r="F2" s="625"/>
      <c r="G2" s="625"/>
      <c r="H2" s="625"/>
      <c r="I2" s="625"/>
      <c r="J2" s="625"/>
      <c r="K2" s="625"/>
      <c r="L2" s="625"/>
      <c r="M2" s="625"/>
      <c r="N2" s="625"/>
      <c r="O2" s="625"/>
      <c r="P2" s="625"/>
      <c r="Q2" s="625"/>
      <c r="R2" s="625"/>
      <c r="S2" s="625"/>
      <c r="T2" s="625"/>
      <c r="U2" s="625"/>
      <c r="V2" s="625"/>
    </row>
    <row r="3" spans="1:63">
      <c r="A3" s="217"/>
      <c r="B3" s="217"/>
      <c r="C3" s="217"/>
      <c r="D3" s="217"/>
      <c r="E3" s="217"/>
      <c r="F3" s="217"/>
      <c r="G3" s="217"/>
      <c r="H3" s="218"/>
      <c r="I3" s="219"/>
      <c r="J3" s="219"/>
      <c r="K3" s="219"/>
      <c r="L3" s="219"/>
      <c r="M3" s="626" t="s">
        <v>105</v>
      </c>
      <c r="N3" s="626"/>
      <c r="O3" s="626"/>
      <c r="P3" s="627" t="str">
        <f>鑑!G7</f>
        <v>はぐくみ学童クラブ</v>
      </c>
      <c r="Q3" s="627"/>
      <c r="R3" s="627"/>
      <c r="S3" s="627"/>
      <c r="T3" s="627"/>
      <c r="U3" s="627"/>
      <c r="V3" s="627"/>
    </row>
    <row r="4" spans="1:63" ht="18" customHeight="1">
      <c r="A4" s="217"/>
      <c r="B4" s="217"/>
      <c r="C4" s="217"/>
      <c r="D4" s="217"/>
      <c r="E4" s="217"/>
      <c r="F4" s="217"/>
      <c r="G4" s="217"/>
      <c r="H4" s="217"/>
      <c r="I4" s="217"/>
      <c r="J4" s="217"/>
      <c r="K4" s="217"/>
      <c r="L4" s="217"/>
      <c r="M4" s="626" t="s">
        <v>251</v>
      </c>
      <c r="N4" s="626"/>
      <c r="O4" s="626"/>
      <c r="P4" s="628">
        <v>5000</v>
      </c>
      <c r="Q4" s="628"/>
      <c r="R4" s="628"/>
      <c r="S4" s="628"/>
      <c r="T4" s="628"/>
      <c r="U4" s="629" t="s">
        <v>252</v>
      </c>
      <c r="V4" s="629"/>
    </row>
    <row r="5" spans="1:63" ht="18" customHeight="1">
      <c r="A5" s="217"/>
      <c r="B5" s="217"/>
      <c r="C5" s="217"/>
      <c r="D5" s="217"/>
      <c r="E5" s="217"/>
      <c r="F5" s="217"/>
      <c r="G5" s="217"/>
      <c r="H5" s="217"/>
      <c r="I5" s="217"/>
      <c r="J5" s="217"/>
      <c r="K5" s="217"/>
      <c r="L5" s="217"/>
      <c r="M5" s="630" t="s">
        <v>253</v>
      </c>
      <c r="N5" s="630"/>
      <c r="O5" s="630"/>
      <c r="P5" s="628">
        <v>5000</v>
      </c>
      <c r="Q5" s="628"/>
      <c r="R5" s="628"/>
      <c r="S5" s="628"/>
      <c r="T5" s="628"/>
      <c r="U5" s="631" t="s">
        <v>252</v>
      </c>
      <c r="V5" s="631"/>
    </row>
    <row r="6" spans="1:63" ht="18" customHeight="1">
      <c r="A6" s="217" t="s">
        <v>89</v>
      </c>
      <c r="B6" s="217"/>
      <c r="C6" s="217"/>
      <c r="D6" s="217"/>
      <c r="E6" s="217"/>
      <c r="F6" s="217"/>
      <c r="G6" s="217"/>
      <c r="H6" s="217"/>
      <c r="I6" s="217"/>
      <c r="J6" s="217"/>
      <c r="K6" s="217"/>
      <c r="L6" s="217"/>
      <c r="M6" s="217"/>
      <c r="N6" s="217"/>
      <c r="O6" s="217"/>
      <c r="P6" s="228"/>
      <c r="Q6" s="228"/>
      <c r="R6" s="228"/>
      <c r="T6" s="228"/>
      <c r="U6" s="481"/>
      <c r="V6" s="481"/>
      <c r="AK6" s="473"/>
      <c r="AL6" s="473"/>
      <c r="AM6" s="473"/>
      <c r="AN6" s="473"/>
      <c r="AO6" s="473"/>
      <c r="AP6" s="473"/>
      <c r="AQ6" s="473"/>
      <c r="AR6" s="473"/>
      <c r="AS6" s="473"/>
      <c r="AT6" s="473"/>
      <c r="AU6" s="473"/>
      <c r="AV6" s="473"/>
      <c r="AW6" s="473"/>
      <c r="AX6" s="473"/>
      <c r="AY6" s="473"/>
      <c r="AZ6" s="473"/>
      <c r="BA6" s="473"/>
      <c r="BB6" s="473"/>
      <c r="BC6" s="473"/>
      <c r="BD6" s="473"/>
      <c r="BE6" s="473"/>
      <c r="BF6" s="473"/>
      <c r="BG6" s="473"/>
      <c r="BH6" s="473"/>
      <c r="BI6" s="473"/>
      <c r="BJ6" s="473"/>
      <c r="BK6" s="473"/>
    </row>
    <row r="7" spans="1:63" s="477" customFormat="1" ht="35.25" customHeight="1">
      <c r="A7" s="468" t="s">
        <v>4</v>
      </c>
      <c r="B7" s="632" t="s">
        <v>5</v>
      </c>
      <c r="C7" s="633"/>
      <c r="D7" s="634"/>
      <c r="E7" s="220" t="s">
        <v>39</v>
      </c>
      <c r="F7" s="220" t="s">
        <v>6</v>
      </c>
      <c r="G7" s="632" t="s">
        <v>40</v>
      </c>
      <c r="H7" s="633"/>
      <c r="I7" s="633"/>
      <c r="J7" s="634"/>
      <c r="K7" s="221" t="s">
        <v>254</v>
      </c>
      <c r="L7" s="222" t="s">
        <v>255</v>
      </c>
      <c r="M7" s="468" t="s">
        <v>41</v>
      </c>
      <c r="N7" s="223" t="s">
        <v>256</v>
      </c>
      <c r="O7" s="224" t="s">
        <v>257</v>
      </c>
      <c r="P7" s="619" t="s">
        <v>42</v>
      </c>
      <c r="Q7" s="620"/>
      <c r="R7" s="621"/>
      <c r="S7" s="574" t="s">
        <v>661</v>
      </c>
      <c r="T7" s="225" t="s">
        <v>258</v>
      </c>
      <c r="U7" s="226" t="s">
        <v>259</v>
      </c>
      <c r="V7" s="226" t="s">
        <v>260</v>
      </c>
      <c r="W7" s="474"/>
      <c r="X7" s="470"/>
      <c r="Y7" s="470"/>
      <c r="Z7" s="470"/>
      <c r="AA7" s="470"/>
      <c r="AB7" s="470"/>
      <c r="AC7" s="470"/>
      <c r="AD7" s="470"/>
      <c r="AE7" s="470"/>
      <c r="AF7" s="470"/>
      <c r="AG7" s="470"/>
      <c r="AH7" s="470"/>
      <c r="AI7" s="470"/>
      <c r="AJ7" s="470"/>
      <c r="AK7" s="473"/>
      <c r="AL7" s="473"/>
      <c r="AM7" s="475"/>
      <c r="AN7" s="475"/>
      <c r="AO7" s="475"/>
      <c r="AP7" s="475"/>
      <c r="AQ7" s="475"/>
      <c r="AR7" s="475"/>
      <c r="AS7" s="475"/>
      <c r="AT7" s="475"/>
      <c r="AU7" s="475"/>
      <c r="AV7" s="475"/>
      <c r="AW7" s="475"/>
      <c r="AX7" s="475"/>
      <c r="AY7" s="475"/>
      <c r="AZ7" s="475"/>
      <c r="BA7" s="475"/>
      <c r="BB7" s="475"/>
      <c r="BC7" s="475"/>
      <c r="BD7" s="475"/>
      <c r="BE7" s="475"/>
      <c r="BF7" s="476"/>
      <c r="BG7" s="476"/>
      <c r="BH7" s="476"/>
      <c r="BI7" s="476"/>
      <c r="BJ7" s="476"/>
      <c r="BK7" s="476"/>
    </row>
    <row r="8" spans="1:63" ht="21" customHeight="1">
      <c r="A8" s="227">
        <v>1</v>
      </c>
      <c r="B8" s="622" t="s">
        <v>537</v>
      </c>
      <c r="C8" s="623"/>
      <c r="D8" s="624"/>
      <c r="E8" s="461" t="s">
        <v>533</v>
      </c>
      <c r="F8" s="115">
        <v>1</v>
      </c>
      <c r="G8" s="622" t="s">
        <v>535</v>
      </c>
      <c r="H8" s="623"/>
      <c r="I8" s="623"/>
      <c r="J8" s="624"/>
      <c r="K8" s="392" t="s">
        <v>536</v>
      </c>
      <c r="L8" s="392"/>
      <c r="M8" s="392" t="s">
        <v>536</v>
      </c>
      <c r="N8" s="392"/>
      <c r="O8" s="393" t="s">
        <v>110</v>
      </c>
      <c r="P8" s="622" t="s">
        <v>537</v>
      </c>
      <c r="Q8" s="623"/>
      <c r="R8" s="624"/>
      <c r="S8" s="575"/>
      <c r="T8" s="127">
        <v>12</v>
      </c>
      <c r="U8" s="482">
        <v>40000</v>
      </c>
      <c r="V8" s="483">
        <f>IF(AND(L8 = "○", $P$5 &gt; 5000), 5000 * T8, IF(L8 = "○", $P$5 * T8, 0))</f>
        <v>0</v>
      </c>
      <c r="W8" s="478"/>
      <c r="AK8" s="473"/>
      <c r="AL8" s="473"/>
      <c r="AM8" s="479"/>
      <c r="AN8" s="479"/>
      <c r="AO8" s="479"/>
      <c r="AP8" s="479"/>
      <c r="AQ8" s="479"/>
      <c r="AR8" s="479"/>
      <c r="AS8" s="479"/>
      <c r="AT8" s="479"/>
      <c r="AU8" s="479"/>
      <c r="AV8" s="479"/>
      <c r="AW8" s="479"/>
      <c r="AX8" s="479"/>
      <c r="AY8" s="479"/>
      <c r="AZ8" s="473"/>
      <c r="BA8" s="473"/>
      <c r="BB8" s="473"/>
      <c r="BC8" s="473"/>
      <c r="BD8" s="473"/>
      <c r="BE8" s="473" t="str">
        <f>IF(V8=3,1,"")</f>
        <v/>
      </c>
      <c r="BF8" s="473"/>
      <c r="BG8" s="473"/>
      <c r="BH8" s="473"/>
      <c r="BI8" s="473"/>
      <c r="BJ8" s="473"/>
      <c r="BK8" s="473"/>
    </row>
    <row r="9" spans="1:63" ht="21" customHeight="1">
      <c r="A9" s="227">
        <v>2</v>
      </c>
      <c r="B9" s="622" t="s">
        <v>537</v>
      </c>
      <c r="C9" s="623"/>
      <c r="D9" s="624"/>
      <c r="E9" s="461" t="s">
        <v>533</v>
      </c>
      <c r="F9" s="115">
        <v>1</v>
      </c>
      <c r="G9" s="622" t="s">
        <v>535</v>
      </c>
      <c r="H9" s="623"/>
      <c r="I9" s="623"/>
      <c r="J9" s="624"/>
      <c r="K9" s="392"/>
      <c r="L9" s="392"/>
      <c r="M9" s="392"/>
      <c r="N9" s="392"/>
      <c r="O9" s="393" t="s">
        <v>110</v>
      </c>
      <c r="P9" s="622" t="s">
        <v>537</v>
      </c>
      <c r="Q9" s="623"/>
      <c r="R9" s="624"/>
      <c r="S9" s="575"/>
      <c r="T9" s="127">
        <v>12</v>
      </c>
      <c r="U9" s="482">
        <f>IF(AND(K9 = "○", $P$4 &gt; 5000), 5000 * T9, IF(K9 = "○", $P$4 * T9, 0))</f>
        <v>0</v>
      </c>
      <c r="V9" s="483">
        <f t="shared" ref="V9:V72" si="0">IF(AND(L9 = "○", $P$5 &gt; 5000), 5000 * T9, IF(L9 = "○", $P$5 * T9, 0))</f>
        <v>0</v>
      </c>
      <c r="W9" s="478"/>
      <c r="AK9" s="473"/>
      <c r="AL9" s="473"/>
      <c r="AM9" s="479" t="s">
        <v>43</v>
      </c>
      <c r="AN9" s="479" t="s">
        <v>109</v>
      </c>
      <c r="AO9" s="479" t="s">
        <v>50</v>
      </c>
      <c r="AP9" s="479"/>
      <c r="AQ9" s="479" t="s">
        <v>10</v>
      </c>
      <c r="AR9" s="479" t="s">
        <v>110</v>
      </c>
      <c r="AS9" s="479"/>
      <c r="AT9" s="479"/>
      <c r="AU9" s="479"/>
      <c r="AV9" s="479"/>
      <c r="AW9" s="479"/>
      <c r="AX9" s="479"/>
      <c r="AY9" s="479"/>
      <c r="AZ9" s="473"/>
      <c r="BA9" s="473"/>
      <c r="BB9" s="473"/>
      <c r="BC9" s="473"/>
      <c r="BD9" s="473"/>
      <c r="BE9" s="473"/>
      <c r="BF9" s="473"/>
      <c r="BG9" s="473"/>
      <c r="BH9" s="473"/>
      <c r="BI9" s="473"/>
      <c r="BJ9" s="473"/>
      <c r="BK9" s="473"/>
    </row>
    <row r="10" spans="1:63" ht="21" customHeight="1">
      <c r="A10" s="227">
        <v>3</v>
      </c>
      <c r="B10" s="622" t="s">
        <v>537</v>
      </c>
      <c r="C10" s="623"/>
      <c r="D10" s="624"/>
      <c r="E10" s="461" t="s">
        <v>533</v>
      </c>
      <c r="F10" s="115">
        <v>1</v>
      </c>
      <c r="G10" s="622" t="s">
        <v>535</v>
      </c>
      <c r="H10" s="623"/>
      <c r="I10" s="623"/>
      <c r="J10" s="624"/>
      <c r="K10" s="392"/>
      <c r="L10" s="392"/>
      <c r="M10" s="392"/>
      <c r="N10" s="392"/>
      <c r="O10" s="393" t="s">
        <v>110</v>
      </c>
      <c r="P10" s="622" t="s">
        <v>537</v>
      </c>
      <c r="Q10" s="623"/>
      <c r="R10" s="624"/>
      <c r="S10" s="575"/>
      <c r="T10" s="127">
        <v>12</v>
      </c>
      <c r="U10" s="482">
        <f t="shared" ref="U10:U72" si="1">IF(AND(K10 = "○", $P$4 &gt; 5000), 5000 * T10, IF(K10 = "○", $P$4 * T10, 0))</f>
        <v>0</v>
      </c>
      <c r="V10" s="483">
        <f t="shared" si="0"/>
        <v>0</v>
      </c>
      <c r="W10" s="478"/>
      <c r="AK10" s="473"/>
      <c r="AL10" s="473"/>
      <c r="AM10" s="479" t="s">
        <v>44</v>
      </c>
      <c r="AN10" s="479"/>
      <c r="AO10" s="479" t="s">
        <v>49</v>
      </c>
      <c r="AP10" s="479"/>
      <c r="AQ10" s="479" t="s">
        <v>11</v>
      </c>
      <c r="AR10" s="479" t="s">
        <v>108</v>
      </c>
      <c r="AS10" s="479"/>
      <c r="AT10" s="479"/>
      <c r="AU10" s="479"/>
      <c r="AV10" s="479"/>
      <c r="AW10" s="479"/>
      <c r="AX10" s="479"/>
      <c r="AY10" s="479"/>
      <c r="AZ10" s="473"/>
      <c r="BA10" s="473"/>
      <c r="BB10" s="473"/>
      <c r="BC10" s="473"/>
      <c r="BD10" s="473"/>
      <c r="BE10" s="473"/>
      <c r="BF10" s="473"/>
      <c r="BG10" s="473"/>
      <c r="BH10" s="473"/>
      <c r="BI10" s="473"/>
      <c r="BJ10" s="473"/>
      <c r="BK10" s="473"/>
    </row>
    <row r="11" spans="1:63" ht="21" customHeight="1">
      <c r="A11" s="227">
        <v>4</v>
      </c>
      <c r="B11" s="622" t="s">
        <v>537</v>
      </c>
      <c r="C11" s="623"/>
      <c r="D11" s="624"/>
      <c r="E11" s="461" t="s">
        <v>533</v>
      </c>
      <c r="F11" s="115">
        <v>1</v>
      </c>
      <c r="G11" s="622" t="s">
        <v>535</v>
      </c>
      <c r="H11" s="623"/>
      <c r="I11" s="623"/>
      <c r="J11" s="624"/>
      <c r="K11" s="392"/>
      <c r="L11" s="392" t="s">
        <v>536</v>
      </c>
      <c r="M11" s="392"/>
      <c r="N11" s="392"/>
      <c r="O11" s="393" t="s">
        <v>110</v>
      </c>
      <c r="P11" s="622" t="s">
        <v>537</v>
      </c>
      <c r="Q11" s="623"/>
      <c r="R11" s="624"/>
      <c r="S11" s="575"/>
      <c r="T11" s="127">
        <v>12</v>
      </c>
      <c r="U11" s="482">
        <f t="shared" si="1"/>
        <v>0</v>
      </c>
      <c r="V11" s="483">
        <f t="shared" si="0"/>
        <v>60000</v>
      </c>
      <c r="W11" s="478"/>
      <c r="AK11" s="473"/>
      <c r="AL11" s="473"/>
      <c r="AM11" s="479" t="s">
        <v>45</v>
      </c>
      <c r="AN11" s="479"/>
      <c r="AO11" s="479" t="s">
        <v>51</v>
      </c>
      <c r="AP11" s="479"/>
      <c r="AQ11" s="479" t="s">
        <v>12</v>
      </c>
      <c r="AR11" s="479" t="s">
        <v>111</v>
      </c>
      <c r="AS11" s="479"/>
      <c r="AT11" s="479"/>
      <c r="AU11" s="479"/>
      <c r="AV11" s="479"/>
      <c r="AW11" s="479"/>
      <c r="AX11" s="479"/>
      <c r="AY11" s="479"/>
      <c r="AZ11" s="473"/>
      <c r="BA11" s="473"/>
      <c r="BB11" s="473"/>
      <c r="BC11" s="473"/>
      <c r="BD11" s="473"/>
      <c r="BE11" s="473"/>
      <c r="BF11" s="473"/>
      <c r="BG11" s="473"/>
      <c r="BH11" s="473"/>
      <c r="BI11" s="473"/>
      <c r="BJ11" s="473"/>
      <c r="BK11" s="473"/>
    </row>
    <row r="12" spans="1:63" ht="21" customHeight="1">
      <c r="A12" s="227">
        <v>5</v>
      </c>
      <c r="B12" s="622" t="s">
        <v>537</v>
      </c>
      <c r="C12" s="623"/>
      <c r="D12" s="624"/>
      <c r="E12" s="461" t="s">
        <v>533</v>
      </c>
      <c r="F12" s="115">
        <v>1</v>
      </c>
      <c r="G12" s="622" t="s">
        <v>535</v>
      </c>
      <c r="H12" s="623"/>
      <c r="I12" s="623"/>
      <c r="J12" s="624"/>
      <c r="K12" s="392"/>
      <c r="L12" s="392"/>
      <c r="M12" s="392"/>
      <c r="N12" s="392"/>
      <c r="O12" s="393" t="s">
        <v>110</v>
      </c>
      <c r="P12" s="622" t="s">
        <v>537</v>
      </c>
      <c r="Q12" s="623"/>
      <c r="R12" s="624"/>
      <c r="S12" s="575"/>
      <c r="T12" s="127">
        <v>8</v>
      </c>
      <c r="U12" s="482">
        <f t="shared" si="1"/>
        <v>0</v>
      </c>
      <c r="V12" s="483">
        <f t="shared" si="0"/>
        <v>0</v>
      </c>
      <c r="W12" s="478"/>
      <c r="AK12" s="473"/>
      <c r="AL12" s="473"/>
      <c r="AM12" s="479" t="s">
        <v>46</v>
      </c>
      <c r="AN12" s="479"/>
      <c r="AO12" s="479" t="s">
        <v>52</v>
      </c>
      <c r="AP12" s="479"/>
      <c r="AQ12" s="479" t="s">
        <v>13</v>
      </c>
      <c r="AR12" s="479" t="s">
        <v>112</v>
      </c>
      <c r="AS12" s="479"/>
      <c r="AT12" s="479"/>
      <c r="AU12" s="479"/>
      <c r="AV12" s="479"/>
      <c r="AW12" s="479"/>
      <c r="AX12" s="479"/>
      <c r="AY12" s="479"/>
      <c r="AZ12" s="473"/>
      <c r="BA12" s="473"/>
      <c r="BB12" s="473"/>
      <c r="BC12" s="473"/>
      <c r="BD12" s="473"/>
      <c r="BE12" s="473"/>
      <c r="BF12" s="473"/>
      <c r="BG12" s="473"/>
      <c r="BH12" s="473"/>
      <c r="BI12" s="473"/>
      <c r="BJ12" s="473"/>
      <c r="BK12" s="473"/>
    </row>
    <row r="13" spans="1:63" ht="21" customHeight="1">
      <c r="A13" s="227">
        <v>6</v>
      </c>
      <c r="B13" s="622" t="s">
        <v>537</v>
      </c>
      <c r="C13" s="623"/>
      <c r="D13" s="624"/>
      <c r="E13" s="461" t="s">
        <v>533</v>
      </c>
      <c r="F13" s="115">
        <v>1</v>
      </c>
      <c r="G13" s="622" t="s">
        <v>535</v>
      </c>
      <c r="H13" s="623"/>
      <c r="I13" s="623"/>
      <c r="J13" s="624"/>
      <c r="K13" s="392"/>
      <c r="L13" s="392"/>
      <c r="M13" s="392"/>
      <c r="N13" s="392"/>
      <c r="O13" s="393" t="s">
        <v>111</v>
      </c>
      <c r="P13" s="622" t="s">
        <v>537</v>
      </c>
      <c r="Q13" s="623"/>
      <c r="R13" s="624"/>
      <c r="S13" s="575"/>
      <c r="T13" s="127">
        <v>12</v>
      </c>
      <c r="U13" s="482">
        <f t="shared" si="1"/>
        <v>0</v>
      </c>
      <c r="V13" s="483">
        <f t="shared" si="0"/>
        <v>0</v>
      </c>
      <c r="W13" s="480"/>
      <c r="X13" s="480"/>
      <c r="Y13" s="480"/>
      <c r="Z13" s="480"/>
      <c r="AA13" s="480"/>
      <c r="AB13" s="480"/>
      <c r="AC13" s="480"/>
      <c r="AD13" s="480"/>
      <c r="AE13" s="480"/>
      <c r="AF13" s="480"/>
      <c r="AG13" s="480"/>
      <c r="AK13" s="473"/>
      <c r="AL13" s="473"/>
      <c r="AM13" s="479" t="s">
        <v>47</v>
      </c>
      <c r="AN13" s="479"/>
      <c r="AO13" s="479"/>
      <c r="AP13" s="479"/>
      <c r="AQ13" s="479" t="s">
        <v>14</v>
      </c>
      <c r="AR13" s="479" t="s">
        <v>113</v>
      </c>
      <c r="AS13" s="479"/>
      <c r="AT13" s="479"/>
      <c r="AU13" s="479"/>
      <c r="AV13" s="479"/>
      <c r="AW13" s="479"/>
      <c r="AX13" s="479"/>
      <c r="AY13" s="479"/>
      <c r="AZ13" s="473"/>
      <c r="BA13" s="473"/>
      <c r="BB13" s="473"/>
      <c r="BC13" s="473"/>
      <c r="BD13" s="473"/>
      <c r="BE13" s="473"/>
      <c r="BF13" s="473"/>
      <c r="BG13" s="473"/>
      <c r="BH13" s="473"/>
      <c r="BI13" s="473"/>
      <c r="BJ13" s="473"/>
      <c r="BK13" s="473"/>
    </row>
    <row r="14" spans="1:63" ht="21" customHeight="1">
      <c r="A14" s="227">
        <v>7</v>
      </c>
      <c r="B14" s="622" t="s">
        <v>537</v>
      </c>
      <c r="C14" s="623"/>
      <c r="D14" s="624"/>
      <c r="E14" s="461" t="s">
        <v>533</v>
      </c>
      <c r="F14" s="115">
        <v>1</v>
      </c>
      <c r="G14" s="622" t="s">
        <v>535</v>
      </c>
      <c r="H14" s="623"/>
      <c r="I14" s="623"/>
      <c r="J14" s="624"/>
      <c r="K14" s="392"/>
      <c r="L14" s="392" t="s">
        <v>536</v>
      </c>
      <c r="M14" s="392"/>
      <c r="N14" s="392"/>
      <c r="O14" s="393" t="s">
        <v>110</v>
      </c>
      <c r="P14" s="622" t="s">
        <v>537</v>
      </c>
      <c r="Q14" s="623"/>
      <c r="R14" s="624"/>
      <c r="S14" s="575"/>
      <c r="T14" s="127">
        <v>12</v>
      </c>
      <c r="U14" s="482">
        <f t="shared" si="1"/>
        <v>0</v>
      </c>
      <c r="V14" s="483">
        <f t="shared" si="0"/>
        <v>60000</v>
      </c>
      <c r="AK14" s="473"/>
      <c r="AL14" s="473"/>
      <c r="AM14" s="473" t="s">
        <v>48</v>
      </c>
      <c r="AN14" s="473"/>
      <c r="AO14" s="473"/>
      <c r="AP14" s="473"/>
      <c r="AQ14" s="473" t="s">
        <v>15</v>
      </c>
      <c r="AR14" s="473"/>
      <c r="AS14" s="473"/>
      <c r="AT14" s="473"/>
      <c r="AU14" s="473"/>
      <c r="AV14" s="473"/>
      <c r="AW14" s="473"/>
      <c r="AX14" s="473"/>
      <c r="AY14" s="473"/>
      <c r="AZ14" s="473"/>
      <c r="BA14" s="473"/>
      <c r="BB14" s="473"/>
      <c r="BC14" s="473"/>
      <c r="BD14" s="473"/>
      <c r="BE14" s="473"/>
      <c r="BF14" s="473"/>
      <c r="BG14" s="473"/>
      <c r="BH14" s="473"/>
      <c r="BI14" s="473"/>
      <c r="BJ14" s="473"/>
      <c r="BK14" s="473"/>
    </row>
    <row r="15" spans="1:63" ht="21" customHeight="1">
      <c r="A15" s="227">
        <v>8</v>
      </c>
      <c r="B15" s="622" t="s">
        <v>537</v>
      </c>
      <c r="C15" s="623"/>
      <c r="D15" s="624"/>
      <c r="E15" s="461" t="s">
        <v>533</v>
      </c>
      <c r="F15" s="115">
        <v>1</v>
      </c>
      <c r="G15" s="622" t="s">
        <v>535</v>
      </c>
      <c r="H15" s="623"/>
      <c r="I15" s="623"/>
      <c r="J15" s="624"/>
      <c r="K15" s="392" t="s">
        <v>536</v>
      </c>
      <c r="L15" s="392" t="s">
        <v>536</v>
      </c>
      <c r="M15" s="392"/>
      <c r="N15" s="392"/>
      <c r="O15" s="393" t="s">
        <v>110</v>
      </c>
      <c r="P15" s="622" t="s">
        <v>537</v>
      </c>
      <c r="Q15" s="623"/>
      <c r="R15" s="624"/>
      <c r="S15" s="575"/>
      <c r="T15" s="127">
        <v>12</v>
      </c>
      <c r="U15" s="482">
        <f t="shared" si="1"/>
        <v>60000</v>
      </c>
      <c r="V15" s="483">
        <f t="shared" si="0"/>
        <v>60000</v>
      </c>
      <c r="AK15" s="473"/>
      <c r="AL15" s="473"/>
      <c r="AM15" s="473"/>
      <c r="AN15" s="473"/>
      <c r="AO15" s="473"/>
      <c r="AP15" s="473"/>
      <c r="AQ15" s="473" t="s">
        <v>16</v>
      </c>
      <c r="AR15" s="473"/>
      <c r="AS15" s="473"/>
      <c r="AT15" s="473"/>
      <c r="AU15" s="473"/>
      <c r="AV15" s="473"/>
      <c r="AW15" s="473"/>
      <c r="AX15" s="473"/>
      <c r="AY15" s="473"/>
      <c r="AZ15" s="473"/>
      <c r="BA15" s="473"/>
      <c r="BB15" s="473"/>
      <c r="BC15" s="473"/>
      <c r="BD15" s="473"/>
      <c r="BE15" s="473"/>
      <c r="BF15" s="473"/>
      <c r="BG15" s="473"/>
      <c r="BH15" s="473"/>
      <c r="BI15" s="473"/>
      <c r="BJ15" s="473"/>
      <c r="BK15" s="473"/>
    </row>
    <row r="16" spans="1:63" ht="21" customHeight="1">
      <c r="A16" s="227">
        <v>9</v>
      </c>
      <c r="B16" s="622" t="s">
        <v>537</v>
      </c>
      <c r="C16" s="623"/>
      <c r="D16" s="624"/>
      <c r="E16" s="461" t="s">
        <v>533</v>
      </c>
      <c r="F16" s="115">
        <v>1</v>
      </c>
      <c r="G16" s="622" t="s">
        <v>535</v>
      </c>
      <c r="H16" s="623"/>
      <c r="I16" s="623"/>
      <c r="J16" s="624"/>
      <c r="K16" s="392"/>
      <c r="L16" s="392"/>
      <c r="M16" s="392"/>
      <c r="N16" s="392"/>
      <c r="O16" s="393" t="s">
        <v>110</v>
      </c>
      <c r="P16" s="622" t="s">
        <v>537</v>
      </c>
      <c r="Q16" s="623"/>
      <c r="R16" s="624"/>
      <c r="S16" s="575"/>
      <c r="T16" s="127">
        <v>4</v>
      </c>
      <c r="U16" s="482">
        <f t="shared" si="1"/>
        <v>0</v>
      </c>
      <c r="V16" s="483">
        <f t="shared" si="0"/>
        <v>0</v>
      </c>
      <c r="AK16" s="473"/>
      <c r="AL16" s="473"/>
      <c r="AM16" s="473"/>
      <c r="AN16" s="473"/>
      <c r="AO16" s="473"/>
      <c r="AP16" s="473"/>
      <c r="AQ16" s="473" t="s">
        <v>17</v>
      </c>
      <c r="AR16" s="473"/>
      <c r="AS16" s="473"/>
      <c r="AT16" s="473"/>
      <c r="AU16" s="473"/>
      <c r="AV16" s="473"/>
      <c r="AW16" s="473"/>
      <c r="AX16" s="473"/>
      <c r="AY16" s="473"/>
      <c r="AZ16" s="473"/>
      <c r="BA16" s="473"/>
      <c r="BB16" s="473"/>
      <c r="BC16" s="473"/>
      <c r="BD16" s="473"/>
      <c r="BE16" s="473"/>
      <c r="BF16" s="473"/>
      <c r="BG16" s="473"/>
      <c r="BH16" s="473"/>
      <c r="BI16" s="473"/>
      <c r="BJ16" s="473"/>
      <c r="BK16" s="473"/>
    </row>
    <row r="17" spans="1:63" ht="21" customHeight="1">
      <c r="A17" s="227">
        <v>10</v>
      </c>
      <c r="B17" s="622" t="s">
        <v>537</v>
      </c>
      <c r="C17" s="623"/>
      <c r="D17" s="624"/>
      <c r="E17" s="461" t="s">
        <v>533</v>
      </c>
      <c r="F17" s="115">
        <v>1</v>
      </c>
      <c r="G17" s="622" t="s">
        <v>535</v>
      </c>
      <c r="H17" s="623"/>
      <c r="I17" s="623"/>
      <c r="J17" s="624"/>
      <c r="K17" s="392"/>
      <c r="L17" s="392"/>
      <c r="M17" s="392"/>
      <c r="N17" s="392"/>
      <c r="O17" s="393" t="s">
        <v>110</v>
      </c>
      <c r="P17" s="622" t="s">
        <v>537</v>
      </c>
      <c r="Q17" s="623"/>
      <c r="R17" s="624"/>
      <c r="S17" s="575"/>
      <c r="T17" s="127">
        <v>12</v>
      </c>
      <c r="U17" s="482">
        <f t="shared" si="1"/>
        <v>0</v>
      </c>
      <c r="V17" s="483">
        <f t="shared" si="0"/>
        <v>0</v>
      </c>
      <c r="AK17" s="473"/>
      <c r="AL17" s="473"/>
      <c r="AM17" s="473"/>
      <c r="AN17" s="473"/>
      <c r="AO17" s="473"/>
      <c r="AP17" s="473"/>
      <c r="AQ17" s="473" t="s">
        <v>18</v>
      </c>
      <c r="AR17" s="473"/>
      <c r="AS17" s="473"/>
      <c r="AT17" s="473"/>
      <c r="AU17" s="473"/>
      <c r="AV17" s="473"/>
      <c r="AW17" s="473"/>
      <c r="AX17" s="473"/>
      <c r="AY17" s="473"/>
      <c r="AZ17" s="473"/>
      <c r="BA17" s="473"/>
      <c r="BB17" s="473"/>
      <c r="BC17" s="473"/>
      <c r="BD17" s="473"/>
      <c r="BE17" s="473"/>
      <c r="BF17" s="473"/>
      <c r="BG17" s="473"/>
      <c r="BH17" s="473"/>
      <c r="BI17" s="473"/>
      <c r="BJ17" s="473"/>
      <c r="BK17" s="473"/>
    </row>
    <row r="18" spans="1:63" ht="21" customHeight="1">
      <c r="A18" s="227">
        <v>11</v>
      </c>
      <c r="B18" s="622" t="s">
        <v>537</v>
      </c>
      <c r="C18" s="623"/>
      <c r="D18" s="624"/>
      <c r="E18" s="461" t="s">
        <v>533</v>
      </c>
      <c r="F18" s="115">
        <v>1</v>
      </c>
      <c r="G18" s="622" t="s">
        <v>535</v>
      </c>
      <c r="H18" s="623"/>
      <c r="I18" s="623"/>
      <c r="J18" s="624"/>
      <c r="K18" s="392"/>
      <c r="L18" s="392"/>
      <c r="M18" s="392"/>
      <c r="N18" s="392"/>
      <c r="O18" s="393" t="s">
        <v>110</v>
      </c>
      <c r="P18" s="622" t="s">
        <v>537</v>
      </c>
      <c r="Q18" s="623"/>
      <c r="R18" s="624"/>
      <c r="S18" s="575"/>
      <c r="T18" s="127">
        <v>12</v>
      </c>
      <c r="U18" s="482">
        <f t="shared" si="1"/>
        <v>0</v>
      </c>
      <c r="V18" s="483">
        <f t="shared" si="0"/>
        <v>0</v>
      </c>
      <c r="AK18" s="473"/>
      <c r="AL18" s="473"/>
      <c r="AM18" s="473"/>
      <c r="AN18" s="473"/>
      <c r="AO18" s="473"/>
      <c r="AP18" s="473"/>
      <c r="AQ18" s="473" t="s">
        <v>19</v>
      </c>
      <c r="AR18" s="473"/>
      <c r="AS18" s="473"/>
      <c r="AT18" s="473"/>
      <c r="AU18" s="473"/>
      <c r="AV18" s="473"/>
      <c r="AW18" s="473"/>
      <c r="AX18" s="473"/>
      <c r="AY18" s="473"/>
      <c r="AZ18" s="473"/>
      <c r="BA18" s="473"/>
      <c r="BB18" s="473"/>
      <c r="BC18" s="473"/>
      <c r="BD18" s="473"/>
      <c r="BE18" s="473"/>
      <c r="BF18" s="473"/>
      <c r="BG18" s="473"/>
      <c r="BH18" s="473"/>
      <c r="BI18" s="473"/>
      <c r="BJ18" s="473"/>
      <c r="BK18" s="473"/>
    </row>
    <row r="19" spans="1:63" ht="21" customHeight="1">
      <c r="A19" s="227">
        <v>12</v>
      </c>
      <c r="B19" s="622" t="s">
        <v>537</v>
      </c>
      <c r="C19" s="623"/>
      <c r="D19" s="624"/>
      <c r="E19" s="461" t="s">
        <v>533</v>
      </c>
      <c r="F19" s="115">
        <v>1</v>
      </c>
      <c r="G19" s="622" t="s">
        <v>535</v>
      </c>
      <c r="H19" s="623"/>
      <c r="I19" s="623"/>
      <c r="J19" s="624"/>
      <c r="K19" s="392" t="s">
        <v>536</v>
      </c>
      <c r="L19" s="392"/>
      <c r="M19" s="392"/>
      <c r="N19" s="392"/>
      <c r="O19" s="393" t="s">
        <v>110</v>
      </c>
      <c r="P19" s="622" t="s">
        <v>537</v>
      </c>
      <c r="Q19" s="623"/>
      <c r="R19" s="624"/>
      <c r="S19" s="575"/>
      <c r="T19" s="127">
        <v>12</v>
      </c>
      <c r="U19" s="482">
        <f t="shared" si="1"/>
        <v>60000</v>
      </c>
      <c r="V19" s="483">
        <f t="shared" si="0"/>
        <v>0</v>
      </c>
      <c r="AK19" s="473"/>
      <c r="AL19" s="473"/>
      <c r="AM19" s="473"/>
      <c r="AN19" s="473"/>
      <c r="AO19" s="473"/>
      <c r="AP19" s="473"/>
      <c r="AQ19" s="473" t="s">
        <v>20</v>
      </c>
      <c r="AR19" s="473"/>
      <c r="AS19" s="473"/>
      <c r="AT19" s="473"/>
      <c r="AU19" s="473"/>
      <c r="AV19" s="473"/>
      <c r="AW19" s="473"/>
      <c r="AX19" s="473"/>
      <c r="AY19" s="473"/>
      <c r="AZ19" s="473"/>
      <c r="BA19" s="473"/>
      <c r="BB19" s="473"/>
      <c r="BC19" s="473"/>
      <c r="BD19" s="473"/>
      <c r="BE19" s="473"/>
      <c r="BF19" s="473"/>
      <c r="BG19" s="473"/>
      <c r="BH19" s="473"/>
      <c r="BI19" s="473"/>
      <c r="BJ19" s="473"/>
      <c r="BK19" s="473"/>
    </row>
    <row r="20" spans="1:63" ht="21" customHeight="1">
      <c r="A20" s="227">
        <v>13</v>
      </c>
      <c r="B20" s="622" t="s">
        <v>537</v>
      </c>
      <c r="C20" s="623"/>
      <c r="D20" s="624"/>
      <c r="E20" s="461" t="s">
        <v>533</v>
      </c>
      <c r="F20" s="115">
        <v>1</v>
      </c>
      <c r="G20" s="622" t="s">
        <v>535</v>
      </c>
      <c r="H20" s="623"/>
      <c r="I20" s="623"/>
      <c r="J20" s="624"/>
      <c r="K20" s="392"/>
      <c r="L20" s="392"/>
      <c r="M20" s="392"/>
      <c r="N20" s="392" t="s">
        <v>536</v>
      </c>
      <c r="O20" s="393" t="s">
        <v>110</v>
      </c>
      <c r="P20" s="622" t="s">
        <v>537</v>
      </c>
      <c r="Q20" s="623"/>
      <c r="R20" s="624"/>
      <c r="S20" s="575"/>
      <c r="T20" s="127">
        <v>2</v>
      </c>
      <c r="U20" s="482">
        <f t="shared" si="1"/>
        <v>0</v>
      </c>
      <c r="V20" s="483">
        <f t="shared" si="0"/>
        <v>0</v>
      </c>
      <c r="AK20" s="473"/>
      <c r="AL20" s="473"/>
      <c r="AM20" s="473"/>
      <c r="AN20" s="473"/>
      <c r="AO20" s="473"/>
      <c r="AP20" s="473"/>
      <c r="AQ20" s="473" t="s">
        <v>21</v>
      </c>
      <c r="AR20" s="473"/>
      <c r="AS20" s="473"/>
      <c r="AT20" s="473"/>
      <c r="AU20" s="473"/>
      <c r="AV20" s="473"/>
      <c r="AW20" s="473"/>
      <c r="AX20" s="473"/>
      <c r="AY20" s="473"/>
      <c r="AZ20" s="473"/>
      <c r="BA20" s="473"/>
      <c r="BB20" s="473"/>
      <c r="BC20" s="473"/>
      <c r="BD20" s="473"/>
      <c r="BE20" s="473"/>
      <c r="BF20" s="473"/>
      <c r="BG20" s="473"/>
      <c r="BH20" s="473"/>
      <c r="BI20" s="473"/>
      <c r="BJ20" s="473"/>
      <c r="BK20" s="473"/>
    </row>
    <row r="21" spans="1:63" ht="21" customHeight="1">
      <c r="A21" s="227">
        <v>14</v>
      </c>
      <c r="B21" s="622" t="s">
        <v>537</v>
      </c>
      <c r="C21" s="623"/>
      <c r="D21" s="624"/>
      <c r="E21" s="461" t="s">
        <v>533</v>
      </c>
      <c r="F21" s="115">
        <v>1</v>
      </c>
      <c r="G21" s="622" t="s">
        <v>535</v>
      </c>
      <c r="H21" s="623"/>
      <c r="I21" s="623"/>
      <c r="J21" s="624"/>
      <c r="K21" s="392"/>
      <c r="L21" s="392"/>
      <c r="M21" s="392"/>
      <c r="N21" s="392"/>
      <c r="O21" s="393" t="s">
        <v>108</v>
      </c>
      <c r="P21" s="622" t="s">
        <v>537</v>
      </c>
      <c r="Q21" s="623"/>
      <c r="R21" s="624"/>
      <c r="S21" s="575"/>
      <c r="T21" s="127">
        <v>12</v>
      </c>
      <c r="U21" s="482">
        <f t="shared" si="1"/>
        <v>0</v>
      </c>
      <c r="V21" s="483">
        <f t="shared" si="0"/>
        <v>0</v>
      </c>
      <c r="AK21" s="473"/>
      <c r="AL21" s="473"/>
      <c r="AM21" s="473"/>
      <c r="AN21" s="473"/>
      <c r="AO21" s="473"/>
      <c r="AP21" s="473"/>
      <c r="AQ21" s="473"/>
      <c r="AR21" s="473"/>
      <c r="AS21" s="473"/>
      <c r="AT21" s="473"/>
      <c r="AU21" s="473"/>
      <c r="AV21" s="473"/>
      <c r="AW21" s="473"/>
      <c r="AX21" s="473"/>
      <c r="AY21" s="473"/>
      <c r="AZ21" s="473"/>
      <c r="BA21" s="473"/>
      <c r="BB21" s="473"/>
      <c r="BC21" s="473"/>
      <c r="BD21" s="473"/>
      <c r="BE21" s="473"/>
      <c r="BF21" s="473"/>
      <c r="BG21" s="473"/>
      <c r="BH21" s="473"/>
      <c r="BI21" s="473"/>
      <c r="BJ21" s="473"/>
      <c r="BK21" s="473"/>
    </row>
    <row r="22" spans="1:63" ht="21" customHeight="1">
      <c r="A22" s="227">
        <v>15</v>
      </c>
      <c r="B22" s="622" t="s">
        <v>537</v>
      </c>
      <c r="C22" s="623"/>
      <c r="D22" s="624"/>
      <c r="E22" s="461" t="s">
        <v>533</v>
      </c>
      <c r="F22" s="115">
        <v>1</v>
      </c>
      <c r="G22" s="622" t="s">
        <v>535</v>
      </c>
      <c r="H22" s="623"/>
      <c r="I22" s="623"/>
      <c r="J22" s="624"/>
      <c r="K22" s="392"/>
      <c r="L22" s="392"/>
      <c r="M22" s="392"/>
      <c r="N22" s="392"/>
      <c r="O22" s="393" t="s">
        <v>110</v>
      </c>
      <c r="P22" s="622" t="s">
        <v>537</v>
      </c>
      <c r="Q22" s="623"/>
      <c r="R22" s="624"/>
      <c r="S22" s="575"/>
      <c r="T22" s="127">
        <v>12</v>
      </c>
      <c r="U22" s="482">
        <f t="shared" si="1"/>
        <v>0</v>
      </c>
      <c r="V22" s="483">
        <f t="shared" si="0"/>
        <v>0</v>
      </c>
      <c r="AK22" s="473"/>
      <c r="AL22" s="473"/>
      <c r="AM22" s="473"/>
      <c r="AN22" s="473"/>
      <c r="AO22" s="473"/>
      <c r="AP22" s="473"/>
      <c r="AQ22" s="473"/>
      <c r="AR22" s="473"/>
      <c r="AS22" s="473"/>
      <c r="AT22" s="473"/>
      <c r="AU22" s="473"/>
      <c r="AV22" s="473"/>
      <c r="AW22" s="473"/>
      <c r="AX22" s="473"/>
      <c r="AY22" s="473"/>
      <c r="AZ22" s="473"/>
      <c r="BA22" s="473"/>
      <c r="BB22" s="473"/>
      <c r="BC22" s="473"/>
      <c r="BD22" s="473"/>
      <c r="BE22" s="473"/>
      <c r="BF22" s="473"/>
      <c r="BG22" s="473"/>
      <c r="BH22" s="473"/>
      <c r="BI22" s="473"/>
      <c r="BJ22" s="473"/>
      <c r="BK22" s="473"/>
    </row>
    <row r="23" spans="1:63" ht="21" customHeight="1">
      <c r="A23" s="227">
        <v>16</v>
      </c>
      <c r="B23" s="622" t="s">
        <v>537</v>
      </c>
      <c r="C23" s="623"/>
      <c r="D23" s="624"/>
      <c r="E23" s="461" t="s">
        <v>533</v>
      </c>
      <c r="F23" s="115">
        <v>1</v>
      </c>
      <c r="G23" s="622" t="s">
        <v>535</v>
      </c>
      <c r="H23" s="623"/>
      <c r="I23" s="623"/>
      <c r="J23" s="624"/>
      <c r="K23" s="392"/>
      <c r="L23" s="392"/>
      <c r="M23" s="392"/>
      <c r="N23" s="392"/>
      <c r="O23" s="393" t="s">
        <v>110</v>
      </c>
      <c r="P23" s="622" t="s">
        <v>537</v>
      </c>
      <c r="Q23" s="623"/>
      <c r="R23" s="624"/>
      <c r="S23" s="575"/>
      <c r="T23" s="127">
        <v>6</v>
      </c>
      <c r="U23" s="482">
        <f t="shared" si="1"/>
        <v>0</v>
      </c>
      <c r="V23" s="483">
        <f t="shared" si="0"/>
        <v>0</v>
      </c>
    </row>
    <row r="24" spans="1:63" ht="21" customHeight="1">
      <c r="A24" s="227">
        <v>17</v>
      </c>
      <c r="B24" s="622" t="s">
        <v>537</v>
      </c>
      <c r="C24" s="623"/>
      <c r="D24" s="624"/>
      <c r="E24" s="461" t="s">
        <v>533</v>
      </c>
      <c r="F24" s="115">
        <v>1</v>
      </c>
      <c r="G24" s="622" t="s">
        <v>535</v>
      </c>
      <c r="H24" s="623"/>
      <c r="I24" s="623"/>
      <c r="J24" s="624"/>
      <c r="K24" s="392"/>
      <c r="L24" s="392"/>
      <c r="M24" s="392"/>
      <c r="N24" s="392"/>
      <c r="O24" s="393" t="s">
        <v>110</v>
      </c>
      <c r="P24" s="622" t="s">
        <v>537</v>
      </c>
      <c r="Q24" s="623"/>
      <c r="R24" s="624"/>
      <c r="S24" s="575"/>
      <c r="T24" s="127">
        <v>12</v>
      </c>
      <c r="U24" s="482">
        <f t="shared" si="1"/>
        <v>0</v>
      </c>
      <c r="V24" s="483">
        <f t="shared" si="0"/>
        <v>0</v>
      </c>
    </row>
    <row r="25" spans="1:63" ht="21" customHeight="1">
      <c r="A25" s="227">
        <v>18</v>
      </c>
      <c r="B25" s="622" t="s">
        <v>537</v>
      </c>
      <c r="C25" s="623"/>
      <c r="D25" s="624"/>
      <c r="E25" s="461" t="s">
        <v>533</v>
      </c>
      <c r="F25" s="115">
        <v>2</v>
      </c>
      <c r="G25" s="622" t="s">
        <v>535</v>
      </c>
      <c r="H25" s="623"/>
      <c r="I25" s="623"/>
      <c r="J25" s="624"/>
      <c r="K25" s="392"/>
      <c r="L25" s="392"/>
      <c r="M25" s="392"/>
      <c r="N25" s="392"/>
      <c r="O25" s="393" t="s">
        <v>110</v>
      </c>
      <c r="P25" s="622" t="s">
        <v>537</v>
      </c>
      <c r="Q25" s="623"/>
      <c r="R25" s="624"/>
      <c r="S25" s="575"/>
      <c r="T25" s="127">
        <v>12</v>
      </c>
      <c r="U25" s="482">
        <f t="shared" si="1"/>
        <v>0</v>
      </c>
      <c r="V25" s="483">
        <f t="shared" si="0"/>
        <v>0</v>
      </c>
    </row>
    <row r="26" spans="1:63" ht="21" customHeight="1">
      <c r="A26" s="227">
        <v>19</v>
      </c>
      <c r="B26" s="622" t="s">
        <v>537</v>
      </c>
      <c r="C26" s="623"/>
      <c r="D26" s="624"/>
      <c r="E26" s="461" t="s">
        <v>533</v>
      </c>
      <c r="F26" s="115">
        <v>2</v>
      </c>
      <c r="G26" s="622" t="s">
        <v>535</v>
      </c>
      <c r="H26" s="623"/>
      <c r="I26" s="623"/>
      <c r="J26" s="624"/>
      <c r="K26" s="392"/>
      <c r="L26" s="392" t="s">
        <v>536</v>
      </c>
      <c r="M26" s="392"/>
      <c r="N26" s="392"/>
      <c r="O26" s="393" t="s">
        <v>110</v>
      </c>
      <c r="P26" s="622" t="s">
        <v>537</v>
      </c>
      <c r="Q26" s="623"/>
      <c r="R26" s="624"/>
      <c r="S26" s="575"/>
      <c r="T26" s="127">
        <v>12</v>
      </c>
      <c r="U26" s="482">
        <f t="shared" si="1"/>
        <v>0</v>
      </c>
      <c r="V26" s="483">
        <f t="shared" si="0"/>
        <v>60000</v>
      </c>
    </row>
    <row r="27" spans="1:63" ht="21" customHeight="1">
      <c r="A27" s="227">
        <v>20</v>
      </c>
      <c r="B27" s="622" t="s">
        <v>537</v>
      </c>
      <c r="C27" s="623"/>
      <c r="D27" s="624"/>
      <c r="E27" s="461" t="s">
        <v>533</v>
      </c>
      <c r="F27" s="115">
        <v>2</v>
      </c>
      <c r="G27" s="622" t="s">
        <v>535</v>
      </c>
      <c r="H27" s="623"/>
      <c r="I27" s="623"/>
      <c r="J27" s="624"/>
      <c r="K27" s="392"/>
      <c r="L27" s="392"/>
      <c r="M27" s="392"/>
      <c r="N27" s="392"/>
      <c r="O27" s="393" t="s">
        <v>108</v>
      </c>
      <c r="P27" s="622" t="s">
        <v>537</v>
      </c>
      <c r="Q27" s="623"/>
      <c r="R27" s="624"/>
      <c r="S27" s="575"/>
      <c r="T27" s="127">
        <v>12</v>
      </c>
      <c r="U27" s="482">
        <f t="shared" si="1"/>
        <v>0</v>
      </c>
      <c r="V27" s="483">
        <f t="shared" si="0"/>
        <v>0</v>
      </c>
    </row>
    <row r="28" spans="1:63" ht="21" customHeight="1">
      <c r="A28" s="227">
        <v>21</v>
      </c>
      <c r="B28" s="622" t="s">
        <v>537</v>
      </c>
      <c r="C28" s="623"/>
      <c r="D28" s="624"/>
      <c r="E28" s="461" t="s">
        <v>533</v>
      </c>
      <c r="F28" s="115">
        <v>2</v>
      </c>
      <c r="G28" s="622" t="s">
        <v>535</v>
      </c>
      <c r="H28" s="623"/>
      <c r="I28" s="623"/>
      <c r="J28" s="624"/>
      <c r="K28" s="392"/>
      <c r="L28" s="392"/>
      <c r="M28" s="392"/>
      <c r="N28" s="392"/>
      <c r="O28" s="393" t="s">
        <v>110</v>
      </c>
      <c r="P28" s="622" t="s">
        <v>537</v>
      </c>
      <c r="Q28" s="623"/>
      <c r="R28" s="624"/>
      <c r="S28" s="575"/>
      <c r="T28" s="127">
        <v>12</v>
      </c>
      <c r="U28" s="482">
        <f t="shared" si="1"/>
        <v>0</v>
      </c>
      <c r="V28" s="483">
        <f t="shared" si="0"/>
        <v>0</v>
      </c>
    </row>
    <row r="29" spans="1:63" ht="21" customHeight="1">
      <c r="A29" s="227">
        <v>22</v>
      </c>
      <c r="B29" s="622" t="s">
        <v>537</v>
      </c>
      <c r="C29" s="623"/>
      <c r="D29" s="624"/>
      <c r="E29" s="461" t="s">
        <v>533</v>
      </c>
      <c r="F29" s="115">
        <v>2</v>
      </c>
      <c r="G29" s="622" t="s">
        <v>535</v>
      </c>
      <c r="H29" s="623"/>
      <c r="I29" s="623"/>
      <c r="J29" s="624"/>
      <c r="K29" s="392"/>
      <c r="L29" s="392"/>
      <c r="M29" s="392" t="s">
        <v>536</v>
      </c>
      <c r="N29" s="392"/>
      <c r="O29" s="393" t="s">
        <v>108</v>
      </c>
      <c r="P29" s="622" t="s">
        <v>537</v>
      </c>
      <c r="Q29" s="623"/>
      <c r="R29" s="624"/>
      <c r="S29" s="575"/>
      <c r="T29" s="127">
        <v>12</v>
      </c>
      <c r="U29" s="482">
        <f t="shared" si="1"/>
        <v>0</v>
      </c>
      <c r="V29" s="483">
        <f t="shared" si="0"/>
        <v>0</v>
      </c>
    </row>
    <row r="30" spans="1:63" ht="21" customHeight="1">
      <c r="A30" s="227">
        <v>23</v>
      </c>
      <c r="B30" s="622" t="s">
        <v>537</v>
      </c>
      <c r="C30" s="623"/>
      <c r="D30" s="624"/>
      <c r="E30" s="461" t="s">
        <v>533</v>
      </c>
      <c r="F30" s="115">
        <v>2</v>
      </c>
      <c r="G30" s="622" t="s">
        <v>535</v>
      </c>
      <c r="H30" s="623"/>
      <c r="I30" s="623"/>
      <c r="J30" s="624"/>
      <c r="K30" s="392"/>
      <c r="L30" s="392" t="s">
        <v>536</v>
      </c>
      <c r="M30" s="392"/>
      <c r="N30" s="392"/>
      <c r="O30" s="393" t="s">
        <v>108</v>
      </c>
      <c r="P30" s="622" t="s">
        <v>537</v>
      </c>
      <c r="Q30" s="623"/>
      <c r="R30" s="624"/>
      <c r="S30" s="575"/>
      <c r="T30" s="127">
        <v>12</v>
      </c>
      <c r="U30" s="482">
        <f t="shared" si="1"/>
        <v>0</v>
      </c>
      <c r="V30" s="483">
        <v>30000</v>
      </c>
    </row>
    <row r="31" spans="1:63" ht="21" customHeight="1">
      <c r="A31" s="227">
        <v>24</v>
      </c>
      <c r="B31" s="622" t="s">
        <v>537</v>
      </c>
      <c r="C31" s="623"/>
      <c r="D31" s="624"/>
      <c r="E31" s="461" t="s">
        <v>533</v>
      </c>
      <c r="F31" s="115">
        <v>2</v>
      </c>
      <c r="G31" s="622" t="s">
        <v>535</v>
      </c>
      <c r="H31" s="623"/>
      <c r="I31" s="623"/>
      <c r="J31" s="624"/>
      <c r="K31" s="392"/>
      <c r="L31" s="392"/>
      <c r="M31" s="392"/>
      <c r="N31" s="392"/>
      <c r="O31" s="393" t="s">
        <v>110</v>
      </c>
      <c r="P31" s="622" t="s">
        <v>537</v>
      </c>
      <c r="Q31" s="623"/>
      <c r="R31" s="624"/>
      <c r="S31" s="575"/>
      <c r="T31" s="127">
        <v>12</v>
      </c>
      <c r="U31" s="482">
        <f t="shared" si="1"/>
        <v>0</v>
      </c>
      <c r="V31" s="483">
        <f t="shared" si="0"/>
        <v>0</v>
      </c>
    </row>
    <row r="32" spans="1:63" ht="21" customHeight="1">
      <c r="A32" s="227">
        <v>25</v>
      </c>
      <c r="B32" s="622" t="s">
        <v>537</v>
      </c>
      <c r="C32" s="623"/>
      <c r="D32" s="624"/>
      <c r="E32" s="461" t="s">
        <v>533</v>
      </c>
      <c r="F32" s="115">
        <v>2</v>
      </c>
      <c r="G32" s="622" t="s">
        <v>535</v>
      </c>
      <c r="H32" s="623"/>
      <c r="I32" s="623"/>
      <c r="J32" s="624"/>
      <c r="K32" s="392"/>
      <c r="L32" s="392"/>
      <c r="M32" s="392"/>
      <c r="N32" s="392"/>
      <c r="O32" s="393" t="s">
        <v>110</v>
      </c>
      <c r="P32" s="622" t="s">
        <v>537</v>
      </c>
      <c r="Q32" s="623"/>
      <c r="R32" s="624"/>
      <c r="S32" s="575"/>
      <c r="T32" s="127">
        <v>12</v>
      </c>
      <c r="U32" s="482">
        <f t="shared" si="1"/>
        <v>0</v>
      </c>
      <c r="V32" s="483">
        <f t="shared" si="0"/>
        <v>0</v>
      </c>
    </row>
    <row r="33" spans="1:22" ht="21" customHeight="1">
      <c r="A33" s="227">
        <v>26</v>
      </c>
      <c r="B33" s="622" t="s">
        <v>537</v>
      </c>
      <c r="C33" s="623"/>
      <c r="D33" s="624"/>
      <c r="E33" s="461" t="s">
        <v>533</v>
      </c>
      <c r="F33" s="115">
        <v>2</v>
      </c>
      <c r="G33" s="622" t="s">
        <v>535</v>
      </c>
      <c r="H33" s="623"/>
      <c r="I33" s="623"/>
      <c r="J33" s="624"/>
      <c r="K33" s="392"/>
      <c r="L33" s="392"/>
      <c r="M33" s="392"/>
      <c r="N33" s="392"/>
      <c r="O33" s="393" t="s">
        <v>110</v>
      </c>
      <c r="P33" s="622" t="s">
        <v>537</v>
      </c>
      <c r="Q33" s="623"/>
      <c r="R33" s="624"/>
      <c r="S33" s="575"/>
      <c r="T33" s="127">
        <v>12</v>
      </c>
      <c r="U33" s="482">
        <f t="shared" si="1"/>
        <v>0</v>
      </c>
      <c r="V33" s="483">
        <f t="shared" si="0"/>
        <v>0</v>
      </c>
    </row>
    <row r="34" spans="1:22" ht="21" customHeight="1">
      <c r="A34" s="227">
        <v>27</v>
      </c>
      <c r="B34" s="622" t="s">
        <v>537</v>
      </c>
      <c r="C34" s="623"/>
      <c r="D34" s="624"/>
      <c r="E34" s="461" t="s">
        <v>533</v>
      </c>
      <c r="F34" s="115">
        <v>2</v>
      </c>
      <c r="G34" s="622" t="s">
        <v>535</v>
      </c>
      <c r="H34" s="623"/>
      <c r="I34" s="623"/>
      <c r="J34" s="624"/>
      <c r="K34" s="392"/>
      <c r="L34" s="392"/>
      <c r="M34" s="392"/>
      <c r="N34" s="392"/>
      <c r="O34" s="393" t="s">
        <v>110</v>
      </c>
      <c r="P34" s="622" t="s">
        <v>537</v>
      </c>
      <c r="Q34" s="623"/>
      <c r="R34" s="624"/>
      <c r="S34" s="575"/>
      <c r="T34" s="127">
        <v>12</v>
      </c>
      <c r="U34" s="482">
        <f t="shared" si="1"/>
        <v>0</v>
      </c>
      <c r="V34" s="483">
        <f t="shared" si="0"/>
        <v>0</v>
      </c>
    </row>
    <row r="35" spans="1:22" ht="21" customHeight="1">
      <c r="A35" s="227">
        <v>28</v>
      </c>
      <c r="B35" s="622" t="s">
        <v>537</v>
      </c>
      <c r="C35" s="623"/>
      <c r="D35" s="624"/>
      <c r="E35" s="461" t="s">
        <v>533</v>
      </c>
      <c r="F35" s="115">
        <v>2</v>
      </c>
      <c r="G35" s="622" t="s">
        <v>535</v>
      </c>
      <c r="H35" s="623"/>
      <c r="I35" s="623"/>
      <c r="J35" s="624"/>
      <c r="K35" s="392" t="s">
        <v>536</v>
      </c>
      <c r="L35" s="392"/>
      <c r="M35" s="392"/>
      <c r="N35" s="392"/>
      <c r="O35" s="393" t="s">
        <v>112</v>
      </c>
      <c r="P35" s="622" t="s">
        <v>537</v>
      </c>
      <c r="Q35" s="623"/>
      <c r="R35" s="624"/>
      <c r="S35" s="575"/>
      <c r="T35" s="127">
        <v>4</v>
      </c>
      <c r="U35" s="482">
        <f t="shared" si="1"/>
        <v>20000</v>
      </c>
      <c r="V35" s="483">
        <f t="shared" si="0"/>
        <v>0</v>
      </c>
    </row>
    <row r="36" spans="1:22" ht="21" customHeight="1">
      <c r="A36" s="227">
        <v>29</v>
      </c>
      <c r="B36" s="622" t="s">
        <v>537</v>
      </c>
      <c r="C36" s="623"/>
      <c r="D36" s="624"/>
      <c r="E36" s="461" t="s">
        <v>533</v>
      </c>
      <c r="F36" s="115">
        <v>3</v>
      </c>
      <c r="G36" s="622" t="s">
        <v>535</v>
      </c>
      <c r="H36" s="623"/>
      <c r="I36" s="623"/>
      <c r="J36" s="624"/>
      <c r="K36" s="392"/>
      <c r="L36" s="392"/>
      <c r="M36" s="392"/>
      <c r="N36" s="392"/>
      <c r="O36" s="393" t="s">
        <v>110</v>
      </c>
      <c r="P36" s="622" t="s">
        <v>537</v>
      </c>
      <c r="Q36" s="623"/>
      <c r="R36" s="624"/>
      <c r="S36" s="575"/>
      <c r="T36" s="127">
        <v>12</v>
      </c>
      <c r="U36" s="482">
        <f t="shared" si="1"/>
        <v>0</v>
      </c>
      <c r="V36" s="483">
        <f t="shared" si="0"/>
        <v>0</v>
      </c>
    </row>
    <row r="37" spans="1:22" ht="21" customHeight="1">
      <c r="A37" s="227">
        <v>30</v>
      </c>
      <c r="B37" s="622" t="s">
        <v>537</v>
      </c>
      <c r="C37" s="623"/>
      <c r="D37" s="624"/>
      <c r="E37" s="461" t="s">
        <v>533</v>
      </c>
      <c r="F37" s="115">
        <v>3</v>
      </c>
      <c r="G37" s="622" t="s">
        <v>535</v>
      </c>
      <c r="H37" s="623"/>
      <c r="I37" s="623"/>
      <c r="J37" s="624"/>
      <c r="K37" s="392"/>
      <c r="L37" s="392"/>
      <c r="M37" s="392"/>
      <c r="N37" s="392"/>
      <c r="O37" s="393" t="s">
        <v>110</v>
      </c>
      <c r="P37" s="622" t="s">
        <v>537</v>
      </c>
      <c r="Q37" s="623"/>
      <c r="R37" s="624"/>
      <c r="S37" s="575"/>
      <c r="T37" s="127">
        <v>12</v>
      </c>
      <c r="U37" s="482">
        <f t="shared" si="1"/>
        <v>0</v>
      </c>
      <c r="V37" s="483">
        <f t="shared" si="0"/>
        <v>0</v>
      </c>
    </row>
    <row r="38" spans="1:22" ht="21" customHeight="1">
      <c r="A38" s="227">
        <v>31</v>
      </c>
      <c r="B38" s="622" t="s">
        <v>537</v>
      </c>
      <c r="C38" s="623"/>
      <c r="D38" s="624"/>
      <c r="E38" s="461" t="s">
        <v>533</v>
      </c>
      <c r="F38" s="115">
        <v>3</v>
      </c>
      <c r="G38" s="622" t="s">
        <v>535</v>
      </c>
      <c r="H38" s="623"/>
      <c r="I38" s="623"/>
      <c r="J38" s="624"/>
      <c r="K38" s="392"/>
      <c r="L38" s="392"/>
      <c r="M38" s="392"/>
      <c r="N38" s="392"/>
      <c r="O38" s="393" t="s">
        <v>110</v>
      </c>
      <c r="P38" s="622" t="s">
        <v>537</v>
      </c>
      <c r="Q38" s="623"/>
      <c r="R38" s="624"/>
      <c r="S38" s="575"/>
      <c r="T38" s="127">
        <v>12</v>
      </c>
      <c r="U38" s="482">
        <f t="shared" si="1"/>
        <v>0</v>
      </c>
      <c r="V38" s="483">
        <f t="shared" si="0"/>
        <v>0</v>
      </c>
    </row>
    <row r="39" spans="1:22" ht="21" customHeight="1">
      <c r="A39" s="227">
        <v>32</v>
      </c>
      <c r="B39" s="622" t="s">
        <v>537</v>
      </c>
      <c r="C39" s="623"/>
      <c r="D39" s="624"/>
      <c r="E39" s="461" t="s">
        <v>533</v>
      </c>
      <c r="F39" s="115">
        <v>3</v>
      </c>
      <c r="G39" s="622" t="s">
        <v>535</v>
      </c>
      <c r="H39" s="623"/>
      <c r="I39" s="623"/>
      <c r="J39" s="624"/>
      <c r="K39" s="392"/>
      <c r="L39" s="392"/>
      <c r="M39" s="392" t="s">
        <v>536</v>
      </c>
      <c r="N39" s="392"/>
      <c r="O39" s="393" t="s">
        <v>110</v>
      </c>
      <c r="P39" s="622" t="s">
        <v>537</v>
      </c>
      <c r="Q39" s="623"/>
      <c r="R39" s="624"/>
      <c r="S39" s="575"/>
      <c r="T39" s="127">
        <v>5</v>
      </c>
      <c r="U39" s="482">
        <f t="shared" si="1"/>
        <v>0</v>
      </c>
      <c r="V39" s="483">
        <f t="shared" si="0"/>
        <v>0</v>
      </c>
    </row>
    <row r="40" spans="1:22" ht="21" customHeight="1">
      <c r="A40" s="227">
        <v>33</v>
      </c>
      <c r="B40" s="622" t="s">
        <v>537</v>
      </c>
      <c r="C40" s="623"/>
      <c r="D40" s="624"/>
      <c r="E40" s="461" t="s">
        <v>533</v>
      </c>
      <c r="F40" s="115">
        <v>3</v>
      </c>
      <c r="G40" s="622" t="s">
        <v>535</v>
      </c>
      <c r="H40" s="623"/>
      <c r="I40" s="623"/>
      <c r="J40" s="624"/>
      <c r="K40" s="392"/>
      <c r="L40" s="392"/>
      <c r="M40" s="392"/>
      <c r="N40" s="392"/>
      <c r="O40" s="393" t="s">
        <v>110</v>
      </c>
      <c r="P40" s="622" t="s">
        <v>537</v>
      </c>
      <c r="Q40" s="623"/>
      <c r="R40" s="624"/>
      <c r="S40" s="575"/>
      <c r="T40" s="127">
        <v>5</v>
      </c>
      <c r="U40" s="482">
        <f t="shared" si="1"/>
        <v>0</v>
      </c>
      <c r="V40" s="483">
        <f t="shared" si="0"/>
        <v>0</v>
      </c>
    </row>
    <row r="41" spans="1:22" ht="21" customHeight="1">
      <c r="A41" s="227">
        <v>34</v>
      </c>
      <c r="B41" s="622" t="s">
        <v>537</v>
      </c>
      <c r="C41" s="623"/>
      <c r="D41" s="624"/>
      <c r="E41" s="461" t="s">
        <v>533</v>
      </c>
      <c r="F41" s="115">
        <v>3</v>
      </c>
      <c r="G41" s="622" t="s">
        <v>535</v>
      </c>
      <c r="H41" s="623"/>
      <c r="I41" s="623"/>
      <c r="J41" s="624"/>
      <c r="K41" s="392"/>
      <c r="L41" s="392"/>
      <c r="M41" s="392"/>
      <c r="N41" s="392"/>
      <c r="O41" s="393" t="s">
        <v>113</v>
      </c>
      <c r="P41" s="622" t="s">
        <v>537</v>
      </c>
      <c r="Q41" s="623"/>
      <c r="R41" s="624"/>
      <c r="S41" s="575"/>
      <c r="T41" s="127">
        <v>9</v>
      </c>
      <c r="U41" s="482">
        <f t="shared" si="1"/>
        <v>0</v>
      </c>
      <c r="V41" s="483">
        <f t="shared" si="0"/>
        <v>0</v>
      </c>
    </row>
    <row r="42" spans="1:22" ht="21" customHeight="1">
      <c r="A42" s="227">
        <v>35</v>
      </c>
      <c r="B42" s="622" t="s">
        <v>537</v>
      </c>
      <c r="C42" s="623"/>
      <c r="D42" s="624"/>
      <c r="E42" s="461" t="s">
        <v>533</v>
      </c>
      <c r="F42" s="115">
        <v>4</v>
      </c>
      <c r="G42" s="622" t="s">
        <v>535</v>
      </c>
      <c r="H42" s="623"/>
      <c r="I42" s="623"/>
      <c r="J42" s="624"/>
      <c r="K42" s="392"/>
      <c r="L42" s="392"/>
      <c r="M42" s="392"/>
      <c r="N42" s="392"/>
      <c r="O42" s="393" t="s">
        <v>110</v>
      </c>
      <c r="P42" s="622" t="s">
        <v>537</v>
      </c>
      <c r="Q42" s="623"/>
      <c r="R42" s="624"/>
      <c r="S42" s="575"/>
      <c r="T42" s="127">
        <v>12</v>
      </c>
      <c r="U42" s="482">
        <f t="shared" si="1"/>
        <v>0</v>
      </c>
      <c r="V42" s="483">
        <f t="shared" si="0"/>
        <v>0</v>
      </c>
    </row>
    <row r="43" spans="1:22" ht="21" customHeight="1">
      <c r="A43" s="227">
        <v>36</v>
      </c>
      <c r="B43" s="622" t="s">
        <v>537</v>
      </c>
      <c r="C43" s="623"/>
      <c r="D43" s="624"/>
      <c r="E43" s="461" t="s">
        <v>533</v>
      </c>
      <c r="F43" s="115">
        <v>4</v>
      </c>
      <c r="G43" s="622" t="s">
        <v>535</v>
      </c>
      <c r="H43" s="623"/>
      <c r="I43" s="623"/>
      <c r="J43" s="624"/>
      <c r="K43" s="392"/>
      <c r="L43" s="392"/>
      <c r="M43" s="392"/>
      <c r="N43" s="392"/>
      <c r="O43" s="393" t="s">
        <v>113</v>
      </c>
      <c r="P43" s="622" t="s">
        <v>537</v>
      </c>
      <c r="Q43" s="623"/>
      <c r="R43" s="624"/>
      <c r="S43" s="575"/>
      <c r="T43" s="127">
        <v>12</v>
      </c>
      <c r="U43" s="482">
        <f t="shared" si="1"/>
        <v>0</v>
      </c>
      <c r="V43" s="483">
        <f t="shared" si="0"/>
        <v>0</v>
      </c>
    </row>
    <row r="44" spans="1:22" ht="21" customHeight="1">
      <c r="A44" s="227">
        <v>37</v>
      </c>
      <c r="B44" s="622" t="s">
        <v>537</v>
      </c>
      <c r="C44" s="623"/>
      <c r="D44" s="624"/>
      <c r="E44" s="461" t="s">
        <v>533</v>
      </c>
      <c r="F44" s="115">
        <v>4</v>
      </c>
      <c r="G44" s="622" t="s">
        <v>535</v>
      </c>
      <c r="H44" s="623"/>
      <c r="I44" s="623"/>
      <c r="J44" s="624"/>
      <c r="K44" s="392"/>
      <c r="L44" s="392"/>
      <c r="M44" s="392"/>
      <c r="N44" s="392"/>
      <c r="O44" s="393" t="s">
        <v>110</v>
      </c>
      <c r="P44" s="622" t="s">
        <v>537</v>
      </c>
      <c r="Q44" s="623"/>
      <c r="R44" s="624"/>
      <c r="S44" s="575"/>
      <c r="T44" s="127">
        <v>11</v>
      </c>
      <c r="U44" s="482">
        <f t="shared" si="1"/>
        <v>0</v>
      </c>
      <c r="V44" s="483">
        <f t="shared" si="0"/>
        <v>0</v>
      </c>
    </row>
    <row r="45" spans="1:22" ht="21" customHeight="1">
      <c r="A45" s="227">
        <v>38</v>
      </c>
      <c r="B45" s="622" t="s">
        <v>602</v>
      </c>
      <c r="C45" s="623"/>
      <c r="D45" s="624"/>
      <c r="E45" s="461" t="s">
        <v>533</v>
      </c>
      <c r="F45" s="115">
        <v>5</v>
      </c>
      <c r="G45" s="622" t="s">
        <v>535</v>
      </c>
      <c r="H45" s="623"/>
      <c r="I45" s="623"/>
      <c r="J45" s="624"/>
      <c r="K45" s="392"/>
      <c r="L45" s="392"/>
      <c r="M45" s="392"/>
      <c r="N45" s="392"/>
      <c r="O45" s="393" t="s">
        <v>110</v>
      </c>
      <c r="P45" s="622" t="s">
        <v>537</v>
      </c>
      <c r="Q45" s="623"/>
      <c r="R45" s="624"/>
      <c r="S45" s="575"/>
      <c r="T45" s="127">
        <v>5</v>
      </c>
      <c r="U45" s="482">
        <f t="shared" si="1"/>
        <v>0</v>
      </c>
      <c r="V45" s="483">
        <f t="shared" si="0"/>
        <v>0</v>
      </c>
    </row>
    <row r="46" spans="1:22" ht="21" customHeight="1">
      <c r="A46" s="227">
        <v>39</v>
      </c>
      <c r="B46" s="622" t="s">
        <v>602</v>
      </c>
      <c r="C46" s="623"/>
      <c r="D46" s="624"/>
      <c r="E46" s="461" t="s">
        <v>533</v>
      </c>
      <c r="F46" s="115">
        <v>5</v>
      </c>
      <c r="G46" s="622" t="s">
        <v>535</v>
      </c>
      <c r="H46" s="623"/>
      <c r="I46" s="623"/>
      <c r="J46" s="624"/>
      <c r="K46" s="392"/>
      <c r="L46" s="392"/>
      <c r="M46" s="392" t="s">
        <v>536</v>
      </c>
      <c r="N46" s="392"/>
      <c r="O46" s="393" t="s">
        <v>110</v>
      </c>
      <c r="P46" s="622" t="s">
        <v>537</v>
      </c>
      <c r="Q46" s="623"/>
      <c r="R46" s="624"/>
      <c r="S46" s="575"/>
      <c r="T46" s="127">
        <v>7</v>
      </c>
      <c r="U46" s="482">
        <f t="shared" si="1"/>
        <v>0</v>
      </c>
      <c r="V46" s="483">
        <f t="shared" si="0"/>
        <v>0</v>
      </c>
    </row>
    <row r="47" spans="1:22" ht="21" customHeight="1">
      <c r="A47" s="227">
        <v>40</v>
      </c>
      <c r="B47" s="622" t="s">
        <v>537</v>
      </c>
      <c r="C47" s="623"/>
      <c r="D47" s="624"/>
      <c r="E47" s="461" t="s">
        <v>533</v>
      </c>
      <c r="F47" s="115">
        <v>6</v>
      </c>
      <c r="G47" s="622" t="s">
        <v>535</v>
      </c>
      <c r="H47" s="623"/>
      <c r="I47" s="623"/>
      <c r="J47" s="624"/>
      <c r="K47" s="392"/>
      <c r="L47" s="392"/>
      <c r="M47" s="392"/>
      <c r="N47" s="392"/>
      <c r="O47" s="393" t="s">
        <v>110</v>
      </c>
      <c r="P47" s="622" t="s">
        <v>537</v>
      </c>
      <c r="Q47" s="623"/>
      <c r="R47" s="624"/>
      <c r="S47" s="575"/>
      <c r="T47" s="127">
        <v>12</v>
      </c>
      <c r="U47" s="482">
        <f t="shared" si="1"/>
        <v>0</v>
      </c>
      <c r="V47" s="483">
        <f t="shared" si="0"/>
        <v>0</v>
      </c>
    </row>
    <row r="48" spans="1:22" ht="21" customHeight="1">
      <c r="A48" s="227">
        <v>41</v>
      </c>
      <c r="B48" s="622"/>
      <c r="C48" s="623"/>
      <c r="D48" s="624"/>
      <c r="E48" s="461"/>
      <c r="F48" s="115"/>
      <c r="G48" s="622"/>
      <c r="H48" s="623"/>
      <c r="I48" s="623"/>
      <c r="J48" s="624"/>
      <c r="K48" s="392"/>
      <c r="L48" s="392"/>
      <c r="M48" s="392"/>
      <c r="N48" s="392"/>
      <c r="O48" s="393"/>
      <c r="P48" s="622"/>
      <c r="Q48" s="623"/>
      <c r="R48" s="624"/>
      <c r="S48" s="575"/>
      <c r="T48" s="127"/>
      <c r="U48" s="482">
        <f t="shared" si="1"/>
        <v>0</v>
      </c>
      <c r="V48" s="483">
        <f t="shared" si="0"/>
        <v>0</v>
      </c>
    </row>
    <row r="49" spans="1:22" ht="21" customHeight="1">
      <c r="A49" s="227">
        <v>42</v>
      </c>
      <c r="B49" s="622"/>
      <c r="C49" s="623"/>
      <c r="D49" s="624"/>
      <c r="E49" s="461"/>
      <c r="F49" s="115"/>
      <c r="G49" s="622"/>
      <c r="H49" s="623"/>
      <c r="I49" s="623"/>
      <c r="J49" s="624"/>
      <c r="K49" s="392"/>
      <c r="L49" s="392"/>
      <c r="M49" s="392"/>
      <c r="N49" s="392"/>
      <c r="O49" s="393"/>
      <c r="P49" s="622"/>
      <c r="Q49" s="623"/>
      <c r="R49" s="624"/>
      <c r="S49" s="575"/>
      <c r="T49" s="127"/>
      <c r="U49" s="482">
        <f t="shared" si="1"/>
        <v>0</v>
      </c>
      <c r="V49" s="483">
        <f t="shared" si="0"/>
        <v>0</v>
      </c>
    </row>
    <row r="50" spans="1:22" ht="21" customHeight="1">
      <c r="A50" s="227">
        <v>43</v>
      </c>
      <c r="B50" s="622"/>
      <c r="C50" s="623"/>
      <c r="D50" s="624"/>
      <c r="E50" s="461"/>
      <c r="F50" s="115"/>
      <c r="G50" s="622"/>
      <c r="H50" s="623"/>
      <c r="I50" s="623"/>
      <c r="J50" s="624"/>
      <c r="K50" s="392"/>
      <c r="L50" s="392"/>
      <c r="M50" s="392"/>
      <c r="N50" s="392"/>
      <c r="O50" s="393"/>
      <c r="P50" s="622"/>
      <c r="Q50" s="623"/>
      <c r="R50" s="624"/>
      <c r="S50" s="575"/>
      <c r="T50" s="127"/>
      <c r="U50" s="482">
        <f t="shared" si="1"/>
        <v>0</v>
      </c>
      <c r="V50" s="483">
        <f t="shared" si="0"/>
        <v>0</v>
      </c>
    </row>
    <row r="51" spans="1:22" ht="21" customHeight="1">
      <c r="A51" s="227">
        <v>44</v>
      </c>
      <c r="B51" s="622"/>
      <c r="C51" s="623"/>
      <c r="D51" s="624"/>
      <c r="E51" s="461"/>
      <c r="F51" s="115"/>
      <c r="G51" s="622"/>
      <c r="H51" s="623"/>
      <c r="I51" s="623"/>
      <c r="J51" s="624"/>
      <c r="K51" s="392"/>
      <c r="L51" s="392"/>
      <c r="M51" s="392"/>
      <c r="N51" s="392"/>
      <c r="O51" s="393"/>
      <c r="P51" s="622"/>
      <c r="Q51" s="623"/>
      <c r="R51" s="624"/>
      <c r="S51" s="575"/>
      <c r="T51" s="127"/>
      <c r="U51" s="482">
        <f t="shared" si="1"/>
        <v>0</v>
      </c>
      <c r="V51" s="483">
        <f t="shared" si="0"/>
        <v>0</v>
      </c>
    </row>
    <row r="52" spans="1:22" ht="21" customHeight="1">
      <c r="A52" s="227">
        <v>45</v>
      </c>
      <c r="B52" s="622"/>
      <c r="C52" s="623"/>
      <c r="D52" s="624"/>
      <c r="E52" s="461"/>
      <c r="F52" s="115"/>
      <c r="G52" s="465"/>
      <c r="H52" s="466"/>
      <c r="I52" s="466"/>
      <c r="J52" s="467"/>
      <c r="K52" s="392"/>
      <c r="L52" s="392"/>
      <c r="M52" s="392"/>
      <c r="N52" s="392"/>
      <c r="O52" s="393"/>
      <c r="P52" s="465"/>
      <c r="Q52" s="466"/>
      <c r="R52" s="467"/>
      <c r="S52" s="575"/>
      <c r="T52" s="127"/>
      <c r="U52" s="482">
        <f t="shared" si="1"/>
        <v>0</v>
      </c>
      <c r="V52" s="483">
        <f t="shared" si="0"/>
        <v>0</v>
      </c>
    </row>
    <row r="53" spans="1:22" ht="21" customHeight="1">
      <c r="A53" s="227">
        <v>46</v>
      </c>
      <c r="B53" s="622"/>
      <c r="C53" s="623"/>
      <c r="D53" s="624"/>
      <c r="E53" s="461"/>
      <c r="F53" s="115"/>
      <c r="G53" s="465"/>
      <c r="H53" s="466"/>
      <c r="I53" s="466"/>
      <c r="J53" s="467"/>
      <c r="K53" s="392"/>
      <c r="L53" s="392"/>
      <c r="M53" s="392"/>
      <c r="N53" s="392"/>
      <c r="O53" s="393"/>
      <c r="P53" s="465"/>
      <c r="Q53" s="466"/>
      <c r="R53" s="467"/>
      <c r="S53" s="575"/>
      <c r="T53" s="127"/>
      <c r="U53" s="482">
        <f t="shared" si="1"/>
        <v>0</v>
      </c>
      <c r="V53" s="483">
        <f t="shared" si="0"/>
        <v>0</v>
      </c>
    </row>
    <row r="54" spans="1:22" ht="21" customHeight="1">
      <c r="A54" s="227">
        <v>47</v>
      </c>
      <c r="B54" s="622"/>
      <c r="C54" s="623"/>
      <c r="D54" s="624"/>
      <c r="E54" s="461"/>
      <c r="F54" s="115"/>
      <c r="G54" s="465"/>
      <c r="H54" s="466"/>
      <c r="I54" s="466"/>
      <c r="J54" s="467"/>
      <c r="K54" s="392"/>
      <c r="L54" s="392"/>
      <c r="M54" s="392"/>
      <c r="N54" s="392"/>
      <c r="O54" s="393"/>
      <c r="P54" s="465"/>
      <c r="Q54" s="466"/>
      <c r="R54" s="467"/>
      <c r="S54" s="575"/>
      <c r="T54" s="127"/>
      <c r="U54" s="482">
        <f t="shared" si="1"/>
        <v>0</v>
      </c>
      <c r="V54" s="483">
        <f t="shared" si="0"/>
        <v>0</v>
      </c>
    </row>
    <row r="55" spans="1:22" ht="21" customHeight="1">
      <c r="A55" s="227">
        <v>48</v>
      </c>
      <c r="B55" s="622"/>
      <c r="C55" s="623"/>
      <c r="D55" s="624"/>
      <c r="E55" s="461"/>
      <c r="F55" s="115"/>
      <c r="G55" s="465"/>
      <c r="H55" s="466"/>
      <c r="I55" s="466"/>
      <c r="J55" s="467"/>
      <c r="K55" s="392"/>
      <c r="L55" s="392"/>
      <c r="M55" s="392"/>
      <c r="N55" s="392"/>
      <c r="O55" s="393"/>
      <c r="P55" s="465"/>
      <c r="Q55" s="466"/>
      <c r="R55" s="467"/>
      <c r="S55" s="575"/>
      <c r="T55" s="127"/>
      <c r="U55" s="482">
        <f t="shared" si="1"/>
        <v>0</v>
      </c>
      <c r="V55" s="483">
        <f t="shared" si="0"/>
        <v>0</v>
      </c>
    </row>
    <row r="56" spans="1:22" ht="21" customHeight="1">
      <c r="A56" s="227">
        <v>49</v>
      </c>
      <c r="B56" s="622"/>
      <c r="C56" s="623"/>
      <c r="D56" s="624"/>
      <c r="E56" s="461"/>
      <c r="F56" s="115"/>
      <c r="G56" s="465"/>
      <c r="H56" s="466"/>
      <c r="I56" s="466"/>
      <c r="J56" s="467"/>
      <c r="K56" s="392"/>
      <c r="L56" s="392"/>
      <c r="M56" s="392"/>
      <c r="N56" s="392"/>
      <c r="O56" s="393"/>
      <c r="P56" s="465"/>
      <c r="Q56" s="466"/>
      <c r="R56" s="467"/>
      <c r="S56" s="575"/>
      <c r="T56" s="127"/>
      <c r="U56" s="482">
        <f t="shared" si="1"/>
        <v>0</v>
      </c>
      <c r="V56" s="483">
        <f t="shared" si="0"/>
        <v>0</v>
      </c>
    </row>
    <row r="57" spans="1:22" ht="21" customHeight="1">
      <c r="A57" s="227">
        <v>50</v>
      </c>
      <c r="B57" s="622"/>
      <c r="C57" s="623"/>
      <c r="D57" s="624"/>
      <c r="E57" s="461"/>
      <c r="F57" s="115"/>
      <c r="G57" s="465"/>
      <c r="H57" s="466"/>
      <c r="I57" s="466"/>
      <c r="J57" s="467"/>
      <c r="K57" s="392"/>
      <c r="L57" s="392"/>
      <c r="M57" s="392"/>
      <c r="N57" s="392"/>
      <c r="O57" s="393"/>
      <c r="P57" s="465"/>
      <c r="Q57" s="466"/>
      <c r="R57" s="467"/>
      <c r="S57" s="575"/>
      <c r="T57" s="127"/>
      <c r="U57" s="482">
        <f t="shared" si="1"/>
        <v>0</v>
      </c>
      <c r="V57" s="483">
        <f t="shared" si="0"/>
        <v>0</v>
      </c>
    </row>
    <row r="58" spans="1:22" ht="21" customHeight="1">
      <c r="A58" s="227">
        <v>51</v>
      </c>
      <c r="B58" s="622"/>
      <c r="C58" s="623"/>
      <c r="D58" s="624"/>
      <c r="E58" s="461"/>
      <c r="F58" s="115"/>
      <c r="G58" s="465"/>
      <c r="H58" s="466"/>
      <c r="I58" s="466"/>
      <c r="J58" s="467"/>
      <c r="K58" s="392"/>
      <c r="L58" s="392"/>
      <c r="M58" s="392"/>
      <c r="N58" s="392"/>
      <c r="O58" s="393"/>
      <c r="P58" s="465"/>
      <c r="Q58" s="466"/>
      <c r="R58" s="467"/>
      <c r="S58" s="575"/>
      <c r="T58" s="127"/>
      <c r="U58" s="482">
        <f t="shared" si="1"/>
        <v>0</v>
      </c>
      <c r="V58" s="483">
        <f t="shared" si="0"/>
        <v>0</v>
      </c>
    </row>
    <row r="59" spans="1:22" ht="21" customHeight="1">
      <c r="A59" s="227">
        <v>52</v>
      </c>
      <c r="B59" s="622"/>
      <c r="C59" s="623"/>
      <c r="D59" s="624"/>
      <c r="E59" s="461"/>
      <c r="F59" s="115"/>
      <c r="G59" s="465"/>
      <c r="H59" s="466"/>
      <c r="I59" s="466"/>
      <c r="J59" s="467"/>
      <c r="K59" s="392"/>
      <c r="L59" s="392"/>
      <c r="M59" s="392"/>
      <c r="N59" s="392"/>
      <c r="O59" s="393"/>
      <c r="P59" s="465"/>
      <c r="Q59" s="466"/>
      <c r="R59" s="467"/>
      <c r="S59" s="575"/>
      <c r="T59" s="127"/>
      <c r="U59" s="482">
        <f t="shared" si="1"/>
        <v>0</v>
      </c>
      <c r="V59" s="483">
        <f t="shared" si="0"/>
        <v>0</v>
      </c>
    </row>
    <row r="60" spans="1:22" ht="21" customHeight="1">
      <c r="A60" s="227">
        <v>53</v>
      </c>
      <c r="B60" s="622"/>
      <c r="C60" s="623"/>
      <c r="D60" s="624"/>
      <c r="E60" s="461"/>
      <c r="F60" s="115"/>
      <c r="G60" s="465"/>
      <c r="H60" s="466"/>
      <c r="I60" s="466"/>
      <c r="J60" s="467"/>
      <c r="K60" s="392"/>
      <c r="L60" s="392"/>
      <c r="M60" s="392"/>
      <c r="N60" s="392"/>
      <c r="O60" s="393"/>
      <c r="P60" s="465"/>
      <c r="Q60" s="466"/>
      <c r="R60" s="467"/>
      <c r="S60" s="575"/>
      <c r="T60" s="127"/>
      <c r="U60" s="482">
        <f t="shared" si="1"/>
        <v>0</v>
      </c>
      <c r="V60" s="483">
        <f t="shared" si="0"/>
        <v>0</v>
      </c>
    </row>
    <row r="61" spans="1:22" ht="21" customHeight="1">
      <c r="A61" s="227">
        <v>54</v>
      </c>
      <c r="B61" s="622"/>
      <c r="C61" s="623"/>
      <c r="D61" s="624"/>
      <c r="E61" s="461"/>
      <c r="F61" s="115"/>
      <c r="G61" s="465"/>
      <c r="H61" s="466"/>
      <c r="I61" s="466"/>
      <c r="J61" s="467"/>
      <c r="K61" s="392"/>
      <c r="L61" s="392"/>
      <c r="M61" s="392"/>
      <c r="N61" s="392"/>
      <c r="O61" s="393"/>
      <c r="P61" s="465"/>
      <c r="Q61" s="466"/>
      <c r="R61" s="467"/>
      <c r="S61" s="575"/>
      <c r="T61" s="127"/>
      <c r="U61" s="482">
        <f t="shared" si="1"/>
        <v>0</v>
      </c>
      <c r="V61" s="483">
        <f t="shared" si="0"/>
        <v>0</v>
      </c>
    </row>
    <row r="62" spans="1:22" ht="21" customHeight="1">
      <c r="A62" s="227">
        <v>55</v>
      </c>
      <c r="B62" s="622"/>
      <c r="C62" s="623"/>
      <c r="D62" s="624"/>
      <c r="E62" s="461"/>
      <c r="F62" s="115"/>
      <c r="G62" s="465"/>
      <c r="H62" s="466"/>
      <c r="I62" s="466"/>
      <c r="J62" s="467"/>
      <c r="K62" s="392"/>
      <c r="L62" s="392"/>
      <c r="M62" s="392"/>
      <c r="N62" s="392"/>
      <c r="O62" s="393"/>
      <c r="P62" s="465"/>
      <c r="Q62" s="466"/>
      <c r="R62" s="467"/>
      <c r="S62" s="575"/>
      <c r="T62" s="127"/>
      <c r="U62" s="482">
        <f t="shared" si="1"/>
        <v>0</v>
      </c>
      <c r="V62" s="483">
        <f t="shared" si="0"/>
        <v>0</v>
      </c>
    </row>
    <row r="63" spans="1:22" ht="21" customHeight="1">
      <c r="A63" s="227">
        <v>56</v>
      </c>
      <c r="B63" s="622"/>
      <c r="C63" s="623"/>
      <c r="D63" s="624"/>
      <c r="E63" s="461"/>
      <c r="F63" s="115"/>
      <c r="G63" s="465"/>
      <c r="H63" s="466"/>
      <c r="I63" s="466"/>
      <c r="J63" s="467"/>
      <c r="K63" s="392"/>
      <c r="L63" s="392"/>
      <c r="M63" s="392"/>
      <c r="N63" s="392"/>
      <c r="O63" s="393"/>
      <c r="P63" s="465"/>
      <c r="Q63" s="466"/>
      <c r="R63" s="467"/>
      <c r="S63" s="575"/>
      <c r="T63" s="127"/>
      <c r="U63" s="482">
        <f t="shared" si="1"/>
        <v>0</v>
      </c>
      <c r="V63" s="483">
        <f t="shared" si="0"/>
        <v>0</v>
      </c>
    </row>
    <row r="64" spans="1:22" ht="21" customHeight="1">
      <c r="A64" s="227">
        <v>57</v>
      </c>
      <c r="B64" s="622"/>
      <c r="C64" s="623"/>
      <c r="D64" s="624"/>
      <c r="E64" s="461"/>
      <c r="F64" s="115"/>
      <c r="G64" s="465"/>
      <c r="H64" s="466"/>
      <c r="I64" s="466"/>
      <c r="J64" s="467"/>
      <c r="K64" s="392"/>
      <c r="L64" s="392"/>
      <c r="M64" s="392"/>
      <c r="N64" s="392"/>
      <c r="O64" s="393"/>
      <c r="P64" s="465"/>
      <c r="Q64" s="466"/>
      <c r="R64" s="467"/>
      <c r="S64" s="575"/>
      <c r="T64" s="127"/>
      <c r="U64" s="482">
        <f t="shared" si="1"/>
        <v>0</v>
      </c>
      <c r="V64" s="483">
        <f t="shared" si="0"/>
        <v>0</v>
      </c>
    </row>
    <row r="65" spans="1:22" ht="21" customHeight="1">
      <c r="A65" s="227">
        <v>58</v>
      </c>
      <c r="B65" s="622"/>
      <c r="C65" s="623"/>
      <c r="D65" s="624"/>
      <c r="E65" s="461"/>
      <c r="F65" s="115"/>
      <c r="G65" s="465"/>
      <c r="H65" s="466"/>
      <c r="I65" s="466"/>
      <c r="J65" s="467"/>
      <c r="K65" s="392"/>
      <c r="L65" s="392"/>
      <c r="M65" s="392"/>
      <c r="N65" s="392"/>
      <c r="O65" s="393"/>
      <c r="P65" s="465"/>
      <c r="Q65" s="466"/>
      <c r="R65" s="467"/>
      <c r="S65" s="575"/>
      <c r="T65" s="127"/>
      <c r="U65" s="482">
        <f t="shared" si="1"/>
        <v>0</v>
      </c>
      <c r="V65" s="483">
        <f t="shared" si="0"/>
        <v>0</v>
      </c>
    </row>
    <row r="66" spans="1:22" ht="21" customHeight="1">
      <c r="A66" s="227">
        <v>59</v>
      </c>
      <c r="B66" s="622"/>
      <c r="C66" s="623"/>
      <c r="D66" s="624"/>
      <c r="E66" s="461"/>
      <c r="F66" s="115"/>
      <c r="G66" s="465"/>
      <c r="H66" s="466"/>
      <c r="I66" s="466"/>
      <c r="J66" s="467"/>
      <c r="K66" s="392"/>
      <c r="L66" s="392"/>
      <c r="M66" s="392"/>
      <c r="N66" s="392"/>
      <c r="O66" s="393"/>
      <c r="P66" s="465"/>
      <c r="Q66" s="466"/>
      <c r="R66" s="467"/>
      <c r="S66" s="575"/>
      <c r="T66" s="127"/>
      <c r="U66" s="482">
        <f t="shared" si="1"/>
        <v>0</v>
      </c>
      <c r="V66" s="483">
        <f t="shared" si="0"/>
        <v>0</v>
      </c>
    </row>
    <row r="67" spans="1:22" ht="21" customHeight="1">
      <c r="A67" s="227">
        <v>60</v>
      </c>
      <c r="B67" s="622"/>
      <c r="C67" s="623"/>
      <c r="D67" s="624"/>
      <c r="E67" s="461"/>
      <c r="F67" s="115"/>
      <c r="G67" s="465"/>
      <c r="H67" s="466"/>
      <c r="I67" s="466"/>
      <c r="J67" s="467"/>
      <c r="K67" s="392"/>
      <c r="L67" s="392"/>
      <c r="M67" s="392"/>
      <c r="N67" s="392"/>
      <c r="O67" s="393"/>
      <c r="P67" s="465"/>
      <c r="Q67" s="466"/>
      <c r="R67" s="467"/>
      <c r="S67" s="575"/>
      <c r="T67" s="127"/>
      <c r="U67" s="482">
        <f t="shared" si="1"/>
        <v>0</v>
      </c>
      <c r="V67" s="483">
        <f t="shared" si="0"/>
        <v>0</v>
      </c>
    </row>
    <row r="68" spans="1:22" ht="21" customHeight="1">
      <c r="A68" s="227">
        <v>61</v>
      </c>
      <c r="B68" s="622"/>
      <c r="C68" s="623"/>
      <c r="D68" s="624"/>
      <c r="E68" s="461"/>
      <c r="F68" s="115"/>
      <c r="G68" s="465"/>
      <c r="H68" s="466"/>
      <c r="I68" s="466"/>
      <c r="J68" s="467"/>
      <c r="K68" s="392"/>
      <c r="L68" s="392"/>
      <c r="M68" s="392"/>
      <c r="N68" s="392"/>
      <c r="O68" s="393"/>
      <c r="P68" s="465"/>
      <c r="Q68" s="466"/>
      <c r="R68" s="467"/>
      <c r="S68" s="575"/>
      <c r="T68" s="127"/>
      <c r="U68" s="482">
        <f t="shared" si="1"/>
        <v>0</v>
      </c>
      <c r="V68" s="483">
        <f t="shared" si="0"/>
        <v>0</v>
      </c>
    </row>
    <row r="69" spans="1:22" ht="21" customHeight="1">
      <c r="A69" s="227">
        <v>62</v>
      </c>
      <c r="B69" s="622"/>
      <c r="C69" s="623"/>
      <c r="D69" s="624"/>
      <c r="E69" s="461"/>
      <c r="F69" s="115"/>
      <c r="G69" s="622"/>
      <c r="H69" s="623"/>
      <c r="I69" s="623"/>
      <c r="J69" s="624"/>
      <c r="K69" s="392"/>
      <c r="L69" s="392"/>
      <c r="M69" s="392"/>
      <c r="N69" s="392"/>
      <c r="O69" s="393"/>
      <c r="P69" s="622"/>
      <c r="Q69" s="623"/>
      <c r="R69" s="624"/>
      <c r="S69" s="575"/>
      <c r="T69" s="127"/>
      <c r="U69" s="482">
        <f t="shared" si="1"/>
        <v>0</v>
      </c>
      <c r="V69" s="483">
        <f t="shared" si="0"/>
        <v>0</v>
      </c>
    </row>
    <row r="70" spans="1:22" ht="21" customHeight="1">
      <c r="A70" s="227">
        <v>63</v>
      </c>
      <c r="B70" s="622"/>
      <c r="C70" s="623"/>
      <c r="D70" s="624"/>
      <c r="E70" s="461"/>
      <c r="F70" s="115"/>
      <c r="G70" s="622"/>
      <c r="H70" s="623"/>
      <c r="I70" s="623"/>
      <c r="J70" s="624"/>
      <c r="K70" s="392"/>
      <c r="L70" s="392"/>
      <c r="M70" s="392"/>
      <c r="N70" s="392"/>
      <c r="O70" s="393"/>
      <c r="P70" s="622"/>
      <c r="Q70" s="623"/>
      <c r="R70" s="624"/>
      <c r="S70" s="575"/>
      <c r="T70" s="127"/>
      <c r="U70" s="482">
        <f t="shared" si="1"/>
        <v>0</v>
      </c>
      <c r="V70" s="483">
        <f t="shared" si="0"/>
        <v>0</v>
      </c>
    </row>
    <row r="71" spans="1:22" ht="21" customHeight="1">
      <c r="A71" s="227">
        <v>64</v>
      </c>
      <c r="B71" s="622"/>
      <c r="C71" s="623"/>
      <c r="D71" s="624"/>
      <c r="E71" s="461"/>
      <c r="F71" s="115"/>
      <c r="G71" s="622"/>
      <c r="H71" s="623"/>
      <c r="I71" s="623"/>
      <c r="J71" s="624"/>
      <c r="K71" s="392"/>
      <c r="L71" s="392"/>
      <c r="M71" s="392"/>
      <c r="N71" s="392"/>
      <c r="O71" s="393"/>
      <c r="P71" s="622"/>
      <c r="Q71" s="623"/>
      <c r="R71" s="624"/>
      <c r="S71" s="575"/>
      <c r="T71" s="127"/>
      <c r="U71" s="482">
        <f t="shared" si="1"/>
        <v>0</v>
      </c>
      <c r="V71" s="483">
        <f t="shared" si="0"/>
        <v>0</v>
      </c>
    </row>
    <row r="72" spans="1:22" ht="21" customHeight="1" thickBot="1">
      <c r="A72" s="227">
        <v>65</v>
      </c>
      <c r="B72" s="622"/>
      <c r="C72" s="623"/>
      <c r="D72" s="624"/>
      <c r="E72" s="461"/>
      <c r="F72" s="115"/>
      <c r="G72" s="622"/>
      <c r="H72" s="623"/>
      <c r="I72" s="623"/>
      <c r="J72" s="624"/>
      <c r="K72" s="392"/>
      <c r="L72" s="392"/>
      <c r="M72" s="392"/>
      <c r="N72" s="392"/>
      <c r="O72" s="393"/>
      <c r="P72" s="622"/>
      <c r="Q72" s="623"/>
      <c r="R72" s="624"/>
      <c r="S72" s="575"/>
      <c r="T72" s="127"/>
      <c r="U72" s="482">
        <f t="shared" si="1"/>
        <v>0</v>
      </c>
      <c r="V72" s="483">
        <f t="shared" si="0"/>
        <v>0</v>
      </c>
    </row>
    <row r="73" spans="1:22" ht="21" customHeight="1" thickBot="1">
      <c r="A73" s="618" t="s">
        <v>309</v>
      </c>
      <c r="B73" s="618"/>
      <c r="C73" s="618"/>
      <c r="D73" s="618"/>
      <c r="E73" s="227"/>
      <c r="F73" s="227"/>
      <c r="G73" s="619"/>
      <c r="H73" s="620"/>
      <c r="I73" s="620"/>
      <c r="J73" s="621"/>
      <c r="K73" s="227"/>
      <c r="L73" s="227"/>
      <c r="M73" s="227"/>
      <c r="N73" s="227"/>
      <c r="O73" s="227"/>
      <c r="P73" s="619"/>
      <c r="Q73" s="620"/>
      <c r="R73" s="620"/>
      <c r="S73" s="576"/>
      <c r="T73" s="120">
        <f>SUM(T8:T72)</f>
        <v>414</v>
      </c>
      <c r="U73" s="484">
        <f>ROUNDDOWN(SUM(U8:U72),-3)</f>
        <v>180000</v>
      </c>
      <c r="V73" s="485">
        <f>ROUNDDOWN(SUM(V8:V72),-3)</f>
        <v>270000</v>
      </c>
    </row>
    <row r="74" spans="1:22" ht="21" customHeight="1">
      <c r="A74" s="217" t="s">
        <v>53</v>
      </c>
      <c r="B74" s="228"/>
      <c r="C74" s="228"/>
      <c r="D74" s="228"/>
      <c r="E74" s="228"/>
      <c r="F74" s="228"/>
      <c r="G74" s="228"/>
      <c r="H74" s="228"/>
      <c r="I74" s="228"/>
      <c r="J74" s="228"/>
      <c r="K74" s="228" t="s">
        <v>338</v>
      </c>
      <c r="L74" s="228" t="s">
        <v>340</v>
      </c>
      <c r="M74" s="228" t="s">
        <v>341</v>
      </c>
      <c r="N74" s="228" t="s">
        <v>342</v>
      </c>
      <c r="O74" s="228" t="s">
        <v>343</v>
      </c>
      <c r="P74" s="228" t="s">
        <v>345</v>
      </c>
      <c r="Q74" s="228"/>
      <c r="R74" s="228"/>
      <c r="S74" s="577"/>
      <c r="T74" s="228"/>
      <c r="U74" s="481"/>
      <c r="V74" s="481"/>
    </row>
    <row r="75" spans="1:22" ht="21" customHeight="1">
      <c r="A75" s="228"/>
      <c r="B75" s="228"/>
      <c r="C75" s="228"/>
      <c r="D75" s="228"/>
      <c r="E75" s="228"/>
      <c r="F75" s="228"/>
      <c r="G75" s="228"/>
      <c r="H75" s="228"/>
      <c r="I75" s="228"/>
      <c r="J75" s="116" t="s">
        <v>339</v>
      </c>
      <c r="K75" s="116">
        <f>COUNTIF(O8:O72,"週５")</f>
        <v>32</v>
      </c>
      <c r="L75" s="116">
        <f>COUNTIF(O8:O72,"週４")</f>
        <v>4</v>
      </c>
      <c r="M75" s="116">
        <f>COUNTIF(O8:O72,"週３")</f>
        <v>1</v>
      </c>
      <c r="N75" s="116">
        <f>COUNTIF(O8:O72,"週２")</f>
        <v>1</v>
      </c>
      <c r="O75" s="116">
        <f>COUNTIF(O8:O72,"週１")</f>
        <v>2</v>
      </c>
      <c r="P75" s="116">
        <f>COUNTIF(M8:M72,"○")</f>
        <v>4</v>
      </c>
      <c r="Q75" s="228"/>
      <c r="R75" s="228"/>
      <c r="S75" s="577"/>
      <c r="T75" s="228"/>
      <c r="U75" s="481"/>
      <c r="V75" s="481"/>
    </row>
    <row r="76" spans="1:22" ht="21" customHeight="1">
      <c r="A76" s="228"/>
      <c r="B76" s="228"/>
      <c r="C76" s="228"/>
      <c r="D76" s="228"/>
      <c r="E76" s="228"/>
      <c r="F76" s="228"/>
      <c r="G76" s="228"/>
      <c r="H76" s="228"/>
      <c r="I76" s="228"/>
      <c r="J76" s="116" t="s">
        <v>344</v>
      </c>
      <c r="K76" s="116">
        <f>SUMIF(O8:O72,"週５",T8:T72)</f>
        <v>329</v>
      </c>
      <c r="L76" s="116">
        <f>SUMIF(O8:O72,"週４",T8:T72)</f>
        <v>48</v>
      </c>
      <c r="M76" s="116">
        <f>SUMIF(O8:O72,"週３",T8:T72)</f>
        <v>12</v>
      </c>
      <c r="N76" s="116">
        <f>SUMIF(O8:O72,"週２",T8:T72)</f>
        <v>4</v>
      </c>
      <c r="O76" s="116">
        <f>SUMIF(O8:O72,"週１",T8:T72)</f>
        <v>21</v>
      </c>
      <c r="P76" s="116">
        <f>SUMIF(M8:M72,"○",T8:T72)</f>
        <v>36</v>
      </c>
      <c r="Q76" s="228"/>
      <c r="R76" s="228"/>
      <c r="S76" s="577"/>
      <c r="T76" s="228"/>
      <c r="U76" s="481"/>
      <c r="V76" s="481"/>
    </row>
    <row r="77" spans="1:22" ht="21" customHeight="1">
      <c r="A77" s="471"/>
      <c r="B77" s="471"/>
      <c r="C77" s="471"/>
      <c r="D77" s="471"/>
      <c r="E77" s="471"/>
      <c r="F77" s="471"/>
      <c r="G77" s="471"/>
      <c r="H77" s="471"/>
      <c r="I77" s="471"/>
      <c r="J77" s="471"/>
      <c r="K77" s="471"/>
      <c r="L77" s="471"/>
      <c r="M77" s="471"/>
      <c r="N77" s="471"/>
      <c r="O77" s="471"/>
      <c r="S77" s="577"/>
    </row>
    <row r="78" spans="1:22" ht="21" customHeight="1">
      <c r="A78" s="471"/>
      <c r="B78" s="471"/>
      <c r="C78" s="471"/>
      <c r="D78" s="471"/>
      <c r="E78" s="471"/>
      <c r="F78" s="471"/>
      <c r="G78" s="471"/>
      <c r="H78" s="471"/>
      <c r="I78" s="471"/>
      <c r="J78" s="471"/>
      <c r="K78" s="471"/>
      <c r="L78" s="471"/>
      <c r="M78" s="471"/>
      <c r="N78" s="471"/>
      <c r="O78" s="471"/>
      <c r="S78" s="577"/>
    </row>
    <row r="79" spans="1:22" ht="21" customHeight="1">
      <c r="A79" s="471"/>
      <c r="B79" s="471"/>
      <c r="C79" s="471"/>
      <c r="D79" s="471"/>
      <c r="E79" s="471"/>
      <c r="F79" s="471"/>
      <c r="G79" s="471"/>
      <c r="H79" s="471"/>
      <c r="I79" s="471"/>
      <c r="J79" s="471"/>
      <c r="K79" s="471"/>
      <c r="L79" s="471"/>
      <c r="M79" s="471"/>
      <c r="N79" s="471"/>
      <c r="O79" s="471"/>
      <c r="S79" s="577"/>
    </row>
    <row r="80" spans="1:22" ht="21" customHeight="1">
      <c r="A80" s="471"/>
      <c r="B80" s="471"/>
      <c r="C80" s="471"/>
      <c r="D80" s="471"/>
      <c r="E80" s="471"/>
      <c r="F80" s="471"/>
      <c r="G80" s="471"/>
      <c r="H80" s="471"/>
      <c r="I80" s="471"/>
      <c r="J80" s="471"/>
      <c r="K80" s="471"/>
      <c r="L80" s="471"/>
      <c r="M80" s="471"/>
      <c r="N80" s="471"/>
      <c r="O80" s="471"/>
      <c r="S80" s="577"/>
    </row>
    <row r="81" spans="1:19" ht="21" customHeight="1">
      <c r="A81" s="471"/>
      <c r="B81" s="471"/>
      <c r="C81" s="471"/>
      <c r="D81" s="471"/>
      <c r="E81" s="471"/>
      <c r="F81" s="471"/>
      <c r="G81" s="471"/>
      <c r="H81" s="471"/>
      <c r="I81" s="471"/>
      <c r="J81" s="471"/>
      <c r="K81" s="471"/>
      <c r="L81" s="471"/>
      <c r="M81" s="471"/>
      <c r="N81" s="471"/>
      <c r="O81" s="471"/>
      <c r="S81" s="577"/>
    </row>
    <row r="82" spans="1:19" ht="21" customHeight="1">
      <c r="A82" s="471"/>
      <c r="B82" s="471"/>
      <c r="C82" s="471"/>
      <c r="D82" s="471"/>
      <c r="E82" s="471"/>
      <c r="F82" s="471"/>
      <c r="G82" s="471"/>
      <c r="H82" s="471"/>
      <c r="I82" s="471"/>
      <c r="J82" s="471"/>
      <c r="K82" s="471"/>
      <c r="L82" s="471"/>
      <c r="M82" s="471"/>
      <c r="N82" s="471"/>
      <c r="O82" s="471"/>
      <c r="S82" s="577"/>
    </row>
    <row r="83" spans="1:19" ht="21" customHeight="1">
      <c r="A83" s="471"/>
      <c r="B83" s="471"/>
      <c r="C83" s="471"/>
      <c r="D83" s="471"/>
      <c r="E83" s="471"/>
      <c r="F83" s="471"/>
      <c r="G83" s="471"/>
      <c r="H83" s="471"/>
      <c r="I83" s="471"/>
      <c r="J83" s="471"/>
      <c r="K83" s="471"/>
      <c r="L83" s="471"/>
      <c r="M83" s="471"/>
      <c r="N83" s="471"/>
      <c r="O83" s="471"/>
      <c r="S83" s="577"/>
    </row>
    <row r="84" spans="1:19" ht="21" customHeight="1">
      <c r="A84" s="471"/>
      <c r="B84" s="471"/>
      <c r="C84" s="471"/>
      <c r="D84" s="471"/>
      <c r="E84" s="471"/>
      <c r="F84" s="471"/>
      <c r="G84" s="471"/>
      <c r="H84" s="471"/>
      <c r="I84" s="471"/>
      <c r="J84" s="471"/>
      <c r="K84" s="471"/>
      <c r="L84" s="471"/>
      <c r="M84" s="471"/>
      <c r="N84" s="471"/>
      <c r="O84" s="471"/>
      <c r="S84" s="577"/>
    </row>
    <row r="85" spans="1:19" ht="21" customHeight="1">
      <c r="A85" s="471"/>
      <c r="B85" s="471"/>
      <c r="C85" s="471"/>
      <c r="D85" s="471"/>
      <c r="E85" s="471"/>
      <c r="F85" s="471"/>
      <c r="G85" s="471"/>
      <c r="H85" s="471"/>
      <c r="I85" s="471"/>
      <c r="J85" s="471"/>
      <c r="K85" s="471"/>
      <c r="L85" s="471"/>
      <c r="M85" s="471"/>
      <c r="N85" s="471"/>
      <c r="O85" s="471"/>
      <c r="S85" s="577"/>
    </row>
    <row r="86" spans="1:19" ht="21" customHeight="1">
      <c r="A86" s="471"/>
      <c r="B86" s="471"/>
      <c r="C86" s="471"/>
      <c r="D86" s="471"/>
      <c r="E86" s="471"/>
      <c r="F86" s="471"/>
      <c r="G86" s="471"/>
      <c r="H86" s="471"/>
      <c r="I86" s="471"/>
      <c r="J86" s="471"/>
      <c r="K86" s="471"/>
      <c r="L86" s="471"/>
      <c r="M86" s="471"/>
      <c r="N86" s="471"/>
      <c r="O86" s="471"/>
      <c r="S86" s="577"/>
    </row>
    <row r="87" spans="1:19" ht="21" customHeight="1">
      <c r="A87" s="471"/>
      <c r="B87" s="471"/>
      <c r="C87" s="471"/>
      <c r="D87" s="471"/>
      <c r="E87" s="471"/>
      <c r="F87" s="471"/>
      <c r="G87" s="471"/>
      <c r="H87" s="471"/>
      <c r="I87" s="471"/>
      <c r="J87" s="471"/>
      <c r="K87" s="471"/>
      <c r="L87" s="471"/>
      <c r="M87" s="471"/>
      <c r="N87" s="471"/>
      <c r="O87" s="471"/>
      <c r="S87" s="577"/>
    </row>
    <row r="88" spans="1:19" ht="21" customHeight="1">
      <c r="A88" s="471"/>
      <c r="B88" s="471"/>
      <c r="C88" s="471"/>
      <c r="D88" s="471"/>
      <c r="E88" s="471"/>
      <c r="F88" s="471"/>
      <c r="G88" s="471"/>
      <c r="H88" s="471"/>
      <c r="I88" s="471"/>
      <c r="J88" s="471"/>
      <c r="K88" s="471"/>
      <c r="L88" s="471"/>
      <c r="M88" s="471"/>
      <c r="N88" s="471"/>
      <c r="O88" s="471"/>
      <c r="S88" s="577"/>
    </row>
    <row r="89" spans="1:19" ht="21" customHeight="1">
      <c r="A89" s="471"/>
      <c r="B89" s="471"/>
      <c r="C89" s="471"/>
      <c r="D89" s="471"/>
      <c r="E89" s="471"/>
      <c r="F89" s="471"/>
      <c r="G89" s="471"/>
      <c r="H89" s="471"/>
      <c r="I89" s="471"/>
      <c r="J89" s="471"/>
      <c r="K89" s="471"/>
      <c r="L89" s="471"/>
      <c r="M89" s="471"/>
      <c r="N89" s="471"/>
      <c r="O89" s="471"/>
      <c r="S89" s="577"/>
    </row>
    <row r="90" spans="1:19" ht="21" customHeight="1">
      <c r="A90" s="471"/>
      <c r="B90" s="471"/>
      <c r="C90" s="471"/>
      <c r="D90" s="471"/>
      <c r="E90" s="471"/>
      <c r="F90" s="471"/>
      <c r="G90" s="471"/>
      <c r="H90" s="471"/>
      <c r="I90" s="471"/>
      <c r="J90" s="471"/>
      <c r="K90" s="471"/>
      <c r="L90" s="471"/>
      <c r="M90" s="471"/>
      <c r="N90" s="471"/>
      <c r="O90" s="471"/>
      <c r="S90" s="577"/>
    </row>
    <row r="91" spans="1:19" ht="21" customHeight="1">
      <c r="A91" s="471"/>
      <c r="B91" s="471"/>
      <c r="C91" s="471"/>
      <c r="D91" s="471"/>
      <c r="E91" s="471"/>
      <c r="F91" s="471"/>
      <c r="G91" s="471"/>
      <c r="H91" s="471"/>
      <c r="I91" s="471"/>
      <c r="J91" s="471"/>
      <c r="K91" s="471"/>
      <c r="L91" s="471"/>
      <c r="M91" s="471"/>
      <c r="N91" s="471"/>
      <c r="O91" s="471"/>
      <c r="S91" s="577"/>
    </row>
    <row r="92" spans="1:19" ht="21" customHeight="1">
      <c r="A92" s="471"/>
      <c r="B92" s="471"/>
      <c r="C92" s="471"/>
      <c r="D92" s="471"/>
      <c r="E92" s="471"/>
      <c r="F92" s="471"/>
      <c r="G92" s="471"/>
      <c r="H92" s="471"/>
      <c r="I92" s="471"/>
      <c r="J92" s="471"/>
      <c r="K92" s="471"/>
      <c r="L92" s="471"/>
      <c r="M92" s="471"/>
      <c r="N92" s="471"/>
      <c r="O92" s="471"/>
      <c r="S92" s="577"/>
    </row>
    <row r="93" spans="1:19" ht="21" customHeight="1">
      <c r="A93" s="471"/>
      <c r="B93" s="471"/>
      <c r="C93" s="471"/>
      <c r="D93" s="471"/>
      <c r="E93" s="471"/>
      <c r="F93" s="471"/>
      <c r="G93" s="471"/>
      <c r="H93" s="471"/>
      <c r="I93" s="471"/>
      <c r="J93" s="471"/>
      <c r="K93" s="471"/>
      <c r="L93" s="471"/>
      <c r="M93" s="471"/>
      <c r="N93" s="471"/>
      <c r="O93" s="471"/>
      <c r="S93" s="577"/>
    </row>
    <row r="94" spans="1:19" ht="21" customHeight="1">
      <c r="A94" s="471"/>
      <c r="B94" s="471"/>
      <c r="C94" s="471"/>
      <c r="D94" s="471"/>
      <c r="E94" s="471"/>
      <c r="F94" s="471"/>
      <c r="G94" s="471"/>
      <c r="H94" s="471"/>
      <c r="I94" s="471"/>
      <c r="J94" s="471"/>
      <c r="K94" s="471"/>
      <c r="L94" s="471"/>
      <c r="M94" s="471"/>
      <c r="N94" s="471"/>
      <c r="O94" s="471"/>
      <c r="S94" s="577"/>
    </row>
    <row r="95" spans="1:19" ht="21" customHeight="1">
      <c r="A95" s="471"/>
      <c r="B95" s="471"/>
      <c r="C95" s="471"/>
      <c r="D95" s="471"/>
      <c r="E95" s="471"/>
      <c r="F95" s="471"/>
      <c r="G95" s="471"/>
      <c r="H95" s="471"/>
      <c r="I95" s="471"/>
      <c r="J95" s="471"/>
      <c r="K95" s="471"/>
      <c r="L95" s="471"/>
      <c r="M95" s="471"/>
      <c r="N95" s="471"/>
      <c r="O95" s="471"/>
      <c r="S95" s="577"/>
    </row>
    <row r="96" spans="1:19" ht="21" customHeight="1">
      <c r="A96" s="471"/>
      <c r="B96" s="471"/>
      <c r="C96" s="471"/>
      <c r="D96" s="471"/>
      <c r="E96" s="471"/>
      <c r="F96" s="471"/>
      <c r="G96" s="471"/>
      <c r="H96" s="471"/>
      <c r="I96" s="471"/>
      <c r="J96" s="471"/>
      <c r="K96" s="471"/>
      <c r="L96" s="471"/>
      <c r="M96" s="471"/>
      <c r="N96" s="471"/>
      <c r="O96" s="471"/>
      <c r="S96" s="577"/>
    </row>
    <row r="97" spans="1:19" ht="21" customHeight="1">
      <c r="A97" s="471"/>
      <c r="B97" s="471"/>
      <c r="C97" s="471"/>
      <c r="D97" s="471"/>
      <c r="E97" s="471"/>
      <c r="F97" s="471"/>
      <c r="G97" s="471"/>
      <c r="H97" s="471"/>
      <c r="I97" s="471"/>
      <c r="J97" s="471"/>
      <c r="K97" s="471"/>
      <c r="L97" s="471"/>
      <c r="M97" s="471"/>
      <c r="N97" s="471"/>
      <c r="O97" s="471"/>
      <c r="S97" s="577"/>
    </row>
    <row r="98" spans="1:19" ht="21" customHeight="1">
      <c r="A98" s="471"/>
      <c r="B98" s="471"/>
      <c r="C98" s="471"/>
      <c r="D98" s="471"/>
      <c r="E98" s="471"/>
      <c r="F98" s="471"/>
      <c r="G98" s="471"/>
      <c r="H98" s="471"/>
      <c r="I98" s="471"/>
      <c r="J98" s="471"/>
      <c r="K98" s="471"/>
      <c r="L98" s="471"/>
      <c r="M98" s="471"/>
      <c r="N98" s="471"/>
      <c r="O98" s="471"/>
      <c r="S98" s="577"/>
    </row>
    <row r="99" spans="1:19" ht="21" customHeight="1">
      <c r="A99" s="471"/>
      <c r="B99" s="471"/>
      <c r="C99" s="471"/>
      <c r="D99" s="471"/>
      <c r="E99" s="471"/>
      <c r="F99" s="471"/>
      <c r="G99" s="471"/>
      <c r="H99" s="471"/>
      <c r="I99" s="471"/>
      <c r="J99" s="471"/>
      <c r="K99" s="471"/>
      <c r="L99" s="471"/>
      <c r="M99" s="471"/>
      <c r="N99" s="471"/>
      <c r="O99" s="471"/>
      <c r="S99" s="577"/>
    </row>
    <row r="100" spans="1:19" ht="21" customHeight="1">
      <c r="A100" s="471"/>
      <c r="B100" s="471"/>
      <c r="C100" s="471"/>
      <c r="D100" s="471"/>
      <c r="E100" s="471"/>
      <c r="F100" s="471"/>
      <c r="G100" s="471"/>
      <c r="H100" s="471"/>
      <c r="I100" s="471"/>
      <c r="J100" s="471"/>
      <c r="K100" s="471"/>
      <c r="L100" s="471"/>
      <c r="M100" s="471"/>
      <c r="N100" s="471"/>
      <c r="O100" s="471"/>
      <c r="S100" s="577"/>
    </row>
    <row r="101" spans="1:19" ht="21" customHeight="1">
      <c r="A101" s="471"/>
      <c r="B101" s="471"/>
      <c r="C101" s="471"/>
      <c r="D101" s="471"/>
      <c r="E101" s="471"/>
      <c r="F101" s="471"/>
      <c r="G101" s="471"/>
      <c r="H101" s="471"/>
      <c r="I101" s="471"/>
      <c r="J101" s="471"/>
      <c r="K101" s="471"/>
      <c r="L101" s="471"/>
      <c r="M101" s="471"/>
      <c r="N101" s="471"/>
      <c r="O101" s="471"/>
      <c r="S101" s="577"/>
    </row>
    <row r="102" spans="1:19" ht="21" customHeight="1">
      <c r="A102" s="471"/>
      <c r="B102" s="471"/>
      <c r="C102" s="471"/>
      <c r="D102" s="471"/>
      <c r="E102" s="471"/>
      <c r="F102" s="471"/>
      <c r="G102" s="471"/>
      <c r="H102" s="471"/>
      <c r="I102" s="471"/>
      <c r="J102" s="471"/>
      <c r="K102" s="471"/>
      <c r="L102" s="471"/>
      <c r="M102" s="471"/>
      <c r="N102" s="471"/>
      <c r="O102" s="471"/>
      <c r="S102" s="577"/>
    </row>
    <row r="103" spans="1:19" ht="21" customHeight="1">
      <c r="A103" s="471"/>
      <c r="B103" s="471"/>
      <c r="C103" s="471"/>
      <c r="D103" s="471"/>
      <c r="E103" s="471"/>
      <c r="F103" s="471"/>
      <c r="G103" s="471"/>
      <c r="H103" s="471"/>
      <c r="I103" s="471"/>
      <c r="J103" s="471"/>
      <c r="K103" s="471"/>
      <c r="L103" s="471"/>
      <c r="M103" s="471"/>
      <c r="N103" s="471"/>
      <c r="O103" s="471"/>
      <c r="S103" s="577"/>
    </row>
    <row r="104" spans="1:19" ht="21" customHeight="1">
      <c r="A104" s="471"/>
      <c r="B104" s="471"/>
      <c r="C104" s="471"/>
      <c r="D104" s="471"/>
      <c r="E104" s="471"/>
      <c r="F104" s="471"/>
      <c r="G104" s="471"/>
      <c r="H104" s="471"/>
      <c r="I104" s="471"/>
      <c r="J104" s="471"/>
      <c r="K104" s="471"/>
      <c r="L104" s="471"/>
      <c r="M104" s="471"/>
      <c r="N104" s="471"/>
      <c r="O104" s="471"/>
      <c r="S104" s="577"/>
    </row>
    <row r="105" spans="1:19" ht="21" customHeight="1">
      <c r="A105" s="471"/>
      <c r="B105" s="471"/>
      <c r="C105" s="471"/>
      <c r="D105" s="471"/>
      <c r="E105" s="471"/>
      <c r="F105" s="471"/>
      <c r="G105" s="471"/>
      <c r="H105" s="471"/>
      <c r="I105" s="471"/>
      <c r="J105" s="471"/>
      <c r="K105" s="471"/>
      <c r="L105" s="471"/>
      <c r="M105" s="471"/>
      <c r="N105" s="471"/>
      <c r="O105" s="471"/>
      <c r="S105" s="577"/>
    </row>
    <row r="106" spans="1:19" ht="21" customHeight="1">
      <c r="A106" s="471"/>
      <c r="B106" s="471"/>
      <c r="C106" s="471"/>
      <c r="D106" s="471"/>
      <c r="E106" s="471"/>
      <c r="F106" s="471"/>
      <c r="G106" s="471"/>
      <c r="H106" s="471"/>
      <c r="I106" s="471"/>
      <c r="J106" s="471"/>
      <c r="K106" s="471"/>
      <c r="L106" s="471"/>
      <c r="M106" s="471"/>
      <c r="N106" s="471"/>
      <c r="O106" s="471"/>
      <c r="S106" s="577"/>
    </row>
    <row r="107" spans="1:19" ht="21" customHeight="1">
      <c r="A107" s="471"/>
      <c r="B107" s="471"/>
      <c r="C107" s="471"/>
      <c r="D107" s="471"/>
      <c r="E107" s="471"/>
      <c r="F107" s="471"/>
      <c r="G107" s="471"/>
      <c r="H107" s="471"/>
      <c r="I107" s="471"/>
      <c r="J107" s="471"/>
      <c r="K107" s="471"/>
      <c r="L107" s="471"/>
      <c r="M107" s="471"/>
      <c r="N107" s="471"/>
      <c r="O107" s="471"/>
      <c r="S107" s="577"/>
    </row>
    <row r="108" spans="1:19" ht="21" customHeight="1">
      <c r="A108" s="471"/>
      <c r="B108" s="471"/>
      <c r="C108" s="471"/>
      <c r="D108" s="471"/>
      <c r="E108" s="471"/>
      <c r="F108" s="471"/>
      <c r="G108" s="471"/>
      <c r="H108" s="471"/>
      <c r="I108" s="471"/>
      <c r="J108" s="471"/>
      <c r="K108" s="471"/>
      <c r="L108" s="471"/>
      <c r="M108" s="471"/>
      <c r="N108" s="471"/>
      <c r="O108" s="471"/>
      <c r="S108" s="577"/>
    </row>
    <row r="109" spans="1:19" ht="21" customHeight="1">
      <c r="A109" s="471"/>
      <c r="B109" s="471"/>
      <c r="C109" s="471"/>
      <c r="D109" s="471"/>
      <c r="E109" s="471"/>
      <c r="F109" s="471"/>
      <c r="G109" s="471"/>
      <c r="H109" s="471"/>
      <c r="I109" s="471"/>
      <c r="J109" s="471"/>
      <c r="K109" s="471"/>
      <c r="L109" s="471"/>
      <c r="M109" s="471"/>
      <c r="N109" s="471"/>
      <c r="O109" s="471"/>
      <c r="S109" s="577"/>
    </row>
    <row r="110" spans="1:19" ht="21" customHeight="1">
      <c r="A110" s="471"/>
      <c r="B110" s="471"/>
      <c r="C110" s="471"/>
      <c r="D110" s="471"/>
      <c r="E110" s="471"/>
      <c r="F110" s="471"/>
      <c r="G110" s="471"/>
      <c r="H110" s="471"/>
      <c r="I110" s="471"/>
      <c r="J110" s="471"/>
      <c r="K110" s="471"/>
      <c r="L110" s="471"/>
      <c r="M110" s="471"/>
      <c r="N110" s="471"/>
      <c r="O110" s="471"/>
      <c r="S110" s="577"/>
    </row>
    <row r="111" spans="1:19" ht="21" customHeight="1">
      <c r="A111" s="471"/>
      <c r="B111" s="471"/>
      <c r="C111" s="471"/>
      <c r="D111" s="471"/>
      <c r="E111" s="471"/>
      <c r="F111" s="471"/>
      <c r="G111" s="471"/>
      <c r="H111" s="471"/>
      <c r="I111" s="471"/>
      <c r="J111" s="471"/>
      <c r="K111" s="471"/>
      <c r="L111" s="471"/>
      <c r="M111" s="471"/>
      <c r="N111" s="471"/>
      <c r="O111" s="471"/>
      <c r="S111" s="577"/>
    </row>
    <row r="112" spans="1:19" ht="21" customHeight="1">
      <c r="A112" s="471"/>
      <c r="B112" s="471"/>
      <c r="C112" s="471"/>
      <c r="D112" s="471"/>
      <c r="E112" s="471"/>
      <c r="F112" s="471"/>
      <c r="G112" s="471"/>
      <c r="H112" s="471"/>
      <c r="I112" s="471"/>
      <c r="J112" s="471"/>
      <c r="K112" s="471"/>
      <c r="L112" s="471"/>
      <c r="M112" s="471"/>
      <c r="N112" s="471"/>
      <c r="O112" s="471"/>
      <c r="S112" s="577"/>
    </row>
    <row r="113" spans="1:19" ht="21" customHeight="1">
      <c r="A113" s="471"/>
      <c r="B113" s="471"/>
      <c r="C113" s="471"/>
      <c r="D113" s="471"/>
      <c r="E113" s="471"/>
      <c r="F113" s="471"/>
      <c r="G113" s="471"/>
      <c r="H113" s="471"/>
      <c r="I113" s="471"/>
      <c r="J113" s="471"/>
      <c r="K113" s="471"/>
      <c r="L113" s="471"/>
      <c r="M113" s="471"/>
      <c r="N113" s="471"/>
      <c r="O113" s="471"/>
      <c r="S113" s="577"/>
    </row>
    <row r="114" spans="1:19" ht="21" customHeight="1">
      <c r="A114" s="471"/>
      <c r="B114" s="471"/>
      <c r="C114" s="471"/>
      <c r="D114" s="471"/>
      <c r="E114" s="471"/>
      <c r="F114" s="471"/>
      <c r="G114" s="471"/>
      <c r="H114" s="471"/>
      <c r="I114" s="471"/>
      <c r="J114" s="471"/>
      <c r="K114" s="471"/>
      <c r="L114" s="471"/>
      <c r="M114" s="471"/>
      <c r="N114" s="471"/>
      <c r="O114" s="471"/>
      <c r="S114" s="577"/>
    </row>
    <row r="115" spans="1:19" ht="21" customHeight="1">
      <c r="A115" s="471"/>
      <c r="B115" s="471"/>
      <c r="C115" s="471"/>
      <c r="D115" s="471"/>
      <c r="E115" s="471"/>
      <c r="F115" s="471"/>
      <c r="G115" s="471"/>
      <c r="H115" s="471"/>
      <c r="I115" s="471"/>
      <c r="J115" s="471"/>
      <c r="K115" s="471"/>
      <c r="L115" s="471"/>
      <c r="M115" s="471"/>
      <c r="N115" s="471"/>
      <c r="O115" s="471"/>
      <c r="S115" s="577"/>
    </row>
    <row r="116" spans="1:19" ht="21" customHeight="1">
      <c r="A116" s="471"/>
      <c r="B116" s="471"/>
      <c r="C116" s="471"/>
      <c r="D116" s="471"/>
      <c r="E116" s="471"/>
      <c r="F116" s="471"/>
      <c r="G116" s="471"/>
      <c r="H116" s="471"/>
      <c r="I116" s="471"/>
      <c r="J116" s="471"/>
      <c r="K116" s="471"/>
      <c r="L116" s="471"/>
      <c r="M116" s="471"/>
      <c r="N116" s="471"/>
      <c r="O116" s="471"/>
      <c r="S116" s="577"/>
    </row>
    <row r="117" spans="1:19" ht="21" customHeight="1">
      <c r="A117" s="471"/>
      <c r="B117" s="471"/>
      <c r="C117" s="471"/>
      <c r="D117" s="471"/>
      <c r="E117" s="471"/>
      <c r="F117" s="471"/>
      <c r="G117" s="471"/>
      <c r="H117" s="471"/>
      <c r="I117" s="471"/>
      <c r="J117" s="471"/>
      <c r="K117" s="471"/>
      <c r="L117" s="471"/>
      <c r="M117" s="471"/>
      <c r="N117" s="471"/>
      <c r="O117" s="471"/>
      <c r="S117" s="577"/>
    </row>
    <row r="118" spans="1:19" ht="21" customHeight="1">
      <c r="A118" s="471"/>
      <c r="B118" s="471"/>
      <c r="C118" s="471"/>
      <c r="D118" s="471"/>
      <c r="E118" s="471"/>
      <c r="F118" s="471"/>
      <c r="G118" s="471"/>
      <c r="H118" s="471"/>
      <c r="I118" s="471"/>
      <c r="J118" s="471"/>
      <c r="K118" s="471"/>
      <c r="L118" s="471"/>
      <c r="M118" s="471"/>
      <c r="N118" s="471"/>
      <c r="O118" s="471"/>
      <c r="S118" s="577"/>
    </row>
    <row r="119" spans="1:19" ht="21" customHeight="1">
      <c r="A119" s="471"/>
      <c r="B119" s="471"/>
      <c r="C119" s="471"/>
      <c r="D119" s="471"/>
      <c r="E119" s="471"/>
      <c r="F119" s="471"/>
      <c r="G119" s="471"/>
      <c r="H119" s="471"/>
      <c r="I119" s="471"/>
      <c r="J119" s="471"/>
      <c r="K119" s="471"/>
      <c r="L119" s="471"/>
      <c r="M119" s="471"/>
      <c r="N119" s="471"/>
      <c r="O119" s="471"/>
      <c r="S119" s="577"/>
    </row>
    <row r="120" spans="1:19" ht="21" customHeight="1">
      <c r="A120" s="471"/>
      <c r="B120" s="471"/>
      <c r="C120" s="471"/>
      <c r="D120" s="471"/>
      <c r="E120" s="471"/>
      <c r="F120" s="471"/>
      <c r="G120" s="471"/>
      <c r="H120" s="471"/>
      <c r="I120" s="471"/>
      <c r="J120" s="471"/>
      <c r="K120" s="471"/>
      <c r="L120" s="471"/>
      <c r="M120" s="471"/>
      <c r="N120" s="471"/>
      <c r="O120" s="471"/>
      <c r="S120" s="577"/>
    </row>
    <row r="121" spans="1:19" ht="21" customHeight="1">
      <c r="A121" s="471"/>
      <c r="B121" s="471"/>
      <c r="C121" s="471"/>
      <c r="D121" s="471"/>
      <c r="E121" s="471"/>
      <c r="F121" s="471"/>
      <c r="G121" s="471"/>
      <c r="H121" s="471"/>
      <c r="I121" s="471"/>
      <c r="J121" s="471"/>
      <c r="K121" s="471"/>
      <c r="L121" s="471"/>
      <c r="M121" s="471"/>
      <c r="N121" s="471"/>
      <c r="O121" s="471"/>
      <c r="S121" s="577"/>
    </row>
    <row r="122" spans="1:19">
      <c r="A122" s="471"/>
      <c r="B122" s="471"/>
      <c r="C122" s="471"/>
      <c r="D122" s="471"/>
      <c r="E122" s="471"/>
      <c r="F122" s="471"/>
      <c r="G122" s="471"/>
      <c r="H122" s="471"/>
      <c r="I122" s="471"/>
      <c r="J122" s="471"/>
      <c r="K122" s="471"/>
      <c r="L122" s="471"/>
      <c r="M122" s="471"/>
      <c r="N122" s="471"/>
      <c r="O122" s="471"/>
      <c r="S122" s="577"/>
    </row>
    <row r="123" spans="1:19">
      <c r="A123" s="471"/>
      <c r="B123" s="471"/>
      <c r="C123" s="471"/>
      <c r="D123" s="471"/>
      <c r="E123" s="471"/>
      <c r="F123" s="471"/>
      <c r="G123" s="471"/>
      <c r="H123" s="471"/>
      <c r="I123" s="471"/>
      <c r="J123" s="471"/>
      <c r="K123" s="471"/>
      <c r="L123" s="471"/>
      <c r="M123" s="471"/>
      <c r="N123" s="471"/>
      <c r="O123" s="471"/>
      <c r="S123" s="577"/>
    </row>
    <row r="124" spans="1:19">
      <c r="A124" s="471"/>
      <c r="B124" s="471"/>
      <c r="C124" s="471"/>
      <c r="D124" s="471"/>
      <c r="E124" s="471"/>
      <c r="F124" s="471"/>
      <c r="G124" s="471"/>
      <c r="H124" s="471"/>
      <c r="I124" s="471"/>
      <c r="J124" s="471"/>
      <c r="K124" s="471"/>
      <c r="L124" s="471"/>
      <c r="M124" s="471"/>
      <c r="N124" s="471"/>
      <c r="O124" s="471"/>
      <c r="S124" s="577"/>
    </row>
    <row r="125" spans="1:19">
      <c r="A125" s="471"/>
      <c r="B125" s="471"/>
      <c r="C125" s="471"/>
      <c r="D125" s="471"/>
      <c r="E125" s="471"/>
      <c r="F125" s="471"/>
      <c r="G125" s="471"/>
      <c r="H125" s="471"/>
      <c r="I125" s="471"/>
      <c r="J125" s="471"/>
      <c r="K125" s="471"/>
      <c r="L125" s="471"/>
      <c r="M125" s="471"/>
      <c r="N125" s="471"/>
      <c r="O125" s="471"/>
      <c r="S125" s="577"/>
    </row>
    <row r="126" spans="1:19">
      <c r="A126" s="471"/>
      <c r="B126" s="471"/>
      <c r="C126" s="471"/>
      <c r="D126" s="471"/>
      <c r="E126" s="471"/>
      <c r="F126" s="471"/>
      <c r="G126" s="471"/>
      <c r="H126" s="471"/>
      <c r="I126" s="471"/>
      <c r="J126" s="471"/>
      <c r="K126" s="471"/>
      <c r="L126" s="471"/>
      <c r="M126" s="471"/>
      <c r="N126" s="471"/>
      <c r="O126" s="471"/>
      <c r="S126" s="577"/>
    </row>
    <row r="127" spans="1:19">
      <c r="A127" s="471"/>
      <c r="B127" s="471"/>
      <c r="C127" s="471"/>
      <c r="D127" s="471"/>
      <c r="E127" s="471"/>
      <c r="F127" s="471"/>
      <c r="G127" s="471"/>
      <c r="H127" s="471"/>
      <c r="I127" s="471"/>
      <c r="J127" s="471"/>
      <c r="K127" s="471"/>
      <c r="L127" s="471"/>
      <c r="M127" s="471"/>
      <c r="N127" s="471"/>
      <c r="O127" s="471"/>
      <c r="S127" s="577"/>
    </row>
    <row r="128" spans="1:19">
      <c r="A128" s="471"/>
      <c r="B128" s="471"/>
      <c r="C128" s="471"/>
      <c r="D128" s="471"/>
      <c r="E128" s="471"/>
      <c r="F128" s="471"/>
      <c r="G128" s="471"/>
      <c r="H128" s="471"/>
      <c r="I128" s="471"/>
      <c r="J128" s="471"/>
      <c r="K128" s="471"/>
      <c r="L128" s="471"/>
      <c r="M128" s="471"/>
      <c r="N128" s="471"/>
      <c r="O128" s="471"/>
      <c r="S128" s="577"/>
    </row>
    <row r="129" spans="1:19">
      <c r="A129" s="471"/>
      <c r="B129" s="471"/>
      <c r="C129" s="471"/>
      <c r="D129" s="471"/>
      <c r="E129" s="471"/>
      <c r="F129" s="471"/>
      <c r="G129" s="471"/>
      <c r="H129" s="471"/>
      <c r="I129" s="471"/>
      <c r="J129" s="471"/>
      <c r="K129" s="471"/>
      <c r="L129" s="471"/>
      <c r="M129" s="471"/>
      <c r="N129" s="471"/>
      <c r="O129" s="471"/>
      <c r="S129" s="577"/>
    </row>
    <row r="130" spans="1:19">
      <c r="A130" s="471"/>
      <c r="B130" s="471"/>
      <c r="C130" s="471"/>
      <c r="D130" s="471"/>
      <c r="E130" s="471"/>
      <c r="F130" s="471"/>
      <c r="G130" s="471"/>
      <c r="H130" s="471"/>
      <c r="I130" s="471"/>
      <c r="J130" s="471"/>
      <c r="K130" s="471"/>
      <c r="L130" s="471"/>
      <c r="M130" s="471"/>
      <c r="N130" s="471"/>
      <c r="O130" s="471"/>
      <c r="S130" s="577"/>
    </row>
    <row r="131" spans="1:19">
      <c r="A131" s="471"/>
      <c r="B131" s="471"/>
      <c r="C131" s="471"/>
      <c r="D131" s="471"/>
      <c r="E131" s="471"/>
      <c r="F131" s="471"/>
      <c r="G131" s="471"/>
      <c r="H131" s="471"/>
      <c r="I131" s="471"/>
      <c r="J131" s="471"/>
      <c r="K131" s="471"/>
      <c r="L131" s="471"/>
      <c r="M131" s="471"/>
      <c r="N131" s="471"/>
      <c r="O131" s="471"/>
      <c r="S131" s="577"/>
    </row>
    <row r="132" spans="1:19">
      <c r="A132" s="471"/>
      <c r="B132" s="471"/>
      <c r="C132" s="471"/>
      <c r="D132" s="471"/>
      <c r="E132" s="471"/>
      <c r="F132" s="471"/>
      <c r="G132" s="471"/>
      <c r="H132" s="471"/>
      <c r="I132" s="471"/>
      <c r="J132" s="471"/>
      <c r="K132" s="471"/>
      <c r="L132" s="471"/>
      <c r="M132" s="471"/>
      <c r="N132" s="471"/>
      <c r="O132" s="471"/>
      <c r="S132" s="577"/>
    </row>
    <row r="133" spans="1:19">
      <c r="A133" s="471"/>
      <c r="B133" s="471"/>
      <c r="C133" s="471"/>
      <c r="D133" s="471"/>
      <c r="E133" s="471"/>
      <c r="F133" s="471"/>
      <c r="G133" s="471"/>
      <c r="H133" s="471"/>
      <c r="I133" s="471"/>
      <c r="J133" s="471"/>
      <c r="K133" s="471"/>
      <c r="L133" s="471"/>
      <c r="M133" s="471"/>
      <c r="N133" s="471"/>
      <c r="O133" s="471"/>
      <c r="S133" s="577"/>
    </row>
    <row r="134" spans="1:19">
      <c r="A134" s="471"/>
      <c r="B134" s="471"/>
      <c r="C134" s="471"/>
      <c r="D134" s="471"/>
      <c r="E134" s="471"/>
      <c r="F134" s="471"/>
      <c r="G134" s="471"/>
      <c r="H134" s="471"/>
      <c r="I134" s="471"/>
      <c r="J134" s="471"/>
      <c r="K134" s="471"/>
      <c r="L134" s="471"/>
      <c r="M134" s="471"/>
      <c r="N134" s="471"/>
      <c r="O134" s="471"/>
      <c r="S134" s="577"/>
    </row>
    <row r="135" spans="1:19">
      <c r="A135" s="471"/>
      <c r="B135" s="471"/>
      <c r="C135" s="471"/>
      <c r="D135" s="471"/>
      <c r="E135" s="471"/>
      <c r="F135" s="471"/>
      <c r="G135" s="471"/>
      <c r="H135" s="471"/>
      <c r="I135" s="471"/>
      <c r="J135" s="471"/>
      <c r="K135" s="471"/>
      <c r="L135" s="471"/>
      <c r="M135" s="471"/>
      <c r="N135" s="471"/>
      <c r="O135" s="471"/>
      <c r="S135" s="577"/>
    </row>
    <row r="136" spans="1:19">
      <c r="A136" s="471"/>
      <c r="B136" s="471"/>
      <c r="C136" s="471"/>
      <c r="D136" s="471"/>
      <c r="E136" s="471"/>
      <c r="F136" s="471"/>
      <c r="G136" s="471"/>
      <c r="H136" s="471"/>
      <c r="I136" s="471"/>
      <c r="J136" s="471"/>
      <c r="K136" s="471"/>
      <c r="L136" s="471"/>
      <c r="M136" s="471"/>
      <c r="N136" s="471"/>
      <c r="O136" s="471"/>
      <c r="S136" s="577"/>
    </row>
    <row r="137" spans="1:19">
      <c r="A137" s="471"/>
      <c r="B137" s="471"/>
      <c r="C137" s="471"/>
      <c r="D137" s="471"/>
      <c r="E137" s="471"/>
      <c r="F137" s="471"/>
      <c r="G137" s="471"/>
      <c r="H137" s="471"/>
      <c r="I137" s="471"/>
      <c r="J137" s="471"/>
      <c r="K137" s="471"/>
      <c r="L137" s="471"/>
      <c r="M137" s="471"/>
      <c r="N137" s="471"/>
      <c r="O137" s="471"/>
      <c r="S137" s="577"/>
    </row>
    <row r="138" spans="1:19">
      <c r="A138" s="471"/>
      <c r="B138" s="471"/>
      <c r="C138" s="471"/>
      <c r="D138" s="471"/>
      <c r="E138" s="471"/>
      <c r="F138" s="471"/>
      <c r="G138" s="471"/>
      <c r="H138" s="471"/>
      <c r="I138" s="471"/>
      <c r="J138" s="471"/>
      <c r="K138" s="471"/>
      <c r="L138" s="471"/>
      <c r="M138" s="471"/>
      <c r="N138" s="471"/>
      <c r="O138" s="471"/>
      <c r="S138" s="577"/>
    </row>
    <row r="139" spans="1:19">
      <c r="A139" s="471"/>
      <c r="B139" s="471"/>
      <c r="C139" s="471"/>
      <c r="D139" s="471"/>
      <c r="E139" s="471"/>
      <c r="F139" s="471"/>
      <c r="G139" s="471"/>
      <c r="H139" s="471"/>
      <c r="I139" s="471"/>
      <c r="J139" s="471"/>
      <c r="K139" s="471"/>
      <c r="L139" s="471"/>
      <c r="M139" s="471"/>
      <c r="N139" s="471"/>
      <c r="O139" s="471"/>
      <c r="S139" s="577"/>
    </row>
    <row r="140" spans="1:19">
      <c r="A140" s="471"/>
      <c r="B140" s="471"/>
      <c r="C140" s="471"/>
      <c r="D140" s="471"/>
      <c r="E140" s="471"/>
      <c r="F140" s="471"/>
      <c r="G140" s="471"/>
      <c r="H140" s="471"/>
      <c r="I140" s="471"/>
      <c r="J140" s="471"/>
      <c r="K140" s="471"/>
      <c r="L140" s="471"/>
      <c r="M140" s="471"/>
      <c r="N140" s="471"/>
      <c r="O140" s="471"/>
      <c r="S140" s="577"/>
    </row>
    <row r="141" spans="1:19">
      <c r="A141" s="471"/>
      <c r="B141" s="471"/>
      <c r="C141" s="471"/>
      <c r="D141" s="471"/>
      <c r="E141" s="471"/>
      <c r="F141" s="471"/>
      <c r="G141" s="471"/>
      <c r="H141" s="471"/>
      <c r="I141" s="471"/>
      <c r="J141" s="471"/>
      <c r="K141" s="471"/>
      <c r="L141" s="471"/>
      <c r="M141" s="471"/>
      <c r="N141" s="471"/>
      <c r="O141" s="471"/>
      <c r="S141" s="577"/>
    </row>
    <row r="142" spans="1:19">
      <c r="A142" s="471"/>
      <c r="B142" s="471"/>
      <c r="C142" s="471"/>
      <c r="D142" s="471"/>
      <c r="E142" s="471"/>
      <c r="F142" s="471"/>
      <c r="G142" s="471"/>
      <c r="H142" s="471"/>
      <c r="I142" s="471"/>
      <c r="J142" s="471"/>
      <c r="K142" s="471"/>
      <c r="L142" s="471"/>
      <c r="M142" s="471"/>
      <c r="N142" s="471"/>
      <c r="O142" s="471"/>
      <c r="S142" s="577"/>
    </row>
    <row r="143" spans="1:19">
      <c r="A143" s="471"/>
      <c r="B143" s="471"/>
      <c r="C143" s="471"/>
      <c r="D143" s="471"/>
      <c r="E143" s="471"/>
      <c r="F143" s="471"/>
      <c r="G143" s="471"/>
      <c r="H143" s="471"/>
      <c r="I143" s="471"/>
      <c r="J143" s="471"/>
      <c r="K143" s="471"/>
      <c r="L143" s="471"/>
      <c r="M143" s="471"/>
      <c r="N143" s="471"/>
      <c r="O143" s="471"/>
      <c r="S143" s="577"/>
    </row>
    <row r="144" spans="1:19">
      <c r="A144" s="471"/>
      <c r="B144" s="471"/>
      <c r="C144" s="471"/>
      <c r="D144" s="471"/>
      <c r="E144" s="471"/>
      <c r="F144" s="471"/>
      <c r="G144" s="471"/>
      <c r="H144" s="471"/>
      <c r="I144" s="471"/>
      <c r="J144" s="471"/>
      <c r="K144" s="471"/>
      <c r="L144" s="471"/>
      <c r="M144" s="471"/>
      <c r="N144" s="471"/>
      <c r="O144" s="471"/>
      <c r="S144" s="577"/>
    </row>
    <row r="145" spans="1:19">
      <c r="A145" s="471"/>
      <c r="B145" s="471"/>
      <c r="C145" s="471"/>
      <c r="D145" s="471"/>
      <c r="E145" s="471"/>
      <c r="F145" s="471"/>
      <c r="G145" s="471"/>
      <c r="H145" s="471"/>
      <c r="I145" s="471"/>
      <c r="J145" s="471"/>
      <c r="K145" s="471"/>
      <c r="L145" s="471"/>
      <c r="M145" s="471"/>
      <c r="N145" s="471"/>
      <c r="O145" s="471"/>
      <c r="S145" s="577"/>
    </row>
    <row r="146" spans="1:19">
      <c r="A146" s="471"/>
      <c r="B146" s="471"/>
      <c r="C146" s="471"/>
      <c r="D146" s="471"/>
      <c r="E146" s="471"/>
      <c r="F146" s="471"/>
      <c r="G146" s="471"/>
      <c r="H146" s="471"/>
      <c r="I146" s="471"/>
      <c r="J146" s="471"/>
      <c r="K146" s="471"/>
      <c r="L146" s="471"/>
      <c r="M146" s="471"/>
      <c r="N146" s="471"/>
      <c r="O146" s="471"/>
      <c r="S146" s="577"/>
    </row>
    <row r="147" spans="1:19">
      <c r="A147" s="471"/>
      <c r="B147" s="471"/>
      <c r="C147" s="471"/>
      <c r="D147" s="471"/>
      <c r="E147" s="471"/>
      <c r="F147" s="471"/>
      <c r="G147" s="471"/>
      <c r="H147" s="471"/>
      <c r="I147" s="471"/>
      <c r="J147" s="471"/>
      <c r="K147" s="471"/>
      <c r="L147" s="471"/>
      <c r="M147" s="471"/>
      <c r="N147" s="471"/>
      <c r="O147" s="471"/>
      <c r="S147" s="577"/>
    </row>
    <row r="148" spans="1:19">
      <c r="A148" s="471"/>
      <c r="B148" s="471"/>
      <c r="C148" s="471"/>
      <c r="D148" s="471"/>
      <c r="E148" s="471"/>
      <c r="F148" s="471"/>
      <c r="G148" s="471"/>
      <c r="H148" s="471"/>
      <c r="I148" s="471"/>
      <c r="J148" s="471"/>
      <c r="K148" s="471"/>
      <c r="L148" s="471"/>
      <c r="M148" s="471"/>
      <c r="N148" s="471"/>
      <c r="O148" s="471"/>
      <c r="S148" s="577"/>
    </row>
    <row r="149" spans="1:19">
      <c r="A149" s="471"/>
      <c r="B149" s="471"/>
      <c r="C149" s="471"/>
      <c r="D149" s="471"/>
      <c r="E149" s="471"/>
      <c r="F149" s="471"/>
      <c r="G149" s="471"/>
      <c r="H149" s="471"/>
      <c r="I149" s="471"/>
      <c r="J149" s="471"/>
      <c r="K149" s="471"/>
      <c r="L149" s="471"/>
      <c r="M149" s="471"/>
      <c r="N149" s="471"/>
      <c r="O149" s="471"/>
      <c r="S149" s="577"/>
    </row>
    <row r="150" spans="1:19">
      <c r="A150" s="471"/>
      <c r="B150" s="471"/>
      <c r="C150" s="471"/>
      <c r="D150" s="471"/>
      <c r="E150" s="471"/>
      <c r="F150" s="471"/>
      <c r="G150" s="471"/>
      <c r="H150" s="471"/>
      <c r="I150" s="471"/>
      <c r="J150" s="471"/>
      <c r="K150" s="471"/>
      <c r="L150" s="471"/>
      <c r="M150" s="471"/>
      <c r="N150" s="471"/>
      <c r="O150" s="471"/>
      <c r="S150" s="577"/>
    </row>
    <row r="151" spans="1:19">
      <c r="A151" s="471"/>
      <c r="B151" s="471"/>
      <c r="C151" s="471"/>
      <c r="D151" s="471"/>
      <c r="E151" s="471"/>
      <c r="F151" s="471"/>
      <c r="G151" s="471"/>
      <c r="H151" s="471"/>
      <c r="I151" s="471"/>
      <c r="J151" s="471"/>
      <c r="K151" s="471"/>
      <c r="L151" s="471"/>
      <c r="M151" s="471"/>
      <c r="N151" s="471"/>
      <c r="O151" s="471"/>
      <c r="S151" s="577"/>
    </row>
    <row r="152" spans="1:19">
      <c r="A152" s="471"/>
      <c r="B152" s="471"/>
      <c r="C152" s="471"/>
      <c r="D152" s="471"/>
      <c r="E152" s="471"/>
      <c r="F152" s="471"/>
      <c r="G152" s="471"/>
      <c r="H152" s="471"/>
      <c r="I152" s="471"/>
      <c r="J152" s="471"/>
      <c r="K152" s="471"/>
      <c r="L152" s="471"/>
      <c r="M152" s="471"/>
      <c r="N152" s="471"/>
      <c r="O152" s="471"/>
      <c r="S152" s="577"/>
    </row>
    <row r="153" spans="1:19">
      <c r="A153" s="471"/>
      <c r="B153" s="471"/>
      <c r="C153" s="471"/>
      <c r="D153" s="471"/>
      <c r="E153" s="471"/>
      <c r="F153" s="471"/>
      <c r="G153" s="471"/>
      <c r="H153" s="471"/>
      <c r="I153" s="471"/>
      <c r="J153" s="471"/>
      <c r="K153" s="471"/>
      <c r="L153" s="471"/>
      <c r="M153" s="471"/>
      <c r="N153" s="471"/>
      <c r="O153" s="471"/>
      <c r="S153" s="577"/>
    </row>
    <row r="154" spans="1:19">
      <c r="A154" s="471"/>
      <c r="B154" s="471"/>
      <c r="C154" s="471"/>
      <c r="D154" s="471"/>
      <c r="E154" s="471"/>
      <c r="F154" s="471"/>
      <c r="G154" s="471"/>
      <c r="H154" s="471"/>
      <c r="I154" s="471"/>
      <c r="J154" s="471"/>
      <c r="K154" s="471"/>
      <c r="L154" s="471"/>
      <c r="M154" s="471"/>
      <c r="N154" s="471"/>
      <c r="O154" s="471"/>
      <c r="S154" s="577"/>
    </row>
    <row r="155" spans="1:19">
      <c r="A155" s="471"/>
      <c r="B155" s="471"/>
      <c r="C155" s="471"/>
      <c r="D155" s="471"/>
      <c r="E155" s="471"/>
      <c r="F155" s="471"/>
      <c r="G155" s="471"/>
      <c r="H155" s="471"/>
      <c r="I155" s="471"/>
      <c r="J155" s="471"/>
      <c r="K155" s="471"/>
      <c r="L155" s="471"/>
      <c r="M155" s="471"/>
      <c r="N155" s="471"/>
      <c r="O155" s="471"/>
      <c r="S155" s="577"/>
    </row>
    <row r="156" spans="1:19">
      <c r="A156" s="471"/>
      <c r="B156" s="471"/>
      <c r="C156" s="471"/>
      <c r="D156" s="471"/>
      <c r="E156" s="471"/>
      <c r="F156" s="471"/>
      <c r="G156" s="471"/>
      <c r="H156" s="471"/>
      <c r="I156" s="471"/>
      <c r="J156" s="471"/>
      <c r="K156" s="471"/>
      <c r="L156" s="471"/>
      <c r="M156" s="471"/>
      <c r="N156" s="471"/>
      <c r="O156" s="471"/>
      <c r="S156" s="577"/>
    </row>
    <row r="157" spans="1:19">
      <c r="A157" s="471"/>
      <c r="B157" s="471"/>
      <c r="C157" s="471"/>
      <c r="D157" s="471"/>
      <c r="E157" s="471"/>
      <c r="F157" s="471"/>
      <c r="G157" s="471"/>
      <c r="H157" s="471"/>
      <c r="I157" s="471"/>
      <c r="J157" s="471"/>
      <c r="K157" s="471"/>
      <c r="L157" s="471"/>
      <c r="M157" s="471"/>
      <c r="N157" s="471"/>
      <c r="O157" s="471"/>
      <c r="S157" s="577"/>
    </row>
    <row r="158" spans="1:19">
      <c r="A158" s="471"/>
      <c r="B158" s="471"/>
      <c r="C158" s="471"/>
      <c r="D158" s="471"/>
      <c r="E158" s="471"/>
      <c r="F158" s="471"/>
      <c r="G158" s="471"/>
      <c r="H158" s="471"/>
      <c r="I158" s="471"/>
      <c r="J158" s="471"/>
      <c r="K158" s="471"/>
      <c r="L158" s="471"/>
      <c r="M158" s="471"/>
      <c r="N158" s="471"/>
      <c r="O158" s="471"/>
      <c r="S158" s="577"/>
    </row>
    <row r="159" spans="1:19">
      <c r="A159" s="471"/>
      <c r="B159" s="471"/>
      <c r="C159" s="471"/>
      <c r="D159" s="471"/>
      <c r="E159" s="471"/>
      <c r="F159" s="471"/>
      <c r="G159" s="471"/>
      <c r="H159" s="471"/>
      <c r="I159" s="471"/>
      <c r="J159" s="471"/>
      <c r="K159" s="471"/>
      <c r="L159" s="471"/>
      <c r="M159" s="471"/>
      <c r="N159" s="471"/>
      <c r="O159" s="471"/>
      <c r="S159" s="577"/>
    </row>
    <row r="160" spans="1:19">
      <c r="A160" s="471"/>
      <c r="B160" s="471"/>
      <c r="C160" s="471"/>
      <c r="D160" s="471"/>
      <c r="E160" s="471"/>
      <c r="F160" s="471"/>
      <c r="G160" s="471"/>
      <c r="H160" s="471"/>
      <c r="I160" s="471"/>
      <c r="J160" s="471"/>
      <c r="K160" s="471"/>
      <c r="L160" s="471"/>
      <c r="M160" s="471"/>
      <c r="N160" s="471"/>
      <c r="O160" s="471"/>
      <c r="S160" s="577"/>
    </row>
    <row r="161" spans="1:19">
      <c r="A161" s="471"/>
      <c r="B161" s="471"/>
      <c r="C161" s="471"/>
      <c r="D161" s="471"/>
      <c r="E161" s="471"/>
      <c r="F161" s="471"/>
      <c r="G161" s="471"/>
      <c r="H161" s="471"/>
      <c r="I161" s="471"/>
      <c r="J161" s="471"/>
      <c r="K161" s="471"/>
      <c r="L161" s="471"/>
      <c r="M161" s="471"/>
      <c r="N161" s="471"/>
      <c r="O161" s="471"/>
      <c r="S161" s="577"/>
    </row>
    <row r="162" spans="1:19">
      <c r="A162" s="471"/>
      <c r="B162" s="471"/>
      <c r="C162" s="471"/>
      <c r="D162" s="471"/>
      <c r="E162" s="471"/>
      <c r="F162" s="471"/>
      <c r="G162" s="471"/>
      <c r="H162" s="471"/>
      <c r="I162" s="471"/>
      <c r="J162" s="471"/>
      <c r="K162" s="471"/>
      <c r="L162" s="471"/>
      <c r="M162" s="471"/>
      <c r="N162" s="471"/>
      <c r="O162" s="471"/>
      <c r="S162" s="577"/>
    </row>
    <row r="163" spans="1:19">
      <c r="A163" s="471"/>
      <c r="B163" s="471"/>
      <c r="C163" s="471"/>
      <c r="D163" s="471"/>
      <c r="E163" s="471"/>
      <c r="F163" s="471"/>
      <c r="G163" s="471"/>
      <c r="H163" s="471"/>
      <c r="I163" s="471"/>
      <c r="J163" s="471"/>
      <c r="K163" s="471"/>
      <c r="L163" s="471"/>
      <c r="M163" s="471"/>
      <c r="N163" s="471"/>
      <c r="O163" s="471"/>
      <c r="S163" s="577"/>
    </row>
    <row r="164" spans="1:19">
      <c r="A164" s="471"/>
      <c r="B164" s="471"/>
      <c r="C164" s="471"/>
      <c r="D164" s="471"/>
      <c r="E164" s="471"/>
      <c r="F164" s="471"/>
      <c r="G164" s="471"/>
      <c r="H164" s="471"/>
      <c r="I164" s="471"/>
      <c r="J164" s="471"/>
      <c r="K164" s="471"/>
      <c r="L164" s="471"/>
      <c r="M164" s="471"/>
      <c r="N164" s="471"/>
      <c r="O164" s="471"/>
      <c r="S164" s="577"/>
    </row>
    <row r="165" spans="1:19">
      <c r="A165" s="471"/>
      <c r="B165" s="471"/>
      <c r="C165" s="471"/>
      <c r="D165" s="471"/>
      <c r="E165" s="471"/>
      <c r="F165" s="471"/>
      <c r="G165" s="471"/>
      <c r="H165" s="471"/>
      <c r="I165" s="471"/>
      <c r="J165" s="471"/>
      <c r="K165" s="471"/>
      <c r="L165" s="471"/>
      <c r="M165" s="471"/>
      <c r="N165" s="471"/>
      <c r="O165" s="471"/>
      <c r="S165" s="577"/>
    </row>
  </sheetData>
  <sheetProtection insertColumns="0" insertRows="0" deleteColumns="0" deleteRows="0"/>
  <dataConsolidate/>
  <mergeCells count="176">
    <mergeCell ref="B61:D61"/>
    <mergeCell ref="B62:D62"/>
    <mergeCell ref="B63:D63"/>
    <mergeCell ref="B64:D64"/>
    <mergeCell ref="B65:D65"/>
    <mergeCell ref="B66:D66"/>
    <mergeCell ref="B67:D67"/>
    <mergeCell ref="B68:D68"/>
    <mergeCell ref="B52:D52"/>
    <mergeCell ref="B53:D53"/>
    <mergeCell ref="B54:D54"/>
    <mergeCell ref="B55:D55"/>
    <mergeCell ref="B56:D56"/>
    <mergeCell ref="B57:D57"/>
    <mergeCell ref="B58:D58"/>
    <mergeCell ref="B59:D59"/>
    <mergeCell ref="B60:D60"/>
    <mergeCell ref="A2:V2"/>
    <mergeCell ref="M3:O3"/>
    <mergeCell ref="P3:V3"/>
    <mergeCell ref="M4:O4"/>
    <mergeCell ref="P4:T4"/>
    <mergeCell ref="U4:V4"/>
    <mergeCell ref="B10:D10"/>
    <mergeCell ref="G10:J10"/>
    <mergeCell ref="P10:R10"/>
    <mergeCell ref="B8:D8"/>
    <mergeCell ref="G8:J8"/>
    <mergeCell ref="P8:R8"/>
    <mergeCell ref="M5:O5"/>
    <mergeCell ref="P5:T5"/>
    <mergeCell ref="U5:V5"/>
    <mergeCell ref="B7:D7"/>
    <mergeCell ref="G7:J7"/>
    <mergeCell ref="P7:R7"/>
    <mergeCell ref="B11:D11"/>
    <mergeCell ref="G11:J11"/>
    <mergeCell ref="P11:R11"/>
    <mergeCell ref="B9:D9"/>
    <mergeCell ref="G9:J9"/>
    <mergeCell ref="P9:R9"/>
    <mergeCell ref="B14:D14"/>
    <mergeCell ref="G14:J14"/>
    <mergeCell ref="P14:R14"/>
    <mergeCell ref="B15:D15"/>
    <mergeCell ref="G15:J15"/>
    <mergeCell ref="P15:R15"/>
    <mergeCell ref="B12:D12"/>
    <mergeCell ref="G12:J12"/>
    <mergeCell ref="P12:R12"/>
    <mergeCell ref="B13:D13"/>
    <mergeCell ref="G13:J13"/>
    <mergeCell ref="P13:R13"/>
    <mergeCell ref="B18:D18"/>
    <mergeCell ref="G18:J18"/>
    <mergeCell ref="P18:R18"/>
    <mergeCell ref="B19:D19"/>
    <mergeCell ref="G19:J19"/>
    <mergeCell ref="P19:R19"/>
    <mergeCell ref="B16:D16"/>
    <mergeCell ref="G16:J16"/>
    <mergeCell ref="P16:R16"/>
    <mergeCell ref="B17:D17"/>
    <mergeCell ref="G17:J17"/>
    <mergeCell ref="P17:R17"/>
    <mergeCell ref="B22:D22"/>
    <mergeCell ref="G22:J22"/>
    <mergeCell ref="P22:R22"/>
    <mergeCell ref="B23:D23"/>
    <mergeCell ref="G23:J23"/>
    <mergeCell ref="P23:R23"/>
    <mergeCell ref="B20:D20"/>
    <mergeCell ref="G20:J20"/>
    <mergeCell ref="P20:R20"/>
    <mergeCell ref="B21:D21"/>
    <mergeCell ref="G21:J21"/>
    <mergeCell ref="P21:R21"/>
    <mergeCell ref="B26:D26"/>
    <mergeCell ref="G26:J26"/>
    <mergeCell ref="P26:R26"/>
    <mergeCell ref="B27:D27"/>
    <mergeCell ref="G27:J27"/>
    <mergeCell ref="P27:R27"/>
    <mergeCell ref="B24:D24"/>
    <mergeCell ref="G24:J24"/>
    <mergeCell ref="P24:R24"/>
    <mergeCell ref="B25:D25"/>
    <mergeCell ref="G25:J25"/>
    <mergeCell ref="P25:R25"/>
    <mergeCell ref="B30:D30"/>
    <mergeCell ref="G30:J30"/>
    <mergeCell ref="P30:R30"/>
    <mergeCell ref="B31:D31"/>
    <mergeCell ref="G31:J31"/>
    <mergeCell ref="P31:R31"/>
    <mergeCell ref="B28:D28"/>
    <mergeCell ref="G28:J28"/>
    <mergeCell ref="P28:R28"/>
    <mergeCell ref="B29:D29"/>
    <mergeCell ref="G29:J29"/>
    <mergeCell ref="P29:R29"/>
    <mergeCell ref="B34:D34"/>
    <mergeCell ref="G34:J34"/>
    <mergeCell ref="P34:R34"/>
    <mergeCell ref="B35:D35"/>
    <mergeCell ref="G35:J35"/>
    <mergeCell ref="P35:R35"/>
    <mergeCell ref="B32:D32"/>
    <mergeCell ref="G32:J32"/>
    <mergeCell ref="P32:R32"/>
    <mergeCell ref="B33:D33"/>
    <mergeCell ref="G33:J33"/>
    <mergeCell ref="P33:R33"/>
    <mergeCell ref="B38:D38"/>
    <mergeCell ref="G38:J38"/>
    <mergeCell ref="P38:R38"/>
    <mergeCell ref="B39:D39"/>
    <mergeCell ref="G39:J39"/>
    <mergeCell ref="P39:R39"/>
    <mergeCell ref="B36:D36"/>
    <mergeCell ref="G36:J36"/>
    <mergeCell ref="P36:R36"/>
    <mergeCell ref="B37:D37"/>
    <mergeCell ref="G37:J37"/>
    <mergeCell ref="P37:R37"/>
    <mergeCell ref="B42:D42"/>
    <mergeCell ref="G42:J42"/>
    <mergeCell ref="P42:R42"/>
    <mergeCell ref="B43:D43"/>
    <mergeCell ref="G43:J43"/>
    <mergeCell ref="P43:R43"/>
    <mergeCell ref="B40:D40"/>
    <mergeCell ref="G40:J40"/>
    <mergeCell ref="P40:R40"/>
    <mergeCell ref="B41:D41"/>
    <mergeCell ref="G41:J41"/>
    <mergeCell ref="P41:R41"/>
    <mergeCell ref="B46:D46"/>
    <mergeCell ref="G46:J46"/>
    <mergeCell ref="P46:R46"/>
    <mergeCell ref="B47:D47"/>
    <mergeCell ref="G47:J47"/>
    <mergeCell ref="P47:R47"/>
    <mergeCell ref="B44:D44"/>
    <mergeCell ref="G44:J44"/>
    <mergeCell ref="P44:R44"/>
    <mergeCell ref="B45:D45"/>
    <mergeCell ref="G45:J45"/>
    <mergeCell ref="P45:R45"/>
    <mergeCell ref="B50:D50"/>
    <mergeCell ref="G50:J50"/>
    <mergeCell ref="P50:R50"/>
    <mergeCell ref="B51:D51"/>
    <mergeCell ref="G51:J51"/>
    <mergeCell ref="P51:R51"/>
    <mergeCell ref="B48:D48"/>
    <mergeCell ref="G48:J48"/>
    <mergeCell ref="P48:R48"/>
    <mergeCell ref="B49:D49"/>
    <mergeCell ref="G49:J49"/>
    <mergeCell ref="P49:R49"/>
    <mergeCell ref="A73:D73"/>
    <mergeCell ref="G73:J73"/>
    <mergeCell ref="P73:R73"/>
    <mergeCell ref="B69:D69"/>
    <mergeCell ref="G69:J69"/>
    <mergeCell ref="P69:R69"/>
    <mergeCell ref="B70:D70"/>
    <mergeCell ref="G70:J70"/>
    <mergeCell ref="P70:R70"/>
    <mergeCell ref="B71:D71"/>
    <mergeCell ref="G71:J71"/>
    <mergeCell ref="P71:R71"/>
    <mergeCell ref="B72:D72"/>
    <mergeCell ref="G72:J72"/>
    <mergeCell ref="P72:R72"/>
  </mergeCells>
  <phoneticPr fontId="1"/>
  <dataValidations count="5">
    <dataValidation type="list" allowBlank="1" showInputMessage="1" showErrorMessage="1" sqref="O8:O72" xr:uid="{E700D04F-717F-4B07-A072-08227AA9CC78}">
      <formula1>$AR$9:$AR$13</formula1>
    </dataValidation>
    <dataValidation type="whole" allowBlank="1" showInputMessage="1" showErrorMessage="1" sqref="F8:F72" xr:uid="{CF591B2A-3421-455F-AEC3-9B7612BBFE3A}">
      <formula1>1</formula1>
      <formula2>6</formula2>
    </dataValidation>
    <dataValidation type="whole" allowBlank="1" showInputMessage="1" showErrorMessage="1" sqref="T8:T72" xr:uid="{A037B403-5371-46B3-BC16-E5162230FD80}">
      <formula1>1</formula1>
      <formula2>12</formula2>
    </dataValidation>
    <dataValidation type="list" allowBlank="1" showInputMessage="1" showErrorMessage="1" sqref="K8:N72" xr:uid="{4BD7A8A7-ADCD-488F-BEC3-DFCC0A00403F}">
      <formula1>$AN$9:$AN$10</formula1>
    </dataValidation>
    <dataValidation type="list" allowBlank="1" showInputMessage="1" showErrorMessage="1" sqref="S8:S72" xr:uid="{BF855293-1981-4399-BD9D-EC8AF0DD095D}">
      <formula1>$AS$9:$AS$11</formula1>
    </dataValidation>
  </dataValidations>
  <pageMargins left="0.51181102362204722" right="0.51181102362204722" top="0.35433070866141736" bottom="0.19685039370078741" header="0.31496062992125984" footer="0.31496062992125984"/>
  <pageSetup paperSize="9" scale="53"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69159-2186-4699-93F5-62BFEC62D8F1}">
  <dimension ref="A1:S28"/>
  <sheetViews>
    <sheetView view="pageBreakPreview" zoomScaleNormal="100" zoomScaleSheetLayoutView="100" workbookViewId="0">
      <selection activeCell="M23" sqref="M23"/>
    </sheetView>
  </sheetViews>
  <sheetFormatPr defaultColWidth="9" defaultRowHeight="13.5"/>
  <cols>
    <col min="1" max="1" width="5" style="1" customWidth="1"/>
    <col min="2" max="2" width="7.125" style="1" bestFit="1" customWidth="1"/>
    <col min="3" max="3" width="9.375" style="1" customWidth="1"/>
    <col min="4" max="15" width="6.625" style="1" customWidth="1"/>
    <col min="16" max="16" width="7.625" style="1" customWidth="1"/>
    <col min="17" max="17" width="26.875" style="1" customWidth="1"/>
    <col min="18" max="18" width="9" style="1"/>
    <col min="19" max="19" width="9.125" style="1" bestFit="1" customWidth="1"/>
    <col min="20" max="16384" width="9" style="1"/>
  </cols>
  <sheetData>
    <row r="1" spans="1:17">
      <c r="A1" s="229" t="s">
        <v>603</v>
      </c>
      <c r="B1" s="229"/>
      <c r="C1" s="229"/>
      <c r="D1" s="229"/>
      <c r="E1" s="229"/>
      <c r="F1" s="229"/>
      <c r="G1" s="229"/>
      <c r="H1" s="229"/>
      <c r="I1" s="229"/>
      <c r="J1" s="229"/>
      <c r="K1" s="229"/>
      <c r="L1" s="229"/>
      <c r="M1" s="229"/>
      <c r="N1" s="229"/>
      <c r="O1" s="229"/>
      <c r="P1" s="229"/>
      <c r="Q1" s="229"/>
    </row>
    <row r="2" spans="1:17" ht="16.5">
      <c r="A2" s="229"/>
      <c r="B2" s="229"/>
      <c r="C2" s="229"/>
      <c r="D2" s="230" t="s">
        <v>159</v>
      </c>
      <c r="E2" s="229"/>
      <c r="F2" s="229"/>
      <c r="G2" s="229"/>
      <c r="H2" s="229"/>
      <c r="I2" s="229"/>
      <c r="J2" s="229"/>
      <c r="K2" s="229"/>
      <c r="L2" s="655" t="s">
        <v>426</v>
      </c>
      <c r="M2" s="655"/>
      <c r="N2" s="656" t="str">
        <f>鑑!G7</f>
        <v>はぐくみ学童クラブ</v>
      </c>
      <c r="O2" s="656"/>
      <c r="P2" s="656"/>
      <c r="Q2" s="656"/>
    </row>
    <row r="3" spans="1:17">
      <c r="A3" s="231" t="s">
        <v>133</v>
      </c>
      <c r="B3" s="229"/>
      <c r="C3" s="229"/>
      <c r="D3" s="229"/>
      <c r="E3" s="229"/>
      <c r="F3" s="229"/>
      <c r="G3" s="229"/>
      <c r="H3" s="229"/>
      <c r="I3" s="229"/>
      <c r="J3" s="229"/>
      <c r="K3" s="229"/>
      <c r="L3" s="229"/>
      <c r="M3" s="229"/>
      <c r="N3" s="229"/>
      <c r="O3" s="229"/>
      <c r="P3" s="229"/>
      <c r="Q3" s="229"/>
    </row>
    <row r="4" spans="1:17">
      <c r="A4" s="229"/>
      <c r="B4" s="229"/>
      <c r="C4" s="232"/>
      <c r="D4" s="233" t="s">
        <v>134</v>
      </c>
      <c r="E4" s="233" t="s">
        <v>135</v>
      </c>
      <c r="F4" s="233" t="s">
        <v>136</v>
      </c>
      <c r="G4" s="233" t="s">
        <v>137</v>
      </c>
      <c r="H4" s="233" t="s">
        <v>138</v>
      </c>
      <c r="I4" s="233" t="s">
        <v>139</v>
      </c>
      <c r="J4" s="233" t="s">
        <v>140</v>
      </c>
      <c r="K4" s="233" t="s">
        <v>141</v>
      </c>
      <c r="L4" s="233" t="s">
        <v>142</v>
      </c>
      <c r="M4" s="233" t="s">
        <v>143</v>
      </c>
      <c r="N4" s="233" t="s">
        <v>144</v>
      </c>
      <c r="O4" s="233" t="s">
        <v>145</v>
      </c>
      <c r="P4" s="234" t="s">
        <v>146</v>
      </c>
      <c r="Q4" s="229" t="s">
        <v>310</v>
      </c>
    </row>
    <row r="5" spans="1:17" ht="14.25" thickBot="1">
      <c r="A5" s="229"/>
      <c r="B5" s="657" t="s">
        <v>147</v>
      </c>
      <c r="C5" s="658"/>
      <c r="D5" s="235">
        <f>SUM(D7:D11)</f>
        <v>40</v>
      </c>
      <c r="E5" s="235">
        <f t="shared" ref="E5:O5" si="0">SUM(E7:E11)</f>
        <v>38</v>
      </c>
      <c r="F5" s="235">
        <f t="shared" si="0"/>
        <v>38</v>
      </c>
      <c r="G5" s="235">
        <f t="shared" si="0"/>
        <v>37</v>
      </c>
      <c r="H5" s="235">
        <f t="shared" si="0"/>
        <v>36</v>
      </c>
      <c r="I5" s="235">
        <f t="shared" si="0"/>
        <v>36</v>
      </c>
      <c r="J5" s="235">
        <f t="shared" si="0"/>
        <v>36</v>
      </c>
      <c r="K5" s="235">
        <f t="shared" si="0"/>
        <v>36</v>
      </c>
      <c r="L5" s="235">
        <f t="shared" si="0"/>
        <v>36</v>
      </c>
      <c r="M5" s="235">
        <f t="shared" si="0"/>
        <v>34</v>
      </c>
      <c r="N5" s="235">
        <f t="shared" si="0"/>
        <v>33</v>
      </c>
      <c r="O5" s="235">
        <f t="shared" si="0"/>
        <v>26</v>
      </c>
      <c r="P5" s="236">
        <f>SUM(D5:O5)</f>
        <v>426</v>
      </c>
      <c r="Q5" s="237" t="str">
        <f>IF(P5='様式１（放課後児童名簿・利用料割引者名簿）'!T73,"OK","様式1名簿と合っていません")</f>
        <v>様式1名簿と合っていません</v>
      </c>
    </row>
    <row r="6" spans="1:17" ht="14.25" thickBot="1">
      <c r="A6" s="229"/>
      <c r="B6" s="649" t="s">
        <v>148</v>
      </c>
      <c r="C6" s="659"/>
      <c r="D6" s="51">
        <v>3</v>
      </c>
      <c r="E6" s="51">
        <v>3</v>
      </c>
      <c r="F6" s="51">
        <v>3</v>
      </c>
      <c r="G6" s="51">
        <v>3</v>
      </c>
      <c r="H6" s="51">
        <v>3</v>
      </c>
      <c r="I6" s="51">
        <v>3</v>
      </c>
      <c r="J6" s="51">
        <v>3</v>
      </c>
      <c r="K6" s="51">
        <v>3</v>
      </c>
      <c r="L6" s="51">
        <v>2</v>
      </c>
      <c r="M6" s="51">
        <v>1</v>
      </c>
      <c r="N6" s="51">
        <v>1</v>
      </c>
      <c r="O6" s="52">
        <v>1</v>
      </c>
      <c r="P6" s="238">
        <f>SUM(D6:O6)</f>
        <v>29</v>
      </c>
      <c r="Q6" s="229" t="str">
        <f>IF(P6='様式１（放課後児童名簿・利用料割引者名簿）'!P76,"OK","様式１名簿と合っていません")</f>
        <v>様式１名簿と合っていません</v>
      </c>
    </row>
    <row r="7" spans="1:17">
      <c r="A7" s="229"/>
      <c r="B7" s="660" t="s">
        <v>149</v>
      </c>
      <c r="C7" s="239" t="s">
        <v>150</v>
      </c>
      <c r="D7" s="53">
        <v>32</v>
      </c>
      <c r="E7" s="53">
        <v>30</v>
      </c>
      <c r="F7" s="53">
        <v>30</v>
      </c>
      <c r="G7" s="53">
        <v>29</v>
      </c>
      <c r="H7" s="53">
        <v>29</v>
      </c>
      <c r="I7" s="53">
        <v>29</v>
      </c>
      <c r="J7" s="54">
        <v>29</v>
      </c>
      <c r="K7" s="54">
        <v>29</v>
      </c>
      <c r="L7" s="54">
        <v>29</v>
      </c>
      <c r="M7" s="54">
        <v>28</v>
      </c>
      <c r="N7" s="54">
        <v>27</v>
      </c>
      <c r="O7" s="54">
        <v>20</v>
      </c>
      <c r="P7" s="238">
        <f t="shared" ref="P7:P11" si="1">SUM(D7:O7)</f>
        <v>341</v>
      </c>
      <c r="Q7" s="229" t="str">
        <f>IF(P7='様式１（放課後児童名簿・利用料割引者名簿）'!K76,"OK","様式１名簿と合っていません")</f>
        <v>様式１名簿と合っていません</v>
      </c>
    </row>
    <row r="8" spans="1:17">
      <c r="A8" s="229"/>
      <c r="B8" s="661"/>
      <c r="C8" s="240" t="s">
        <v>151</v>
      </c>
      <c r="D8" s="55">
        <v>4</v>
      </c>
      <c r="E8" s="55">
        <v>4</v>
      </c>
      <c r="F8" s="55">
        <v>4</v>
      </c>
      <c r="G8" s="55">
        <v>4</v>
      </c>
      <c r="H8" s="55">
        <v>4</v>
      </c>
      <c r="I8" s="55">
        <v>4</v>
      </c>
      <c r="J8" s="56">
        <v>4</v>
      </c>
      <c r="K8" s="56">
        <v>4</v>
      </c>
      <c r="L8" s="56">
        <v>4</v>
      </c>
      <c r="M8" s="56">
        <v>4</v>
      </c>
      <c r="N8" s="56">
        <v>4</v>
      </c>
      <c r="O8" s="56">
        <v>4</v>
      </c>
      <c r="P8" s="238">
        <f t="shared" si="1"/>
        <v>48</v>
      </c>
      <c r="Q8" s="229" t="str">
        <f>IF(P8='様式１（放課後児童名簿・利用料割引者名簿）'!L76,"OK","様式１名簿と合っていません")</f>
        <v>OK</v>
      </c>
    </row>
    <row r="9" spans="1:17">
      <c r="A9" s="229"/>
      <c r="B9" s="661"/>
      <c r="C9" s="240" t="s">
        <v>152</v>
      </c>
      <c r="D9" s="55">
        <v>1</v>
      </c>
      <c r="E9" s="55">
        <v>1</v>
      </c>
      <c r="F9" s="55">
        <v>1</v>
      </c>
      <c r="G9" s="55">
        <v>1</v>
      </c>
      <c r="H9" s="55">
        <v>1</v>
      </c>
      <c r="I9" s="55">
        <v>1</v>
      </c>
      <c r="J9" s="56">
        <v>1</v>
      </c>
      <c r="K9" s="56">
        <v>1</v>
      </c>
      <c r="L9" s="56">
        <v>1</v>
      </c>
      <c r="M9" s="56">
        <v>1</v>
      </c>
      <c r="N9" s="56">
        <v>1</v>
      </c>
      <c r="O9" s="56">
        <v>1</v>
      </c>
      <c r="P9" s="238">
        <f t="shared" si="1"/>
        <v>12</v>
      </c>
      <c r="Q9" s="229" t="str">
        <f>IF(P9='様式１（放課後児童名簿・利用料割引者名簿）'!M76,"OK","様式１名簿と合っていません")</f>
        <v>OK</v>
      </c>
    </row>
    <row r="10" spans="1:17">
      <c r="A10" s="229"/>
      <c r="B10" s="661"/>
      <c r="C10" s="240" t="s">
        <v>153</v>
      </c>
      <c r="D10" s="55">
        <v>1</v>
      </c>
      <c r="E10" s="55">
        <v>1</v>
      </c>
      <c r="F10" s="55">
        <v>1</v>
      </c>
      <c r="G10" s="55">
        <v>1</v>
      </c>
      <c r="H10" s="55"/>
      <c r="I10" s="55"/>
      <c r="J10" s="56"/>
      <c r="K10" s="56"/>
      <c r="L10" s="56"/>
      <c r="M10" s="56"/>
      <c r="N10" s="56"/>
      <c r="O10" s="56"/>
      <c r="P10" s="238">
        <f t="shared" si="1"/>
        <v>4</v>
      </c>
      <c r="Q10" s="229" t="str">
        <f>IF(P10='様式１（放課後児童名簿・利用料割引者名簿）'!N76,"OK","様式１名簿と合っていません")</f>
        <v>OK</v>
      </c>
    </row>
    <row r="11" spans="1:17" ht="14.25" thickBot="1">
      <c r="A11" s="229"/>
      <c r="B11" s="661"/>
      <c r="C11" s="241" t="s">
        <v>154</v>
      </c>
      <c r="D11" s="57">
        <v>2</v>
      </c>
      <c r="E11" s="57">
        <v>2</v>
      </c>
      <c r="F11" s="57">
        <v>2</v>
      </c>
      <c r="G11" s="57">
        <v>2</v>
      </c>
      <c r="H11" s="57">
        <v>2</v>
      </c>
      <c r="I11" s="57">
        <v>2</v>
      </c>
      <c r="J11" s="58">
        <v>2</v>
      </c>
      <c r="K11" s="58">
        <v>2</v>
      </c>
      <c r="L11" s="58">
        <v>2</v>
      </c>
      <c r="M11" s="58">
        <v>1</v>
      </c>
      <c r="N11" s="58">
        <v>1</v>
      </c>
      <c r="O11" s="58">
        <v>1</v>
      </c>
      <c r="P11" s="238">
        <f t="shared" si="1"/>
        <v>21</v>
      </c>
      <c r="Q11" s="229" t="str">
        <f>IF(P11='様式１（放課後児童名簿・利用料割引者名簿）'!O76,"OK","様式１名簿と合っていません")</f>
        <v>OK</v>
      </c>
    </row>
    <row r="12" spans="1:17" ht="14.25" thickBot="1">
      <c r="A12" s="229"/>
      <c r="B12" s="242" t="s">
        <v>223</v>
      </c>
      <c r="C12" s="243"/>
      <c r="D12" s="244">
        <f>D7+ROUNDUP(D8*0.8,0)+ROUNDUP(D9*0.6,0)+ROUNDUP(D10*0.4,0)+ROUNDUP(D11*0.2,0)</f>
        <v>39</v>
      </c>
      <c r="E12" s="245">
        <f t="shared" ref="E12:O12" si="2">E7+ROUNDUP(E8*0.8,0)+ROUNDUP(E9*0.6,0)+ROUNDUP(E10*0.4,0)+ROUNDUP(E11*0.2,0)</f>
        <v>37</v>
      </c>
      <c r="F12" s="245">
        <f t="shared" si="2"/>
        <v>37</v>
      </c>
      <c r="G12" s="245">
        <f t="shared" si="2"/>
        <v>36</v>
      </c>
      <c r="H12" s="245">
        <f t="shared" si="2"/>
        <v>35</v>
      </c>
      <c r="I12" s="245">
        <f t="shared" si="2"/>
        <v>35</v>
      </c>
      <c r="J12" s="245">
        <f t="shared" si="2"/>
        <v>35</v>
      </c>
      <c r="K12" s="245">
        <f t="shared" si="2"/>
        <v>35</v>
      </c>
      <c r="L12" s="245">
        <f t="shared" si="2"/>
        <v>35</v>
      </c>
      <c r="M12" s="245">
        <f t="shared" si="2"/>
        <v>34</v>
      </c>
      <c r="N12" s="245">
        <f t="shared" si="2"/>
        <v>33</v>
      </c>
      <c r="O12" s="245">
        <f t="shared" si="2"/>
        <v>26</v>
      </c>
      <c r="P12" s="246">
        <f>ROUNDUP(AVERAGE(D12:O12),0)</f>
        <v>35</v>
      </c>
      <c r="Q12" s="229"/>
    </row>
    <row r="13" spans="1:17" ht="14.25" thickBot="1">
      <c r="A13" s="229"/>
      <c r="B13" s="663" t="s">
        <v>163</v>
      </c>
      <c r="C13" s="664"/>
      <c r="D13" s="247">
        <f>IF(D12="","",COUNTIF(様式４年間開所カレンダー!D5:D34,"平日")+COUNTIF(様式４年間開所カレンダー!D5:D34,"土・日・祝・長期休暇")+COUNTIF(様式４年間開所カレンダー!D5:D34,"平日：開所とみなす閉所")+COUNTIF(様式４年間開所カレンダー!D5:D34,"土日祝長期：開所とみなす閉所"))</f>
        <v>24</v>
      </c>
      <c r="E13" s="247">
        <f>IF(E12="","",COUNTIF(様式４年間開所カレンダー!D35:D65,"平日")+COUNTIF(様式４年間開所カレンダー!D35:D65,"土・日・祝・長期休暇")+COUNTIF(様式４年間開所カレンダー!D35:D65,"平日：開所とみなす閉所")+COUNTIF(様式４年間開所カレンダー!D35:D65,"土日祝長期：開所とみなす閉所"))</f>
        <v>25</v>
      </c>
      <c r="F13" s="247">
        <f>IF(F12="","",COUNTIF(様式４年間開所カレンダー!D66:D95,"平日")+COUNTIF(様式４年間開所カレンダー!D66:D95,"土・日・祝・長期休暇")+COUNTIF(様式４年間開所カレンダー!D66:D95,"平日：開所とみなす閉所")+COUNTIF(様式４年間開所カレンダー!D66:D95,"土日祝長期：開所とみなす閉所"))</f>
        <v>23</v>
      </c>
      <c r="G13" s="247">
        <f>IF(G12="","",COUNTIF(様式４年間開所カレンダー!D96:D126,"平日")+COUNTIF(様式４年間開所カレンダー!D96:D126,"土・日・祝・長期休暇")+COUNTIF(様式４年間開所カレンダー!D96:D126,"平日：開所とみなす閉所")+COUNTIF(様式４年間開所カレンダー!D96:D126,"土日祝長期：開所とみなす閉所"))</f>
        <v>27</v>
      </c>
      <c r="H13" s="247">
        <f>IF(H12="","",COUNTIF(様式４年間開所カレンダー!D127:D157,"平日")+COUNTIF(様式４年間開所カレンダー!D127:D157,"土・日・祝・長期休暇")+COUNTIF(様式４年間開所カレンダー!D127:D157,"平日：開所とみなす閉所")+COUNTIF(様式４年間開所カレンダー!D127:D157,"土日祝長期：開所とみなす閉所"))</f>
        <v>24</v>
      </c>
      <c r="I13" s="247">
        <f>IF(I12="","",COUNTIF(様式４年間開所カレンダー!D158:D187,"平日")+COUNTIF(様式４年間開所カレンダー!D158:D187,"土・日・祝・長期休暇")+COUNTIF(様式４年間開所カレンダー!D158:D187,"平日：開所とみなす閉所")+COUNTIF(様式４年間開所カレンダー!D158:D187,"土日祝長期：開所とみなす閉所"))</f>
        <v>24</v>
      </c>
      <c r="J13" s="247">
        <f>IF(J12="","",COUNTIF(様式４年間開所カレンダー!D188:D218,"平日")+COUNTIF(様式４年間開所カレンダー!D188:D218,"土・日・祝・長期休暇")+COUNTIF(様式４年間開所カレンダー!D188:D218,"平日：開所とみなす閉所")+COUNTIF(様式４年間開所カレンダー!D188:D218,"土日祝長期：開所とみなす閉所"))</f>
        <v>25</v>
      </c>
      <c r="K13" s="247">
        <f>IF(K12="","",COUNTIF(様式４年間開所カレンダー!D219:D248,"平日")+COUNTIF(様式４年間開所カレンダー!D219:D248,"土・日・祝・長期休暇")+COUNTIF(様式４年間開所カレンダー!D219:D248,"平日：開所とみなす閉所")+COUNTIF(様式４年間開所カレンダー!D219:D248,"土日祝長期：開所とみなす閉所"))</f>
        <v>23</v>
      </c>
      <c r="L13" s="247">
        <f>IF(L12="","",COUNTIF(様式４年間開所カレンダー!D249:D279,"平日")+COUNTIF(様式４年間開所カレンダー!D249:D279,"土・日・祝・長期休暇")+COUNTIF(様式４年間開所カレンダー!D249:D279,"平日：開所とみなす閉所")+COUNTIF(様式４年間開所カレンダー!D249:D279,"土日祝長期：開所とみなす閉所"))</f>
        <v>23</v>
      </c>
      <c r="M13" s="247">
        <f>IF(M12="","",COUNTIF(様式４年間開所カレンダー!D280:D310,"平日")+COUNTIF(様式４年間開所カレンダー!D280:D310,"土・日・祝・長期休暇")+COUNTIF(様式４年間開所カレンダー!D280:D310,"平日：開所とみなす閉所")+COUNTIF(様式４年間開所カレンダー!D280:D310,"土日祝長期：開所とみなす閉所"))</f>
        <v>23</v>
      </c>
      <c r="N13" s="247">
        <f>IF(N12="","",COUNTIF(様式４年間開所カレンダー!D311:D338,"平日")+COUNTIF(様式４年間開所カレンダー!D311:D338,"土・日・祝・長期休暇")+COUNTIF(様式４年間開所カレンダー!D311:D338,"平日：開所とみなす閉所")+COUNTIF(様式４年間開所カレンダー!D311:D338,"土日祝長期：開所とみなす閉所"))</f>
        <v>23</v>
      </c>
      <c r="O13" s="248">
        <f>IF(O12="","",COUNTIF(様式４年間開所カレンダー!D339:D369,"平日")+COUNTIF(様式４年間開所カレンダー!D339:D369,"土・日・祝・長期休暇")+COUNTIF(様式４年間開所カレンダー!D339:D369,"平日：開所とみなす閉所")+COUNTIF(様式４年間開所カレンダー!D339:D369,"土日祝長期：開所とみなす閉所"))</f>
        <v>25</v>
      </c>
      <c r="P13" s="246">
        <f>SUM(D13:O13)</f>
        <v>289</v>
      </c>
      <c r="Q13" s="229"/>
    </row>
    <row r="14" spans="1:17">
      <c r="A14" s="229"/>
      <c r="B14" s="229"/>
      <c r="C14" s="229"/>
      <c r="D14" s="229"/>
      <c r="E14" s="229"/>
      <c r="F14" s="229"/>
      <c r="G14" s="229"/>
      <c r="H14" s="229"/>
      <c r="I14" s="229"/>
      <c r="J14" s="229"/>
      <c r="K14" s="229"/>
      <c r="L14" s="229"/>
      <c r="M14" s="229"/>
      <c r="N14" s="229"/>
      <c r="O14" s="229"/>
      <c r="P14" s="229"/>
      <c r="Q14" s="229"/>
    </row>
    <row r="15" spans="1:17" ht="14.25" thickBot="1">
      <c r="A15" s="231" t="s">
        <v>155</v>
      </c>
      <c r="B15" s="229"/>
      <c r="C15" s="229"/>
      <c r="D15" s="249" t="s">
        <v>134</v>
      </c>
      <c r="E15" s="249" t="s">
        <v>135</v>
      </c>
      <c r="F15" s="249" t="s">
        <v>136</v>
      </c>
      <c r="G15" s="249" t="s">
        <v>137</v>
      </c>
      <c r="H15" s="249" t="s">
        <v>138</v>
      </c>
      <c r="I15" s="249" t="s">
        <v>139</v>
      </c>
      <c r="J15" s="249" t="s">
        <v>140</v>
      </c>
      <c r="K15" s="249" t="s">
        <v>141</v>
      </c>
      <c r="L15" s="249" t="s">
        <v>142</v>
      </c>
      <c r="M15" s="249" t="s">
        <v>143</v>
      </c>
      <c r="N15" s="249" t="s">
        <v>144</v>
      </c>
      <c r="O15" s="250" t="s">
        <v>145</v>
      </c>
      <c r="P15" s="234" t="s">
        <v>146</v>
      </c>
      <c r="Q15" s="229"/>
    </row>
    <row r="16" spans="1:17" ht="14.25" thickBot="1">
      <c r="A16" s="229"/>
      <c r="B16" s="649" t="s">
        <v>147</v>
      </c>
      <c r="C16" s="662"/>
      <c r="D16" s="59"/>
      <c r="E16" s="51"/>
      <c r="F16" s="51"/>
      <c r="G16" s="51"/>
      <c r="H16" s="51"/>
      <c r="I16" s="51"/>
      <c r="J16" s="51"/>
      <c r="K16" s="51"/>
      <c r="L16" s="51"/>
      <c r="M16" s="51"/>
      <c r="N16" s="51"/>
      <c r="O16" s="52"/>
      <c r="P16" s="238">
        <f>SUM(D16:O16)</f>
        <v>0</v>
      </c>
      <c r="Q16" s="229"/>
    </row>
    <row r="17" spans="1:19" ht="14.25" thickBot="1">
      <c r="A17" s="229"/>
      <c r="B17" s="649" t="s">
        <v>148</v>
      </c>
      <c r="C17" s="662"/>
      <c r="D17" s="60"/>
      <c r="E17" s="61"/>
      <c r="F17" s="61"/>
      <c r="G17" s="61"/>
      <c r="H17" s="61"/>
      <c r="I17" s="61"/>
      <c r="J17" s="61"/>
      <c r="K17" s="61"/>
      <c r="L17" s="61"/>
      <c r="M17" s="61"/>
      <c r="N17" s="61"/>
      <c r="O17" s="62"/>
      <c r="P17" s="238">
        <f t="shared" ref="P17" si="3">SUM(D17:O17)</f>
        <v>0</v>
      </c>
      <c r="Q17" s="229" t="str">
        <f>IF(P6='様式１（放課後児童名簿・利用料割引者名簿）'!P76,"OK","様式１名簿と合っていません")</f>
        <v>様式１名簿と合っていません</v>
      </c>
    </row>
    <row r="18" spans="1:19" ht="14.25" thickBot="1">
      <c r="A18" s="229"/>
      <c r="B18" s="242" t="s">
        <v>156</v>
      </c>
      <c r="C18" s="251"/>
      <c r="D18" s="63"/>
      <c r="E18" s="64"/>
      <c r="F18" s="65"/>
      <c r="G18" s="65"/>
      <c r="H18" s="65"/>
      <c r="I18" s="65"/>
      <c r="J18" s="65"/>
      <c r="K18" s="65"/>
      <c r="L18" s="65"/>
      <c r="M18" s="65"/>
      <c r="N18" s="65"/>
      <c r="O18" s="66"/>
      <c r="P18" s="252">
        <f>SUM(D18:O18)</f>
        <v>0</v>
      </c>
      <c r="Q18" s="229"/>
    </row>
    <row r="19" spans="1:19" ht="14.25" thickBot="1">
      <c r="A19" s="229"/>
      <c r="B19" s="253" t="s">
        <v>9</v>
      </c>
      <c r="C19" s="254"/>
      <c r="D19" s="255" t="str">
        <f t="shared" ref="D19:O19" si="4">IFERROR(ROUNDUP(D18/D20,0),"")</f>
        <v/>
      </c>
      <c r="E19" s="256" t="str">
        <f t="shared" si="4"/>
        <v/>
      </c>
      <c r="F19" s="256" t="str">
        <f t="shared" si="4"/>
        <v/>
      </c>
      <c r="G19" s="256" t="str">
        <f t="shared" si="4"/>
        <v/>
      </c>
      <c r="H19" s="256" t="str">
        <f t="shared" si="4"/>
        <v/>
      </c>
      <c r="I19" s="256" t="str">
        <f t="shared" si="4"/>
        <v/>
      </c>
      <c r="J19" s="256" t="str">
        <f t="shared" si="4"/>
        <v/>
      </c>
      <c r="K19" s="256" t="str">
        <f t="shared" si="4"/>
        <v/>
      </c>
      <c r="L19" s="256" t="str">
        <f t="shared" si="4"/>
        <v/>
      </c>
      <c r="M19" s="256" t="str">
        <f t="shared" si="4"/>
        <v/>
      </c>
      <c r="N19" s="256" t="str">
        <f t="shared" si="4"/>
        <v/>
      </c>
      <c r="O19" s="257" t="str">
        <f t="shared" si="4"/>
        <v/>
      </c>
      <c r="P19" s="258" t="str">
        <f>IFERROR(ROUNDUP(AVERAGE(D19:O19),0),"")</f>
        <v/>
      </c>
      <c r="Q19" s="229"/>
    </row>
    <row r="20" spans="1:19">
      <c r="A20" s="229"/>
      <c r="B20" s="639" t="s">
        <v>232</v>
      </c>
      <c r="C20" s="640"/>
      <c r="D20" s="259" t="str">
        <f>IF(D18="","",COUNTIF(様式４年間開所カレンダー!D5:D34,"平日")+COUNTIF(様式４年間開所カレンダー!D5:D34,"土・日・祝・長期休暇"))</f>
        <v/>
      </c>
      <c r="E20" s="260" t="str">
        <f>IF(E18="","",COUNTIF(様式４年間開所カレンダー!D35:D65,"平日")+COUNTIF(様式４年間開所カレンダー!D35:D65,"土・日・祝・長期休暇"))</f>
        <v/>
      </c>
      <c r="F20" s="260" t="str">
        <f>IF(F18="","",COUNTIF(様式４年間開所カレンダー!D66:D95,"平日")+COUNTIF(様式４年間開所カレンダー!D66:D95,"土・日・祝・長期休暇"))</f>
        <v/>
      </c>
      <c r="G20" s="260" t="str">
        <f>IF(G18="","",COUNTIF(様式４年間開所カレンダー!D96:D126,"平日")+COUNTIF(様式４年間開所カレンダー!D96:D126,"土・日・祝・長期休暇"))</f>
        <v/>
      </c>
      <c r="H20" s="260" t="str">
        <f>IF(H18="","",COUNTIF(様式４年間開所カレンダー!D127:D157,"平日")+COUNTIF(様式４年間開所カレンダー!D127:D157,"土・日・祝・長期休暇"))</f>
        <v/>
      </c>
      <c r="I20" s="260" t="str">
        <f>IF(I18="","",COUNTIF(様式４年間開所カレンダー!D158:D187,"平日")+COUNTIF(様式４年間開所カレンダー!D158:D187,"土・日・祝・長期休暇"))</f>
        <v/>
      </c>
      <c r="J20" s="260" t="str">
        <f>IF(J18="","",COUNTIF(様式４年間開所カレンダー!D188:D218,"平日")+COUNTIF(様式４年間開所カレンダー!D188:D218,"土・日・祝・長期休暇"))</f>
        <v/>
      </c>
      <c r="K20" s="260" t="str">
        <f>IF(K18="","",COUNTIF(様式４年間開所カレンダー!D219:D248,"平日")+COUNTIF(様式４年間開所カレンダー!D219:D248,"土・日・祝・長期休暇"))</f>
        <v/>
      </c>
      <c r="L20" s="260" t="str">
        <f>IF(L18="","",COUNTIF(様式４年間開所カレンダー!D249:D279,"平日")+COUNTIF(様式４年間開所カレンダー!D249:D279,"土・日・祝・長期休暇"))</f>
        <v/>
      </c>
      <c r="M20" s="260" t="str">
        <f>IF(M18="","",COUNTIF(様式４年間開所カレンダー!D280:D310,"平日")+COUNTIF(様式４年間開所カレンダー!D280:D310,"土・日・祝・長期休暇"))</f>
        <v/>
      </c>
      <c r="N20" s="260" t="str">
        <f>IF(N18="","",COUNTIF(様式４年間開所カレンダー!D311:D338,"平日")+COUNTIF(様式４年間開所カレンダー!D311:D338,"土・日・祝・長期休暇"))</f>
        <v/>
      </c>
      <c r="O20" s="261" t="str">
        <f>IF(O18="","",COUNTIF(様式４年間開所カレンダー!D339:D369,"平日")+COUNTIF(様式４年間開所カレンダー!D339:D369,"土・日・祝・長期休暇"))</f>
        <v/>
      </c>
      <c r="P20" s="262">
        <f>SUM(D20:O20)</f>
        <v>0</v>
      </c>
      <c r="Q20" s="229"/>
    </row>
    <row r="21" spans="1:19" ht="16.5" customHeight="1" thickBot="1">
      <c r="A21" s="229"/>
      <c r="B21" s="641" t="s">
        <v>233</v>
      </c>
      <c r="C21" s="642"/>
      <c r="D21" s="263" t="str">
        <f>IF(D18="","",COUNTIF(様式４年間開所カレンダー!D5:D34,"平日")+COUNTIF(様式４年間開所カレンダー!D5:D34,"土・日・祝・長期休暇")+COUNTIF(様式４年間開所カレンダー!D5:D34,"平日：開所とみなす閉所")+COUNTIF(様式４年間開所カレンダー!D5:D34,"土日祝長期：開所とみなす閉所"))</f>
        <v/>
      </c>
      <c r="E21" s="264" t="str">
        <f>IF(E18="","",COUNTIF(様式４年間開所カレンダー!D35:D65,"平日")+COUNTIF(様式４年間開所カレンダー!D35:D65,"土・日・祝・長期休暇")+COUNTIF(様式４年間開所カレンダー!D35:D65,"平日：開所とみなす閉所")+COUNTIF(様式４年間開所カレンダー!D35:D65,"土日祝長期：開所とみなす閉所"))</f>
        <v/>
      </c>
      <c r="F21" s="264" t="str">
        <f>IF(F18="","",COUNTIF(様式４年間開所カレンダー!D66:D95,"平日")+COUNTIF(様式４年間開所カレンダー!D66:D95,"土・日・祝・長期休暇")+COUNTIF(様式４年間開所カレンダー!D66:D95,"平日：開所とみなす閉所")+COUNTIF(様式４年間開所カレンダー!D66:D95,"土日祝長期：開所とみなす閉所"))</f>
        <v/>
      </c>
      <c r="G21" s="264" t="str">
        <f>IF(G18="","",COUNTIF(様式４年間開所カレンダー!D96:D126,"平日")+COUNTIF(様式４年間開所カレンダー!D96:D126,"土・日・祝・長期休暇")+COUNTIF(様式４年間開所カレンダー!D96:D126,"平日：開所とみなす閉所")+COUNTIF(様式４年間開所カレンダー!D96:D126,"土日祝長期：開所とみなす閉所"))</f>
        <v/>
      </c>
      <c r="H21" s="264" t="str">
        <f>IF(H18="","",COUNTIF(様式４年間開所カレンダー!D127:D157,"平日")+COUNTIF(様式４年間開所カレンダー!D127:D157,"土・日・祝・長期休暇")+COUNTIF(様式４年間開所カレンダー!D127:D157,"平日：開所とみなす閉所")+COUNTIF(様式４年間開所カレンダー!D127:D157,"土日祝長期：開所とみなす閉所"))</f>
        <v/>
      </c>
      <c r="I21" s="264" t="str">
        <f>IF(I18="","",COUNTIF(様式４年間開所カレンダー!D158:D187,"平日")+COUNTIF(様式４年間開所カレンダー!D158:D187,"土・日・祝・長期休暇")+COUNTIF(様式４年間開所カレンダー!D158:D187,"平日：開所とみなす閉所")+COUNTIF(様式４年間開所カレンダー!D158:D187,"土日祝長期：開所とみなす閉所"))</f>
        <v/>
      </c>
      <c r="J21" s="264" t="str">
        <f>IF(J18="","",COUNTIF(様式４年間開所カレンダー!D188:D218,"平日")+COUNTIF(様式４年間開所カレンダー!D188:D218,"土・日・祝・長期休暇")+COUNTIF(様式４年間開所カレンダー!D188:D218,"平日：開所とみなす閉所")+COUNTIF(様式４年間開所カレンダー!D188:D218,"土日祝長期：開所とみなす閉所"))</f>
        <v/>
      </c>
      <c r="K21" s="264" t="str">
        <f>IF(K18="","",COUNTIF(様式４年間開所カレンダー!D219:D248,"平日")+COUNTIF(様式４年間開所カレンダー!D219:D248,"土・日・祝・長期休暇")+COUNTIF(様式４年間開所カレンダー!D219:D248,"平日：開所とみなす閉所")+COUNTIF(様式４年間開所カレンダー!D219:D248,"土日祝長期：開所とみなす閉所"))</f>
        <v/>
      </c>
      <c r="L21" s="264" t="str">
        <f>IF(L18="","",COUNTIF(様式４年間開所カレンダー!D249:D279,"平日")+COUNTIF(様式４年間開所カレンダー!D249:D279,"土・日・祝・長期休暇")+COUNTIF(様式４年間開所カレンダー!D249:D279,"平日：開所とみなす閉所")+COUNTIF(様式４年間開所カレンダー!D249:D279,"土日祝長期：開所とみなす閉所"))</f>
        <v/>
      </c>
      <c r="M21" s="264" t="str">
        <f>IF(M18="","",COUNTIF(様式４年間開所カレンダー!D280:D310,"平日")+COUNTIF(様式４年間開所カレンダー!D280:D310,"土・日・祝・長期休暇")+COUNTIF(様式４年間開所カレンダー!D280:D310,"平日：開所とみなす閉所")+COUNTIF(様式４年間開所カレンダー!D280:D310,"土日祝長期：開所とみなす閉所"))</f>
        <v/>
      </c>
      <c r="N21" s="264" t="str">
        <f>IF(N18="","",COUNTIF(様式４年間開所カレンダー!D311:D338,"平日")+COUNTIF(様式４年間開所カレンダー!D311:D338,"土・日・祝・長期休暇")+COUNTIF(様式４年間開所カレンダー!D311:D338,"平日：開所とみなす閉所")+COUNTIF(様式４年間開所カレンダー!D311:D338,"土日祝長期：開所とみなす閉所"))</f>
        <v/>
      </c>
      <c r="O21" s="265" t="str">
        <f>IF(O18="","",COUNTIF(様式４年間開所カレンダー!D339:D369,"平日")+COUNTIF(様式４年間開所カレンダー!D339:D369,"土・日・祝・長期休暇")+COUNTIF(様式４年間開所カレンダー!D339:D369,"平日：開所とみなす閉所")+COUNTIF(様式４年間開所カレンダー!D339:D369,"土日祝長期：開所とみなす閉所"))</f>
        <v/>
      </c>
      <c r="P21" s="266">
        <f>SUM(D21:O21)</f>
        <v>0</v>
      </c>
      <c r="Q21" s="229"/>
    </row>
    <row r="22" spans="1:19">
      <c r="A22" s="229"/>
      <c r="B22" s="229"/>
      <c r="C22" s="229"/>
      <c r="D22" s="229"/>
      <c r="E22" s="229"/>
      <c r="F22" s="229"/>
      <c r="G22" s="229"/>
      <c r="H22" s="229"/>
      <c r="I22" s="229"/>
      <c r="J22" s="229"/>
      <c r="K22" s="229"/>
      <c r="L22" s="229"/>
      <c r="M22" s="229"/>
      <c r="N22" s="229"/>
      <c r="O22" s="229"/>
      <c r="P22" s="229"/>
      <c r="Q22" s="229"/>
    </row>
    <row r="23" spans="1:19" ht="14.25" thickBot="1">
      <c r="A23" s="229" t="s">
        <v>157</v>
      </c>
      <c r="B23" s="229"/>
      <c r="C23" s="229"/>
      <c r="D23" s="229"/>
      <c r="E23" s="229"/>
      <c r="F23" s="229"/>
      <c r="G23" s="229"/>
      <c r="H23" s="229"/>
      <c r="I23" s="229"/>
      <c r="J23" s="229"/>
      <c r="K23" s="229"/>
      <c r="L23" s="229"/>
      <c r="M23" s="229"/>
      <c r="N23" s="229"/>
      <c r="O23" s="229"/>
      <c r="P23" s="229"/>
      <c r="Q23" s="229"/>
    </row>
    <row r="24" spans="1:19" ht="26.25" customHeight="1" thickBot="1">
      <c r="A24" s="229"/>
      <c r="B24" s="229"/>
      <c r="C24" s="229"/>
      <c r="D24" s="229"/>
      <c r="E24" s="229"/>
      <c r="F24" s="229"/>
      <c r="G24" s="229"/>
      <c r="H24" s="242" t="s">
        <v>158</v>
      </c>
      <c r="I24" s="243"/>
      <c r="J24" s="242" t="s">
        <v>224</v>
      </c>
      <c r="K24" s="251"/>
      <c r="L24" s="267" t="s">
        <v>437</v>
      </c>
      <c r="M24" s="268" t="s">
        <v>225</v>
      </c>
      <c r="N24" s="269"/>
      <c r="O24" s="637" t="s">
        <v>226</v>
      </c>
      <c r="P24" s="638"/>
      <c r="Q24" s="229"/>
    </row>
    <row r="25" spans="1:19" ht="27" customHeight="1" thickBot="1">
      <c r="A25" s="229"/>
      <c r="B25" s="253" t="s">
        <v>160</v>
      </c>
      <c r="C25" s="270"/>
      <c r="D25" s="270"/>
      <c r="E25" s="270"/>
      <c r="F25" s="270"/>
      <c r="G25" s="254"/>
      <c r="H25" s="649">
        <f>IF(0&lt;COUNTIF($D$6:$O$6,"&gt;0"),COUNTIF($D$6:$O$6, "&gt;0"),COUNTIF($D$17:$O$17,"&gt;0"))</f>
        <v>12</v>
      </c>
      <c r="I25" s="650"/>
      <c r="J25" s="635">
        <f>IF(L25=1,ROUNDDOWN(2232000*H25/12,-3),0)</f>
        <v>2232000</v>
      </c>
      <c r="K25" s="651"/>
      <c r="L25" s="137">
        <v>1</v>
      </c>
      <c r="M25" s="652">
        <v>3000000</v>
      </c>
      <c r="N25" s="652"/>
      <c r="O25" s="635">
        <f>ROUNDDOWN(MIN(J25,M25),-3)</f>
        <v>2232000</v>
      </c>
      <c r="P25" s="636"/>
      <c r="Q25" s="229"/>
    </row>
    <row r="26" spans="1:19" ht="29.25" customHeight="1" thickBot="1">
      <c r="A26" s="229"/>
      <c r="B26" s="643" t="s">
        <v>161</v>
      </c>
      <c r="C26" s="644"/>
      <c r="D26" s="644"/>
      <c r="E26" s="644"/>
      <c r="F26" s="644"/>
      <c r="G26" s="645"/>
      <c r="H26" s="649">
        <f>IF(0&lt;COUNTIF($D$6:$O$6,"&gt;0"),COUNTIF($D$6:$O$6, "&gt;0"),COUNTIF($D$17:$O$17,"&gt;0"))</f>
        <v>12</v>
      </c>
      <c r="I26" s="650"/>
      <c r="J26" s="635">
        <f>IF(L26&gt;=1,ROUNDDOWN(446000*H26/12,-3),0)</f>
        <v>0</v>
      </c>
      <c r="K26" s="651"/>
      <c r="L26" s="137"/>
      <c r="M26" s="652"/>
      <c r="N26" s="652"/>
      <c r="O26" s="635">
        <f>ROUNDDOWN(MIN(J26,M26),-3)</f>
        <v>0</v>
      </c>
      <c r="P26" s="636"/>
      <c r="Q26" s="271"/>
      <c r="S26" s="1">
        <v>0</v>
      </c>
    </row>
    <row r="27" spans="1:19" ht="27" customHeight="1" thickBot="1">
      <c r="A27" s="229"/>
      <c r="B27" s="646" t="s">
        <v>162</v>
      </c>
      <c r="C27" s="647"/>
      <c r="D27" s="647"/>
      <c r="E27" s="647"/>
      <c r="F27" s="647"/>
      <c r="G27" s="648"/>
      <c r="H27" s="649">
        <f>IF(0&lt;COUNTIF($D$6:$O$6,"&gt;0"),COUNTIF($D$6:$O$6,"&gt;2"),COUNTIF($D$17:$O$17,"&gt;2"))</f>
        <v>8</v>
      </c>
      <c r="I27" s="650"/>
      <c r="J27" s="635">
        <f>IF(L27=2,ROUNDDOWN(2232000*H27/12,-3),0)</f>
        <v>1488000</v>
      </c>
      <c r="K27" s="651"/>
      <c r="L27" s="138">
        <v>2</v>
      </c>
      <c r="M27" s="653">
        <v>1300000</v>
      </c>
      <c r="N27" s="654"/>
      <c r="O27" s="635">
        <f>ROUNDDOWN(MIN(J27,M27),-3)</f>
        <v>1300000</v>
      </c>
      <c r="P27" s="636"/>
      <c r="Q27" s="271"/>
      <c r="S27" s="1">
        <v>1</v>
      </c>
    </row>
    <row r="28" spans="1:19" ht="12" customHeight="1">
      <c r="A28" s="229"/>
      <c r="B28" s="229"/>
      <c r="C28" s="229"/>
      <c r="D28" s="229"/>
      <c r="E28" s="229"/>
      <c r="F28" s="229"/>
      <c r="G28" s="229"/>
      <c r="H28" s="229"/>
      <c r="I28" s="229"/>
      <c r="J28" s="229"/>
      <c r="K28" s="229"/>
      <c r="L28" s="229"/>
      <c r="M28" s="229"/>
      <c r="N28" s="229"/>
      <c r="O28" s="229"/>
      <c r="P28" s="229"/>
      <c r="Q28" s="229"/>
      <c r="S28" s="1">
        <v>2</v>
      </c>
    </row>
  </sheetData>
  <mergeCells count="25">
    <mergeCell ref="B5:C5"/>
    <mergeCell ref="B6:C6"/>
    <mergeCell ref="B7:B11"/>
    <mergeCell ref="B16:C16"/>
    <mergeCell ref="B17:C17"/>
    <mergeCell ref="B13:C13"/>
    <mergeCell ref="L2:M2"/>
    <mergeCell ref="N2:Q2"/>
    <mergeCell ref="O25:P25"/>
    <mergeCell ref="H25:I25"/>
    <mergeCell ref="H26:I26"/>
    <mergeCell ref="O26:P26"/>
    <mergeCell ref="O27:P27"/>
    <mergeCell ref="O24:P24"/>
    <mergeCell ref="B20:C20"/>
    <mergeCell ref="B21:C21"/>
    <mergeCell ref="B26:G26"/>
    <mergeCell ref="B27:G27"/>
    <mergeCell ref="H27:I27"/>
    <mergeCell ref="J25:K25"/>
    <mergeCell ref="J26:K26"/>
    <mergeCell ref="J27:K27"/>
    <mergeCell ref="M25:N25"/>
    <mergeCell ref="M26:N26"/>
    <mergeCell ref="M27:N27"/>
  </mergeCells>
  <phoneticPr fontId="1"/>
  <conditionalFormatting sqref="B5:P13">
    <cfRule type="expression" dxfId="30" priority="1">
      <formula>MAX($D$16:$O$16)&gt;=1</formula>
    </cfRule>
  </conditionalFormatting>
  <conditionalFormatting sqref="B16:P21">
    <cfRule type="expression" dxfId="29" priority="5">
      <formula>MAX($D$12:$O$12)&gt;=1</formula>
    </cfRule>
  </conditionalFormatting>
  <conditionalFormatting sqref="Q5:Q20">
    <cfRule type="containsText" dxfId="28" priority="7" operator="containsText" text="合っていません">
      <formula>NOT(ISERROR(SEARCH("合っていません",Q5)))</formula>
    </cfRule>
    <cfRule type="expression" priority="8">
      <formula>"*合っていません*"</formula>
    </cfRule>
  </conditionalFormatting>
  <dataValidations count="2">
    <dataValidation type="list" allowBlank="1" showInputMessage="1" showErrorMessage="1" sqref="L25" xr:uid="{086A9656-A62C-43C0-A2C2-315DCF0DEDA4}">
      <formula1>$S$26:$S$27</formula1>
    </dataValidation>
    <dataValidation type="list" allowBlank="1" showInputMessage="1" showErrorMessage="1" sqref="L26:L27" xr:uid="{5FBCF325-8A91-4A6D-8593-DE0C16D3593F}">
      <formula1>$S$26:$S$28</formula1>
    </dataValidation>
  </dataValidations>
  <pageMargins left="0.7" right="0.7" top="0.75" bottom="0.75" header="0.3" footer="0.3"/>
  <pageSetup paperSize="9" scale="9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F6465-E48B-4A50-9F44-33266375F7A8}">
  <sheetPr>
    <pageSetUpPr fitToPage="1"/>
  </sheetPr>
  <dimension ref="B1:AZ175"/>
  <sheetViews>
    <sheetView view="pageBreakPreview" zoomScale="70" zoomScaleNormal="100" zoomScaleSheetLayoutView="70" workbookViewId="0">
      <selection activeCell="W25" sqref="W25"/>
    </sheetView>
  </sheetViews>
  <sheetFormatPr defaultColWidth="9" defaultRowHeight="17.25"/>
  <cols>
    <col min="1" max="1" width="3.875" style="12" customWidth="1"/>
    <col min="2" max="2" width="4.125" style="12" customWidth="1"/>
    <col min="3" max="8" width="4.625" style="12" customWidth="1"/>
    <col min="9" max="11" width="5.625" style="12" customWidth="1"/>
    <col min="12" max="12" width="9.625" style="12" customWidth="1"/>
    <col min="13" max="13" width="13.75" style="12" hidden="1" customWidth="1"/>
    <col min="14" max="14" width="13.625" style="12" customWidth="1"/>
    <col min="15" max="15" width="9.625" style="12" customWidth="1"/>
    <col min="16" max="16" width="20.625" style="12" customWidth="1"/>
    <col min="17" max="17" width="12.625" style="12" customWidth="1"/>
    <col min="18" max="18" width="15.625" style="124" customWidth="1"/>
    <col min="19" max="19" width="9.625" style="12" customWidth="1"/>
    <col min="20" max="20" width="11.375" style="12" bestFit="1" customWidth="1"/>
    <col min="21" max="26" width="15.625" style="12" customWidth="1"/>
    <col min="27" max="27" width="12.625" style="12" customWidth="1"/>
    <col min="28" max="40" width="3.875" style="12" customWidth="1"/>
    <col min="41" max="41" width="3.875" style="12" hidden="1" customWidth="1"/>
    <col min="42" max="67" width="3.875" style="12" customWidth="1"/>
    <col min="68" max="16384" width="9" style="12"/>
  </cols>
  <sheetData>
    <row r="1" spans="2:52" ht="18.75" customHeight="1">
      <c r="B1" s="748" t="s">
        <v>450</v>
      </c>
      <c r="C1" s="749"/>
      <c r="D1" s="749"/>
      <c r="E1" s="749"/>
      <c r="F1" s="749"/>
      <c r="G1" s="749"/>
      <c r="H1" s="749"/>
      <c r="I1" s="749"/>
      <c r="J1" s="749"/>
      <c r="K1" s="749"/>
      <c r="L1" s="749"/>
      <c r="M1" s="749"/>
      <c r="N1" s="749"/>
      <c r="O1" s="117"/>
      <c r="P1" s="117"/>
      <c r="Q1" s="117"/>
      <c r="R1" s="123"/>
      <c r="S1" s="16"/>
      <c r="T1" s="16"/>
      <c r="U1" s="16"/>
      <c r="V1" s="694"/>
      <c r="W1" s="204"/>
      <c r="X1" s="204"/>
      <c r="Y1" s="204"/>
      <c r="Z1" s="204"/>
      <c r="AA1" s="204"/>
    </row>
    <row r="2" spans="2:52" ht="18.75" customHeight="1">
      <c r="B2" s="749"/>
      <c r="C2" s="749"/>
      <c r="D2" s="749"/>
      <c r="E2" s="749"/>
      <c r="F2" s="749"/>
      <c r="G2" s="749"/>
      <c r="H2" s="749"/>
      <c r="I2" s="749"/>
      <c r="J2" s="749"/>
      <c r="K2" s="749"/>
      <c r="L2" s="749"/>
      <c r="M2" s="749"/>
      <c r="N2" s="749"/>
      <c r="O2" s="695" t="s">
        <v>235</v>
      </c>
      <c r="P2" s="200"/>
      <c r="Q2" s="697" t="str">
        <f>鑑!G7</f>
        <v>はぐくみ学童クラブ</v>
      </c>
      <c r="R2" s="697"/>
      <c r="S2" s="697"/>
      <c r="T2" s="697"/>
      <c r="U2" s="697"/>
      <c r="V2" s="694"/>
      <c r="W2" s="121" t="s">
        <v>332</v>
      </c>
      <c r="X2" s="122"/>
      <c r="Y2" s="759" t="s">
        <v>441</v>
      </c>
      <c r="Z2" s="759"/>
      <c r="AA2" s="760"/>
    </row>
    <row r="3" spans="2:52" ht="18.75" customHeight="1" thickBot="1">
      <c r="B3" s="749"/>
      <c r="C3" s="749"/>
      <c r="D3" s="749"/>
      <c r="E3" s="749"/>
      <c r="F3" s="749"/>
      <c r="G3" s="749"/>
      <c r="H3" s="749"/>
      <c r="I3" s="749"/>
      <c r="J3" s="749"/>
      <c r="K3" s="749"/>
      <c r="L3" s="749"/>
      <c r="M3" s="749"/>
      <c r="N3" s="749"/>
      <c r="O3" s="696"/>
      <c r="P3" s="136"/>
      <c r="Q3" s="698"/>
      <c r="R3" s="698"/>
      <c r="S3" s="698"/>
      <c r="T3" s="698"/>
      <c r="U3" s="698"/>
      <c r="V3" s="14"/>
      <c r="W3" s="14"/>
      <c r="X3" s="14"/>
      <c r="Y3" s="14"/>
      <c r="Z3" s="14"/>
      <c r="AA3" s="14"/>
      <c r="AE3" s="12" t="s">
        <v>440</v>
      </c>
    </row>
    <row r="4" spans="2:52" ht="18.75" customHeight="1" thickBot="1">
      <c r="B4" s="343"/>
      <c r="C4" s="343"/>
      <c r="D4" s="343"/>
      <c r="E4" s="343"/>
      <c r="F4" s="343"/>
      <c r="G4" s="343"/>
      <c r="H4" s="343"/>
      <c r="I4" s="343"/>
      <c r="J4" s="343"/>
      <c r="K4" s="343"/>
      <c r="L4" s="343"/>
      <c r="M4" s="343"/>
      <c r="N4" s="343"/>
      <c r="O4" s="341"/>
      <c r="P4" s="136"/>
      <c r="Q4" s="342"/>
      <c r="R4" s="729" t="s">
        <v>314</v>
      </c>
      <c r="S4" s="730"/>
      <c r="T4" s="731"/>
      <c r="U4" s="729" t="s">
        <v>470</v>
      </c>
      <c r="V4" s="731"/>
      <c r="W4" s="14"/>
      <c r="X4" s="14"/>
      <c r="Y4" s="14"/>
      <c r="Z4" s="14"/>
      <c r="AA4" s="14"/>
      <c r="AE4" s="15" t="s">
        <v>441</v>
      </c>
      <c r="AF4" s="15"/>
      <c r="AG4" s="15"/>
      <c r="AH4" s="15"/>
      <c r="AI4" s="15"/>
      <c r="AJ4" s="15"/>
      <c r="AK4" s="15"/>
      <c r="AL4" s="15"/>
      <c r="AM4" s="15"/>
      <c r="AN4" s="15"/>
      <c r="AO4" s="15"/>
      <c r="AP4" s="15"/>
      <c r="AQ4" s="15"/>
      <c r="AR4" s="15"/>
      <c r="AS4" s="15"/>
      <c r="AT4" s="15"/>
      <c r="AU4" s="15"/>
      <c r="AV4" s="15"/>
      <c r="AW4" s="15"/>
      <c r="AX4" s="15"/>
      <c r="AY4" s="15"/>
    </row>
    <row r="5" spans="2:52" s="15" customFormat="1" ht="18.75" customHeight="1">
      <c r="B5" s="699" t="s">
        <v>101</v>
      </c>
      <c r="C5" s="700"/>
      <c r="D5" s="700"/>
      <c r="E5" s="700"/>
      <c r="F5" s="700"/>
      <c r="G5" s="700"/>
      <c r="H5" s="700"/>
      <c r="I5" s="705" t="s">
        <v>243</v>
      </c>
      <c r="J5" s="705"/>
      <c r="K5" s="706"/>
      <c r="L5" s="726" t="s">
        <v>660</v>
      </c>
      <c r="M5" s="192"/>
      <c r="N5" s="726" t="s">
        <v>476</v>
      </c>
      <c r="O5" s="711" t="s">
        <v>475</v>
      </c>
      <c r="P5" s="711" t="s">
        <v>474</v>
      </c>
      <c r="Q5" s="711" t="s">
        <v>318</v>
      </c>
      <c r="R5" s="714" t="s">
        <v>514</v>
      </c>
      <c r="S5" s="717" t="s">
        <v>455</v>
      </c>
      <c r="T5" s="720" t="s">
        <v>117</v>
      </c>
      <c r="U5" s="772" t="s">
        <v>471</v>
      </c>
      <c r="V5" s="723" t="s">
        <v>472</v>
      </c>
      <c r="W5" s="720" t="s">
        <v>473</v>
      </c>
      <c r="X5" s="736" t="s">
        <v>438</v>
      </c>
      <c r="Y5" s="720"/>
      <c r="Z5" s="720"/>
      <c r="AA5" s="720"/>
      <c r="AB5" s="737"/>
    </row>
    <row r="6" spans="2:52" s="15" customFormat="1" ht="21" customHeight="1">
      <c r="B6" s="701"/>
      <c r="C6" s="702"/>
      <c r="D6" s="702"/>
      <c r="E6" s="702"/>
      <c r="F6" s="702"/>
      <c r="G6" s="702"/>
      <c r="H6" s="702"/>
      <c r="I6" s="707"/>
      <c r="J6" s="707"/>
      <c r="K6" s="708"/>
      <c r="L6" s="727"/>
      <c r="M6" s="193"/>
      <c r="N6" s="727"/>
      <c r="O6" s="712"/>
      <c r="P6" s="712"/>
      <c r="Q6" s="712"/>
      <c r="R6" s="715"/>
      <c r="S6" s="718"/>
      <c r="T6" s="721"/>
      <c r="U6" s="773"/>
      <c r="V6" s="724"/>
      <c r="W6" s="721"/>
      <c r="X6" s="775" t="s">
        <v>313</v>
      </c>
      <c r="Y6" s="732" t="s">
        <v>314</v>
      </c>
      <c r="Z6" s="732" t="s">
        <v>315</v>
      </c>
      <c r="AA6" s="732" t="s">
        <v>316</v>
      </c>
      <c r="AB6" s="734" t="s">
        <v>317</v>
      </c>
    </row>
    <row r="7" spans="2:52" s="15" customFormat="1" ht="21" customHeight="1" thickBot="1">
      <c r="B7" s="703"/>
      <c r="C7" s="704"/>
      <c r="D7" s="704"/>
      <c r="E7" s="704"/>
      <c r="F7" s="704"/>
      <c r="G7" s="704"/>
      <c r="H7" s="704"/>
      <c r="I7" s="709"/>
      <c r="J7" s="709"/>
      <c r="K7" s="710"/>
      <c r="L7" s="728"/>
      <c r="M7" s="194"/>
      <c r="N7" s="728"/>
      <c r="O7" s="713"/>
      <c r="P7" s="713"/>
      <c r="Q7" s="713"/>
      <c r="R7" s="716"/>
      <c r="S7" s="719"/>
      <c r="T7" s="722"/>
      <c r="U7" s="774"/>
      <c r="V7" s="725"/>
      <c r="W7" s="722"/>
      <c r="X7" s="776"/>
      <c r="Y7" s="733"/>
      <c r="Z7" s="733"/>
      <c r="AA7" s="733"/>
      <c r="AB7" s="735"/>
      <c r="AF7" s="12"/>
      <c r="AG7" s="12"/>
      <c r="AH7" s="12" t="s">
        <v>267</v>
      </c>
      <c r="AI7" s="12"/>
      <c r="AJ7" s="12" t="s">
        <v>7</v>
      </c>
      <c r="AK7" s="12"/>
      <c r="AL7" s="12" t="s">
        <v>262</v>
      </c>
      <c r="AM7" s="12"/>
      <c r="AN7" s="12"/>
      <c r="AO7" s="12"/>
      <c r="AP7" s="12"/>
      <c r="AQ7" s="12"/>
      <c r="AR7" s="12"/>
      <c r="AS7" s="12"/>
      <c r="AT7" s="12"/>
      <c r="AU7" s="12"/>
      <c r="AV7" s="12"/>
      <c r="AW7" s="12"/>
      <c r="AX7" s="12"/>
      <c r="AY7" s="12"/>
      <c r="AZ7" s="12"/>
    </row>
    <row r="8" spans="2:52" ht="35.25" customHeight="1">
      <c r="B8" s="191">
        <v>1</v>
      </c>
      <c r="C8" s="753" t="s">
        <v>544</v>
      </c>
      <c r="D8" s="754"/>
      <c r="E8" s="754"/>
      <c r="F8" s="754"/>
      <c r="G8" s="754"/>
      <c r="H8" s="755"/>
      <c r="I8" s="756" t="s">
        <v>659</v>
      </c>
      <c r="J8" s="757"/>
      <c r="K8" s="758"/>
      <c r="L8" s="571" t="s">
        <v>402</v>
      </c>
      <c r="M8" s="394"/>
      <c r="N8" s="567" t="s">
        <v>555</v>
      </c>
      <c r="O8" s="395" t="s">
        <v>262</v>
      </c>
      <c r="P8" s="395" t="s">
        <v>264</v>
      </c>
      <c r="Q8" s="395" t="s">
        <v>323</v>
      </c>
      <c r="R8" s="187" t="s">
        <v>559</v>
      </c>
      <c r="S8" s="396" t="s">
        <v>566</v>
      </c>
      <c r="T8" s="397">
        <v>12</v>
      </c>
      <c r="U8" s="398" t="s">
        <v>568</v>
      </c>
      <c r="V8" s="405" t="s">
        <v>266</v>
      </c>
      <c r="W8" s="406" t="s">
        <v>556</v>
      </c>
      <c r="X8" s="190">
        <v>1000000</v>
      </c>
      <c r="Y8" s="125">
        <v>350000</v>
      </c>
      <c r="Z8" s="190"/>
      <c r="AA8" s="190">
        <v>300000</v>
      </c>
      <c r="AB8" s="199">
        <f>SUM(X8:AA8)</f>
        <v>1650000</v>
      </c>
      <c r="AE8" s="12" t="s">
        <v>659</v>
      </c>
      <c r="AH8" s="12" t="s">
        <v>268</v>
      </c>
      <c r="AJ8" s="12" t="s">
        <v>8</v>
      </c>
      <c r="AL8" s="12" t="s">
        <v>263</v>
      </c>
    </row>
    <row r="9" spans="2:52" ht="35.25" customHeight="1">
      <c r="B9" s="186">
        <v>2</v>
      </c>
      <c r="C9" s="739" t="s">
        <v>545</v>
      </c>
      <c r="D9" s="740"/>
      <c r="E9" s="740"/>
      <c r="F9" s="740"/>
      <c r="G9" s="740"/>
      <c r="H9" s="741"/>
      <c r="I9" s="742" t="s">
        <v>659</v>
      </c>
      <c r="J9" s="743"/>
      <c r="K9" s="744"/>
      <c r="L9" s="572" t="s">
        <v>402</v>
      </c>
      <c r="M9" s="394"/>
      <c r="N9" s="567" t="s">
        <v>277</v>
      </c>
      <c r="O9" s="469" t="s">
        <v>262</v>
      </c>
      <c r="P9" s="395" t="s">
        <v>264</v>
      </c>
      <c r="Q9" s="395" t="s">
        <v>323</v>
      </c>
      <c r="R9" s="187" t="s">
        <v>560</v>
      </c>
      <c r="S9" s="399" t="s">
        <v>567</v>
      </c>
      <c r="T9" s="400">
        <v>12</v>
      </c>
      <c r="U9" s="401" t="s">
        <v>568</v>
      </c>
      <c r="V9" s="407" t="s">
        <v>266</v>
      </c>
      <c r="W9" s="408"/>
      <c r="X9" s="189">
        <v>700000</v>
      </c>
      <c r="Y9" s="126">
        <v>200000</v>
      </c>
      <c r="Z9" s="189"/>
      <c r="AA9" s="189">
        <v>300000</v>
      </c>
      <c r="AB9" s="205">
        <f t="shared" ref="AB9:AB27" si="0">SUM(X9:AA9)</f>
        <v>1200000</v>
      </c>
      <c r="AE9" s="12" t="s">
        <v>261</v>
      </c>
      <c r="AH9" s="12" t="s">
        <v>269</v>
      </c>
      <c r="AJ9" s="12" t="s">
        <v>164</v>
      </c>
    </row>
    <row r="10" spans="2:52" ht="35.25" customHeight="1">
      <c r="B10" s="186">
        <v>3</v>
      </c>
      <c r="C10" s="739" t="s">
        <v>547</v>
      </c>
      <c r="D10" s="740"/>
      <c r="E10" s="740"/>
      <c r="F10" s="740"/>
      <c r="G10" s="740"/>
      <c r="H10" s="741"/>
      <c r="I10" s="742" t="s">
        <v>659</v>
      </c>
      <c r="J10" s="743"/>
      <c r="K10" s="744"/>
      <c r="L10" s="572" t="s">
        <v>404</v>
      </c>
      <c r="M10" s="394"/>
      <c r="N10" s="567" t="s">
        <v>556</v>
      </c>
      <c r="O10" s="469" t="s">
        <v>262</v>
      </c>
      <c r="P10" s="395" t="s">
        <v>264</v>
      </c>
      <c r="Q10" s="395" t="s">
        <v>319</v>
      </c>
      <c r="R10" s="187" t="s">
        <v>561</v>
      </c>
      <c r="S10" s="399" t="s">
        <v>534</v>
      </c>
      <c r="T10" s="400">
        <v>12</v>
      </c>
      <c r="U10" s="401" t="s">
        <v>568</v>
      </c>
      <c r="V10" s="407" t="s">
        <v>266</v>
      </c>
      <c r="W10" s="409" t="s">
        <v>557</v>
      </c>
      <c r="X10" s="189">
        <v>400000</v>
      </c>
      <c r="Y10" s="126">
        <v>100000</v>
      </c>
      <c r="Z10" s="189"/>
      <c r="AA10" s="189">
        <v>120000</v>
      </c>
      <c r="AB10" s="205">
        <f t="shared" si="0"/>
        <v>620000</v>
      </c>
      <c r="AE10" s="12" t="s">
        <v>457</v>
      </c>
      <c r="AH10" s="12" t="s">
        <v>270</v>
      </c>
    </row>
    <row r="11" spans="2:52" ht="35.25" customHeight="1">
      <c r="B11" s="186">
        <v>4</v>
      </c>
      <c r="C11" s="739" t="s">
        <v>548</v>
      </c>
      <c r="D11" s="740"/>
      <c r="E11" s="740"/>
      <c r="F11" s="740"/>
      <c r="G11" s="740"/>
      <c r="H11" s="741"/>
      <c r="I11" s="742" t="s">
        <v>659</v>
      </c>
      <c r="J11" s="743"/>
      <c r="K11" s="744"/>
      <c r="L11" s="572" t="s">
        <v>404</v>
      </c>
      <c r="M11" s="394"/>
      <c r="N11" s="567" t="s">
        <v>557</v>
      </c>
      <c r="O11" s="469" t="s">
        <v>263</v>
      </c>
      <c r="P11" s="395" t="s">
        <v>265</v>
      </c>
      <c r="Q11" s="469" t="s">
        <v>319</v>
      </c>
      <c r="R11" s="187" t="s">
        <v>562</v>
      </c>
      <c r="S11" s="399" t="s">
        <v>534</v>
      </c>
      <c r="T11" s="400">
        <v>12</v>
      </c>
      <c r="U11" s="401" t="s">
        <v>568</v>
      </c>
      <c r="V11" s="407"/>
      <c r="W11" s="409"/>
      <c r="X11" s="189">
        <v>400000</v>
      </c>
      <c r="Y11" s="126">
        <v>100000</v>
      </c>
      <c r="Z11" s="189"/>
      <c r="AA11" s="189">
        <v>120000</v>
      </c>
      <c r="AB11" s="205">
        <f t="shared" si="0"/>
        <v>620000</v>
      </c>
      <c r="AH11" s="12" t="s">
        <v>271</v>
      </c>
      <c r="AJ11" s="12">
        <v>1</v>
      </c>
      <c r="AL11" s="12" t="s">
        <v>264</v>
      </c>
    </row>
    <row r="12" spans="2:52" ht="35.25" customHeight="1">
      <c r="B12" s="186">
        <v>5</v>
      </c>
      <c r="C12" s="739" t="s">
        <v>550</v>
      </c>
      <c r="D12" s="740"/>
      <c r="E12" s="740"/>
      <c r="F12" s="740"/>
      <c r="G12" s="740"/>
      <c r="H12" s="741"/>
      <c r="I12" s="742" t="s">
        <v>261</v>
      </c>
      <c r="J12" s="743"/>
      <c r="K12" s="744"/>
      <c r="L12" s="572" t="s">
        <v>404</v>
      </c>
      <c r="M12" s="394"/>
      <c r="N12" s="572"/>
      <c r="O12" s="469" t="s">
        <v>263</v>
      </c>
      <c r="P12" s="395" t="s">
        <v>265</v>
      </c>
      <c r="Q12" s="469" t="s">
        <v>319</v>
      </c>
      <c r="R12" s="187" t="s">
        <v>562</v>
      </c>
      <c r="S12" s="399"/>
      <c r="T12" s="400"/>
      <c r="U12" s="401"/>
      <c r="V12" s="407"/>
      <c r="W12" s="408"/>
      <c r="X12" s="189"/>
      <c r="Y12" s="126"/>
      <c r="Z12" s="189"/>
      <c r="AA12" s="189"/>
      <c r="AB12" s="205">
        <f t="shared" si="0"/>
        <v>0</v>
      </c>
      <c r="AE12" s="12" t="s">
        <v>336</v>
      </c>
      <c r="AH12" s="12" t="s">
        <v>272</v>
      </c>
      <c r="AJ12" s="12">
        <v>2</v>
      </c>
      <c r="AL12" s="12" t="s">
        <v>265</v>
      </c>
    </row>
    <row r="13" spans="2:52" ht="35.25" customHeight="1">
      <c r="B13" s="186">
        <v>6</v>
      </c>
      <c r="C13" s="739" t="s">
        <v>551</v>
      </c>
      <c r="D13" s="740"/>
      <c r="E13" s="740"/>
      <c r="F13" s="740"/>
      <c r="G13" s="740"/>
      <c r="H13" s="741"/>
      <c r="I13" s="742" t="s">
        <v>659</v>
      </c>
      <c r="J13" s="743"/>
      <c r="K13" s="744"/>
      <c r="L13" s="572" t="s">
        <v>404</v>
      </c>
      <c r="M13" s="394"/>
      <c r="N13" s="567" t="s">
        <v>558</v>
      </c>
      <c r="O13" s="469" t="s">
        <v>263</v>
      </c>
      <c r="P13" s="395" t="s">
        <v>265</v>
      </c>
      <c r="Q13" s="469" t="s">
        <v>319</v>
      </c>
      <c r="R13" s="187" t="s">
        <v>562</v>
      </c>
      <c r="S13" s="399" t="s">
        <v>534</v>
      </c>
      <c r="T13" s="400">
        <v>9</v>
      </c>
      <c r="U13" s="401" t="s">
        <v>568</v>
      </c>
      <c r="V13" s="407" t="s">
        <v>266</v>
      </c>
      <c r="W13" s="409" t="s">
        <v>558</v>
      </c>
      <c r="X13" s="189">
        <v>200000</v>
      </c>
      <c r="Y13" s="126">
        <v>100000</v>
      </c>
      <c r="Z13" s="189"/>
      <c r="AA13" s="189"/>
      <c r="AB13" s="205">
        <f t="shared" si="0"/>
        <v>300000</v>
      </c>
      <c r="AH13" s="12" t="s">
        <v>273</v>
      </c>
      <c r="AJ13" s="12">
        <v>3</v>
      </c>
      <c r="AL13" s="12" t="s">
        <v>217</v>
      </c>
    </row>
    <row r="14" spans="2:52" ht="35.25" customHeight="1">
      <c r="B14" s="186">
        <v>7</v>
      </c>
      <c r="C14" s="739" t="s">
        <v>552</v>
      </c>
      <c r="D14" s="740"/>
      <c r="E14" s="740"/>
      <c r="F14" s="740"/>
      <c r="G14" s="740"/>
      <c r="H14" s="741"/>
      <c r="I14" s="742" t="s">
        <v>261</v>
      </c>
      <c r="J14" s="743"/>
      <c r="K14" s="744"/>
      <c r="L14" s="572" t="s">
        <v>404</v>
      </c>
      <c r="M14" s="394"/>
      <c r="N14" s="572"/>
      <c r="O14" s="395" t="s">
        <v>263</v>
      </c>
      <c r="P14" s="395" t="s">
        <v>265</v>
      </c>
      <c r="Q14" s="395" t="s">
        <v>329</v>
      </c>
      <c r="R14" s="340" t="s">
        <v>563</v>
      </c>
      <c r="S14" s="399"/>
      <c r="T14" s="400"/>
      <c r="U14" s="401"/>
      <c r="V14" s="407"/>
      <c r="W14" s="409"/>
      <c r="X14" s="189">
        <v>100000</v>
      </c>
      <c r="Y14" s="126"/>
      <c r="Z14" s="189"/>
      <c r="AA14" s="189">
        <v>80000</v>
      </c>
      <c r="AB14" s="205">
        <f t="shared" si="0"/>
        <v>180000</v>
      </c>
      <c r="AH14" s="12" t="s">
        <v>274</v>
      </c>
      <c r="AJ14" s="12">
        <v>4</v>
      </c>
    </row>
    <row r="15" spans="2:52" ht="35.25" customHeight="1">
      <c r="B15" s="186">
        <v>8</v>
      </c>
      <c r="C15" s="739" t="s">
        <v>553</v>
      </c>
      <c r="D15" s="740"/>
      <c r="E15" s="740"/>
      <c r="F15" s="740"/>
      <c r="G15" s="740"/>
      <c r="H15" s="741"/>
      <c r="I15" s="742" t="s">
        <v>261</v>
      </c>
      <c r="J15" s="743"/>
      <c r="K15" s="744"/>
      <c r="L15" s="572" t="s">
        <v>404</v>
      </c>
      <c r="M15" s="394"/>
      <c r="N15" s="567"/>
      <c r="O15" s="395" t="s">
        <v>263</v>
      </c>
      <c r="P15" s="395" t="s">
        <v>265</v>
      </c>
      <c r="Q15" s="395" t="s">
        <v>284</v>
      </c>
      <c r="R15" s="340" t="s">
        <v>564</v>
      </c>
      <c r="S15" s="399"/>
      <c r="T15" s="400"/>
      <c r="U15" s="401"/>
      <c r="V15" s="407"/>
      <c r="W15" s="408"/>
      <c r="X15" s="189">
        <v>60000</v>
      </c>
      <c r="Y15" s="126"/>
      <c r="Z15" s="189"/>
      <c r="AA15" s="189">
        <v>80000</v>
      </c>
      <c r="AB15" s="205">
        <f t="shared" si="0"/>
        <v>140000</v>
      </c>
      <c r="AH15" s="12" t="s">
        <v>275</v>
      </c>
      <c r="AJ15" s="12">
        <v>5</v>
      </c>
      <c r="AL15" s="12" t="s">
        <v>266</v>
      </c>
    </row>
    <row r="16" spans="2:52" ht="35.25" customHeight="1">
      <c r="B16" s="186">
        <v>9</v>
      </c>
      <c r="C16" s="739" t="s">
        <v>554</v>
      </c>
      <c r="D16" s="740"/>
      <c r="E16" s="740"/>
      <c r="F16" s="740"/>
      <c r="G16" s="740"/>
      <c r="H16" s="741"/>
      <c r="I16" s="742" t="s">
        <v>457</v>
      </c>
      <c r="J16" s="743"/>
      <c r="K16" s="744"/>
      <c r="L16" s="572" t="s">
        <v>404</v>
      </c>
      <c r="M16" s="394"/>
      <c r="N16" s="567"/>
      <c r="O16" s="395" t="s">
        <v>263</v>
      </c>
      <c r="P16" s="395" t="s">
        <v>265</v>
      </c>
      <c r="Q16" s="395" t="s">
        <v>327</v>
      </c>
      <c r="R16" s="340" t="s">
        <v>565</v>
      </c>
      <c r="S16" s="399"/>
      <c r="T16" s="400"/>
      <c r="U16" s="401"/>
      <c r="V16" s="407"/>
      <c r="W16" s="409"/>
      <c r="X16" s="189">
        <v>10000</v>
      </c>
      <c r="Y16" s="126"/>
      <c r="Z16" s="189">
        <v>600000</v>
      </c>
      <c r="AA16" s="189"/>
      <c r="AB16" s="205">
        <f t="shared" si="0"/>
        <v>610000</v>
      </c>
      <c r="AH16" s="12" t="s">
        <v>276</v>
      </c>
      <c r="AJ16" s="12">
        <v>6</v>
      </c>
    </row>
    <row r="17" spans="2:51" ht="35.25" customHeight="1">
      <c r="B17" s="186">
        <v>10</v>
      </c>
      <c r="C17" s="739"/>
      <c r="D17" s="740"/>
      <c r="E17" s="740"/>
      <c r="F17" s="740"/>
      <c r="G17" s="740"/>
      <c r="H17" s="741"/>
      <c r="I17" s="742"/>
      <c r="J17" s="743"/>
      <c r="K17" s="744"/>
      <c r="L17" s="568"/>
      <c r="M17" s="394"/>
      <c r="N17" s="567"/>
      <c r="O17" s="395"/>
      <c r="P17" s="395"/>
      <c r="Q17" s="395"/>
      <c r="R17" s="187"/>
      <c r="S17" s="399"/>
      <c r="T17" s="400"/>
      <c r="U17" s="401"/>
      <c r="V17" s="407"/>
      <c r="W17" s="409"/>
      <c r="X17" s="189"/>
      <c r="Y17" s="126"/>
      <c r="Z17" s="189"/>
      <c r="AA17" s="189"/>
      <c r="AB17" s="205">
        <f t="shared" si="0"/>
        <v>0</v>
      </c>
      <c r="AH17" s="12" t="s">
        <v>277</v>
      </c>
      <c r="AJ17" s="12">
        <v>7</v>
      </c>
    </row>
    <row r="18" spans="2:51" ht="35.25" customHeight="1">
      <c r="B18" s="186">
        <v>11</v>
      </c>
      <c r="C18" s="739"/>
      <c r="D18" s="740"/>
      <c r="E18" s="740"/>
      <c r="F18" s="740"/>
      <c r="G18" s="740"/>
      <c r="H18" s="741"/>
      <c r="I18" s="742"/>
      <c r="J18" s="743"/>
      <c r="K18" s="744"/>
      <c r="L18" s="568"/>
      <c r="M18" s="394"/>
      <c r="N18" s="567"/>
      <c r="O18" s="395"/>
      <c r="P18" s="395"/>
      <c r="Q18" s="395"/>
      <c r="R18" s="340"/>
      <c r="S18" s="399"/>
      <c r="T18" s="400"/>
      <c r="U18" s="401"/>
      <c r="V18" s="407"/>
      <c r="W18" s="408"/>
      <c r="X18" s="189"/>
      <c r="Y18" s="126"/>
      <c r="Z18" s="189"/>
      <c r="AA18" s="189"/>
      <c r="AB18" s="205">
        <f t="shared" si="0"/>
        <v>0</v>
      </c>
      <c r="AH18" s="12" t="s">
        <v>422</v>
      </c>
      <c r="AJ18" s="12">
        <v>8</v>
      </c>
      <c r="AL18" s="12" t="s">
        <v>282</v>
      </c>
    </row>
    <row r="19" spans="2:51" ht="35.25" customHeight="1">
      <c r="B19" s="186">
        <v>12</v>
      </c>
      <c r="C19" s="739"/>
      <c r="D19" s="740"/>
      <c r="E19" s="740"/>
      <c r="F19" s="740"/>
      <c r="G19" s="740"/>
      <c r="H19" s="741"/>
      <c r="I19" s="742"/>
      <c r="J19" s="743"/>
      <c r="K19" s="744"/>
      <c r="L19" s="568"/>
      <c r="M19" s="394"/>
      <c r="N19" s="567"/>
      <c r="O19" s="395"/>
      <c r="P19" s="395"/>
      <c r="Q19" s="395"/>
      <c r="R19" s="340"/>
      <c r="S19" s="399"/>
      <c r="T19" s="400"/>
      <c r="U19" s="401"/>
      <c r="V19" s="407"/>
      <c r="W19" s="409"/>
      <c r="X19" s="189"/>
      <c r="Y19" s="126"/>
      <c r="Z19" s="189"/>
      <c r="AA19" s="189"/>
      <c r="AB19" s="205">
        <f t="shared" si="0"/>
        <v>0</v>
      </c>
      <c r="AH19" s="12" t="s">
        <v>423</v>
      </c>
      <c r="AJ19" s="12">
        <v>9</v>
      </c>
      <c r="AL19" s="12" t="s">
        <v>284</v>
      </c>
    </row>
    <row r="20" spans="2:51" ht="35.25" customHeight="1">
      <c r="B20" s="186">
        <v>13</v>
      </c>
      <c r="C20" s="688"/>
      <c r="D20" s="689"/>
      <c r="E20" s="689"/>
      <c r="F20" s="689"/>
      <c r="G20" s="689"/>
      <c r="H20" s="690"/>
      <c r="I20" s="691"/>
      <c r="J20" s="691"/>
      <c r="K20" s="692"/>
      <c r="L20" s="568"/>
      <c r="M20" s="394"/>
      <c r="N20" s="567"/>
      <c r="O20" s="395"/>
      <c r="P20" s="395"/>
      <c r="Q20" s="395"/>
      <c r="R20" s="203"/>
      <c r="S20" s="399"/>
      <c r="T20" s="400"/>
      <c r="U20" s="401"/>
      <c r="V20" s="407"/>
      <c r="W20" s="409"/>
      <c r="X20" s="189"/>
      <c r="Y20" s="126"/>
      <c r="Z20" s="189"/>
      <c r="AA20" s="189"/>
      <c r="AB20" s="205">
        <f t="shared" si="0"/>
        <v>0</v>
      </c>
      <c r="AH20" s="12" t="s">
        <v>424</v>
      </c>
      <c r="AJ20" s="12">
        <v>10</v>
      </c>
      <c r="AL20" s="12" t="s">
        <v>286</v>
      </c>
    </row>
    <row r="21" spans="2:51" ht="35.25" customHeight="1">
      <c r="B21" s="186">
        <v>14</v>
      </c>
      <c r="C21" s="688"/>
      <c r="D21" s="689"/>
      <c r="E21" s="689"/>
      <c r="F21" s="689"/>
      <c r="G21" s="689"/>
      <c r="H21" s="690"/>
      <c r="I21" s="691"/>
      <c r="J21" s="691"/>
      <c r="K21" s="692"/>
      <c r="L21" s="568"/>
      <c r="M21" s="394"/>
      <c r="N21" s="567"/>
      <c r="O21" s="395"/>
      <c r="P21" s="395"/>
      <c r="Q21" s="395"/>
      <c r="R21" s="203"/>
      <c r="S21" s="399"/>
      <c r="T21" s="400"/>
      <c r="U21" s="401"/>
      <c r="V21" s="407"/>
      <c r="W21" s="408"/>
      <c r="X21" s="189"/>
      <c r="Y21" s="126"/>
      <c r="Z21" s="189"/>
      <c r="AA21" s="189"/>
      <c r="AB21" s="205">
        <f t="shared" si="0"/>
        <v>0</v>
      </c>
      <c r="AH21" s="12" t="s">
        <v>425</v>
      </c>
      <c r="AJ21" s="12">
        <v>11</v>
      </c>
      <c r="AL21" s="12" t="s">
        <v>325</v>
      </c>
    </row>
    <row r="22" spans="2:51" ht="35.25" customHeight="1">
      <c r="B22" s="186">
        <v>15</v>
      </c>
      <c r="C22" s="688"/>
      <c r="D22" s="689"/>
      <c r="E22" s="689"/>
      <c r="F22" s="689"/>
      <c r="G22" s="689"/>
      <c r="H22" s="690"/>
      <c r="I22" s="691"/>
      <c r="J22" s="691"/>
      <c r="K22" s="692"/>
      <c r="L22" s="568"/>
      <c r="M22" s="394"/>
      <c r="N22" s="567"/>
      <c r="O22" s="395"/>
      <c r="P22" s="395"/>
      <c r="Q22" s="395"/>
      <c r="R22" s="188"/>
      <c r="S22" s="399"/>
      <c r="T22" s="400"/>
      <c r="U22" s="401"/>
      <c r="V22" s="407"/>
      <c r="W22" s="409"/>
      <c r="X22" s="189"/>
      <c r="Y22" s="126"/>
      <c r="Z22" s="189"/>
      <c r="AA22" s="189"/>
      <c r="AB22" s="205">
        <f t="shared" si="0"/>
        <v>0</v>
      </c>
      <c r="AH22" s="12" t="s">
        <v>458</v>
      </c>
      <c r="AJ22" s="12">
        <v>12</v>
      </c>
      <c r="AL22" s="12" t="s">
        <v>290</v>
      </c>
    </row>
    <row r="23" spans="2:51" ht="35.25" customHeight="1">
      <c r="B23" s="186">
        <v>16</v>
      </c>
      <c r="C23" s="688"/>
      <c r="D23" s="689"/>
      <c r="E23" s="689"/>
      <c r="F23" s="689"/>
      <c r="G23" s="689"/>
      <c r="H23" s="690"/>
      <c r="I23" s="691"/>
      <c r="J23" s="691"/>
      <c r="K23" s="692"/>
      <c r="L23" s="568"/>
      <c r="M23" s="394"/>
      <c r="N23" s="567"/>
      <c r="O23" s="395"/>
      <c r="P23" s="395"/>
      <c r="Q23" s="395"/>
      <c r="R23" s="203"/>
      <c r="S23" s="399"/>
      <c r="T23" s="400"/>
      <c r="U23" s="401"/>
      <c r="V23" s="407"/>
      <c r="W23" s="408"/>
      <c r="X23" s="189"/>
      <c r="Y23" s="126"/>
      <c r="Z23" s="189"/>
      <c r="AA23" s="189"/>
      <c r="AB23" s="205">
        <f t="shared" si="0"/>
        <v>0</v>
      </c>
      <c r="AH23" s="12" t="s">
        <v>478</v>
      </c>
      <c r="AL23" s="12" t="s">
        <v>326</v>
      </c>
    </row>
    <row r="24" spans="2:51" ht="35.25" customHeight="1">
      <c r="B24" s="186">
        <v>17</v>
      </c>
      <c r="C24" s="688"/>
      <c r="D24" s="689"/>
      <c r="E24" s="689"/>
      <c r="F24" s="689"/>
      <c r="G24" s="689"/>
      <c r="H24" s="690"/>
      <c r="I24" s="691"/>
      <c r="J24" s="691"/>
      <c r="K24" s="692"/>
      <c r="L24" s="568"/>
      <c r="M24" s="394"/>
      <c r="N24" s="567"/>
      <c r="O24" s="395"/>
      <c r="P24" s="395"/>
      <c r="Q24" s="395"/>
      <c r="R24" s="203"/>
      <c r="S24" s="399"/>
      <c r="T24" s="400"/>
      <c r="U24" s="401"/>
      <c r="V24" s="407"/>
      <c r="W24" s="409"/>
      <c r="X24" s="189"/>
      <c r="Y24" s="126"/>
      <c r="Z24" s="189"/>
      <c r="AA24" s="189"/>
      <c r="AB24" s="205">
        <f t="shared" si="0"/>
        <v>0</v>
      </c>
      <c r="AL24" s="12" t="s">
        <v>327</v>
      </c>
    </row>
    <row r="25" spans="2:51" ht="35.25" customHeight="1">
      <c r="B25" s="186">
        <v>18</v>
      </c>
      <c r="C25" s="688"/>
      <c r="D25" s="689"/>
      <c r="E25" s="689"/>
      <c r="F25" s="689"/>
      <c r="G25" s="689"/>
      <c r="H25" s="690"/>
      <c r="I25" s="691"/>
      <c r="J25" s="691"/>
      <c r="K25" s="692"/>
      <c r="L25" s="568"/>
      <c r="M25" s="394"/>
      <c r="N25" s="567"/>
      <c r="O25" s="395"/>
      <c r="P25" s="395"/>
      <c r="Q25" s="395"/>
      <c r="R25" s="203"/>
      <c r="S25" s="399"/>
      <c r="T25" s="400"/>
      <c r="U25" s="401"/>
      <c r="V25" s="407"/>
      <c r="W25" s="409"/>
      <c r="X25" s="189"/>
      <c r="Y25" s="126"/>
      <c r="Z25" s="189"/>
      <c r="AA25" s="189"/>
      <c r="AB25" s="205">
        <f t="shared" si="0"/>
        <v>0</v>
      </c>
      <c r="AL25" s="12" t="s">
        <v>328</v>
      </c>
    </row>
    <row r="26" spans="2:51" ht="35.25" customHeight="1">
      <c r="B26" s="186">
        <v>19</v>
      </c>
      <c r="C26" s="688"/>
      <c r="D26" s="689"/>
      <c r="E26" s="689"/>
      <c r="F26" s="689"/>
      <c r="G26" s="689"/>
      <c r="H26" s="690"/>
      <c r="I26" s="691"/>
      <c r="J26" s="691"/>
      <c r="K26" s="692"/>
      <c r="L26" s="568"/>
      <c r="M26" s="394"/>
      <c r="N26" s="567"/>
      <c r="O26" s="395"/>
      <c r="P26" s="395"/>
      <c r="Q26" s="395"/>
      <c r="R26" s="203"/>
      <c r="S26" s="399"/>
      <c r="T26" s="400"/>
      <c r="U26" s="401"/>
      <c r="V26" s="410"/>
      <c r="W26" s="408"/>
      <c r="X26" s="189"/>
      <c r="Y26" s="126"/>
      <c r="Z26" s="189"/>
      <c r="AA26" s="189"/>
      <c r="AB26" s="205">
        <f t="shared" si="0"/>
        <v>0</v>
      </c>
      <c r="AL26" s="12" t="s">
        <v>329</v>
      </c>
    </row>
    <row r="27" spans="2:51" ht="35.25" customHeight="1" thickBot="1">
      <c r="B27" s="186">
        <v>20</v>
      </c>
      <c r="C27" s="688"/>
      <c r="D27" s="689"/>
      <c r="E27" s="689"/>
      <c r="F27" s="689"/>
      <c r="G27" s="689"/>
      <c r="H27" s="690"/>
      <c r="I27" s="691"/>
      <c r="J27" s="691"/>
      <c r="K27" s="692"/>
      <c r="L27" s="568"/>
      <c r="M27" s="394"/>
      <c r="N27" s="567"/>
      <c r="O27" s="395"/>
      <c r="P27" s="395"/>
      <c r="Q27" s="395"/>
      <c r="R27" s="203"/>
      <c r="S27" s="402"/>
      <c r="T27" s="403"/>
      <c r="U27" s="404"/>
      <c r="V27" s="410"/>
      <c r="W27" s="411"/>
      <c r="X27" s="189"/>
      <c r="Y27" s="126"/>
      <c r="Z27" s="189"/>
      <c r="AA27" s="189"/>
      <c r="AB27" s="205">
        <f t="shared" si="0"/>
        <v>0</v>
      </c>
      <c r="AL27" s="12" t="s">
        <v>330</v>
      </c>
    </row>
    <row r="28" spans="2:51" ht="18" customHeight="1">
      <c r="B28" s="764" t="s">
        <v>278</v>
      </c>
      <c r="C28" s="765"/>
      <c r="D28" s="765"/>
      <c r="E28" s="765"/>
      <c r="F28" s="765"/>
      <c r="G28" s="765"/>
      <c r="H28" s="765"/>
      <c r="I28" s="765"/>
      <c r="J28" s="765"/>
      <c r="K28" s="765"/>
      <c r="L28" s="201"/>
      <c r="M28" s="201"/>
      <c r="N28" s="768"/>
      <c r="O28" s="769"/>
      <c r="P28" s="746" t="str">
        <f>IF(COUNTIF(Q8:Q27,"*すべて*"),"OK","要チェック")</f>
        <v>OK</v>
      </c>
      <c r="Q28" s="139"/>
      <c r="R28" s="676" t="str">
        <f>IF(COUNTIF(S8:S27,"③")&lt;=1,"OK","③は1人まで")</f>
        <v>OK</v>
      </c>
      <c r="S28" s="140"/>
      <c r="T28" s="140"/>
      <c r="U28" s="140"/>
      <c r="V28" s="693" t="s">
        <v>317</v>
      </c>
      <c r="W28" s="685">
        <f>SUM(X8:X27)</f>
        <v>2870000</v>
      </c>
      <c r="X28" s="685">
        <f>SUM(Y8:Y27)</f>
        <v>850000</v>
      </c>
      <c r="Y28" s="685">
        <f>SUM(Z8:Z27)</f>
        <v>600000</v>
      </c>
      <c r="Z28" s="685">
        <f>SUM(AA8:AA27)</f>
        <v>1000000</v>
      </c>
      <c r="AA28" s="685">
        <f>SUM(AB8:AB27)</f>
        <v>5320000</v>
      </c>
      <c r="AK28" s="12" t="s">
        <v>331</v>
      </c>
    </row>
    <row r="29" spans="2:51" ht="18" customHeight="1" thickBot="1">
      <c r="B29" s="766"/>
      <c r="C29" s="767"/>
      <c r="D29" s="767"/>
      <c r="E29" s="767"/>
      <c r="F29" s="767"/>
      <c r="G29" s="767"/>
      <c r="H29" s="767"/>
      <c r="I29" s="767"/>
      <c r="J29" s="767"/>
      <c r="K29" s="767"/>
      <c r="L29" s="202"/>
      <c r="M29" s="202"/>
      <c r="N29" s="770"/>
      <c r="O29" s="771"/>
      <c r="P29" s="747"/>
      <c r="Q29" s="141"/>
      <c r="R29" s="677"/>
      <c r="S29" s="142"/>
      <c r="T29" s="142"/>
      <c r="U29" s="142"/>
      <c r="V29" s="693"/>
      <c r="W29" s="685"/>
      <c r="X29" s="685"/>
      <c r="Y29" s="685"/>
      <c r="Z29" s="685"/>
      <c r="AA29" s="685"/>
      <c r="AK29" s="12" t="s">
        <v>319</v>
      </c>
    </row>
    <row r="30" spans="2:51" ht="36.75" customHeight="1">
      <c r="B30" s="206"/>
      <c r="C30" s="206"/>
      <c r="D30" s="206"/>
      <c r="E30" s="206"/>
      <c r="F30" s="206"/>
      <c r="G30" s="206"/>
      <c r="H30" s="206"/>
      <c r="I30" s="206"/>
      <c r="J30" s="206"/>
      <c r="K30" s="206"/>
      <c r="L30" s="206"/>
      <c r="M30" s="206"/>
      <c r="N30" s="206"/>
      <c r="O30" s="206"/>
      <c r="P30" s="141"/>
      <c r="Q30" s="141"/>
      <c r="R30" s="143"/>
      <c r="S30" s="142"/>
      <c r="T30" s="142"/>
      <c r="U30" s="142"/>
      <c r="V30" s="144" t="s">
        <v>334</v>
      </c>
      <c r="W30" s="189">
        <v>420000</v>
      </c>
      <c r="X30" s="189"/>
      <c r="Y30" s="189"/>
      <c r="Z30" s="189"/>
      <c r="AA30" s="205">
        <f>SUM(W30:Z30)</f>
        <v>420000</v>
      </c>
      <c r="AK30" s="12" t="s">
        <v>321</v>
      </c>
    </row>
    <row r="31" spans="2:51" ht="36.75" customHeight="1">
      <c r="B31" s="206"/>
      <c r="C31" s="206"/>
      <c r="D31" s="206"/>
      <c r="E31" s="206"/>
      <c r="F31" s="206"/>
      <c r="G31" s="206"/>
      <c r="H31" s="206"/>
      <c r="I31" s="206"/>
      <c r="J31" s="206"/>
      <c r="K31" s="206"/>
      <c r="L31" s="206"/>
      <c r="M31" s="206"/>
      <c r="N31" s="206"/>
      <c r="O31" s="206"/>
      <c r="P31" s="141"/>
      <c r="Q31" s="141"/>
      <c r="R31" s="143"/>
      <c r="S31" s="142"/>
      <c r="T31" s="142"/>
      <c r="U31" s="142"/>
      <c r="V31" s="144" t="s">
        <v>439</v>
      </c>
      <c r="W31" s="146"/>
      <c r="X31" s="146"/>
      <c r="Y31" s="189">
        <v>60000</v>
      </c>
      <c r="Z31" s="189">
        <v>500000</v>
      </c>
      <c r="AA31" s="145"/>
      <c r="AK31" s="12" t="s">
        <v>323</v>
      </c>
    </row>
    <row r="32" spans="2:51" ht="36.75" customHeight="1" thickBot="1">
      <c r="B32" s="206"/>
      <c r="C32" s="206"/>
      <c r="D32" s="206"/>
      <c r="E32" s="206"/>
      <c r="F32" s="206"/>
      <c r="G32" s="206"/>
      <c r="H32" s="206"/>
      <c r="I32" s="206"/>
      <c r="J32" s="206"/>
      <c r="K32" s="206"/>
      <c r="L32" s="206"/>
      <c r="M32" s="206"/>
      <c r="N32" s="206"/>
      <c r="O32" s="206"/>
      <c r="P32" s="141"/>
      <c r="Q32" s="141"/>
      <c r="R32" s="143"/>
      <c r="S32" s="142"/>
      <c r="T32" s="142"/>
      <c r="U32" s="142"/>
      <c r="V32" s="147" t="s">
        <v>335</v>
      </c>
      <c r="W32" s="145">
        <f>SUM(W28:W30)</f>
        <v>3290000</v>
      </c>
      <c r="X32" s="145">
        <f t="shared" ref="X32" si="1">SUM(X28:X30)</f>
        <v>850000</v>
      </c>
      <c r="Y32" s="145">
        <f>SUM(Y28:Y31)</f>
        <v>660000</v>
      </c>
      <c r="Z32" s="145">
        <f>SUM(Z28:Z31)</f>
        <v>1500000</v>
      </c>
      <c r="AA32" s="145">
        <f>SUM(W32:Z32)</f>
        <v>6300000</v>
      </c>
      <c r="AE32" s="135"/>
      <c r="AF32" s="135"/>
      <c r="AG32" s="135"/>
      <c r="AH32" s="135"/>
      <c r="AI32" s="135"/>
      <c r="AJ32" s="135"/>
      <c r="AK32" s="135"/>
      <c r="AL32" s="135"/>
      <c r="AM32" s="135"/>
      <c r="AN32" s="135"/>
      <c r="AO32" s="135"/>
      <c r="AP32" s="135"/>
      <c r="AQ32" s="135"/>
      <c r="AR32" s="135"/>
      <c r="AS32" s="135"/>
      <c r="AT32" s="135"/>
      <c r="AU32" s="135"/>
      <c r="AV32" s="135"/>
      <c r="AW32" s="135"/>
      <c r="AX32" s="135"/>
      <c r="AY32" s="135"/>
    </row>
    <row r="33" spans="2:51" s="135" customFormat="1" ht="36.75" customHeight="1" thickBot="1">
      <c r="B33" s="668" t="s">
        <v>436</v>
      </c>
      <c r="C33" s="669"/>
      <c r="D33" s="669"/>
      <c r="E33" s="669"/>
      <c r="F33" s="669"/>
      <c r="G33" s="669"/>
      <c r="H33" s="669"/>
      <c r="I33" s="669"/>
      <c r="J33" s="669"/>
      <c r="K33" s="669"/>
      <c r="L33" s="669"/>
      <c r="M33" s="669"/>
      <c r="N33" s="669"/>
      <c r="O33" s="669"/>
      <c r="P33" s="670"/>
      <c r="Q33" s="674" t="s">
        <v>568</v>
      </c>
      <c r="R33" s="148"/>
      <c r="S33" s="148"/>
      <c r="T33" s="148"/>
      <c r="U33" s="148"/>
      <c r="V33" s="149" t="s">
        <v>435</v>
      </c>
      <c r="W33" s="150">
        <f>ROUNDDOWN(MIN(MAX(_xlfn.IFS(Y2=AE3,IF(W32&lt;=1829000,W32,1829000),Y2=AE4,IF(W32&lt;=W35,W32,W35)),0),3330000),-3)</f>
        <v>0</v>
      </c>
      <c r="X33" s="151">
        <f>ROUNDDOWN(MIN(X32,919000),-3)</f>
        <v>850000</v>
      </c>
      <c r="Y33" s="151">
        <f>ROUNDDOWN(MIN(Y32,ROUNDDOWN(581000*使わない!I33/12,-3)),-3)</f>
        <v>581000</v>
      </c>
      <c r="Z33" s="151">
        <f>ROUNDDOWN(MIN(Z32,1568000),-3)</f>
        <v>1500000</v>
      </c>
      <c r="AA33" s="151"/>
      <c r="AE33" s="12"/>
      <c r="AF33" s="12"/>
      <c r="AG33" s="12"/>
      <c r="AH33" s="12"/>
      <c r="AI33" s="12"/>
      <c r="AJ33" s="12"/>
      <c r="AK33" s="12"/>
      <c r="AL33" s="12"/>
      <c r="AM33" s="12"/>
      <c r="AN33" s="12"/>
      <c r="AO33" s="12"/>
      <c r="AP33" s="12"/>
      <c r="AQ33" s="12"/>
      <c r="AR33" s="12"/>
      <c r="AS33" s="12"/>
      <c r="AT33" s="12"/>
      <c r="AU33" s="12"/>
      <c r="AV33" s="12"/>
      <c r="AW33" s="12"/>
      <c r="AX33" s="12"/>
      <c r="AY33" s="12"/>
    </row>
    <row r="34" spans="2:51" ht="38.25" customHeight="1" thickBot="1">
      <c r="B34" s="671"/>
      <c r="C34" s="672"/>
      <c r="D34" s="672"/>
      <c r="E34" s="672"/>
      <c r="F34" s="672"/>
      <c r="G34" s="672"/>
      <c r="H34" s="672"/>
      <c r="I34" s="672"/>
      <c r="J34" s="672"/>
      <c r="K34" s="672"/>
      <c r="L34" s="672"/>
      <c r="M34" s="672"/>
      <c r="N34" s="672"/>
      <c r="O34" s="672"/>
      <c r="P34" s="673"/>
      <c r="Q34" s="675"/>
      <c r="R34" s="152"/>
      <c r="S34" s="153"/>
      <c r="T34" s="153"/>
      <c r="U34" s="153"/>
      <c r="V34" s="154" t="s">
        <v>333</v>
      </c>
      <c r="W34" s="486" t="str">
        <f>_xlfn.IFS(
    Y2=AE3, IF(W33&lt;=1678000, "OK", "上限超"),
    Y2=AE4, IF(W35&lt;0, "処遇改善の上限額がマイナスです", IF(W33&lt;=W35, "OK", "上限超"))
)</f>
        <v>処遇改善の上限額がマイナスです</v>
      </c>
      <c r="X34" s="155" t="str">
        <f>IF(X33&lt;=919000,"OK","上限超")</f>
        <v>OK</v>
      </c>
      <c r="Y34" s="155" t="str">
        <f>IF(Y33&lt;=ROUNDDOWN(581000*使わない!I33/12,-3),"OK","上限超")</f>
        <v>OK</v>
      </c>
      <c r="Z34" s="155" t="str">
        <f>IF(Z33&lt;=1568000,"OK","上限超")</f>
        <v>OK</v>
      </c>
      <c r="AA34" s="156"/>
      <c r="AE34" s="13"/>
      <c r="AF34" s="13"/>
      <c r="AG34" s="13"/>
      <c r="AH34" s="13"/>
      <c r="AI34" s="13"/>
      <c r="AJ34" s="13"/>
      <c r="AK34" s="13"/>
      <c r="AL34" s="13"/>
      <c r="AM34" s="13"/>
      <c r="AN34" s="13"/>
      <c r="AO34" s="13"/>
      <c r="AP34" s="13"/>
      <c r="AQ34" s="13"/>
      <c r="AR34" s="13"/>
      <c r="AS34" s="13"/>
      <c r="AT34" s="13"/>
      <c r="AU34" s="13"/>
      <c r="AV34" s="13"/>
      <c r="AW34" s="13"/>
      <c r="AX34" s="13"/>
      <c r="AY34" s="13"/>
    </row>
    <row r="35" spans="2:51" s="13" customFormat="1" ht="18" customHeight="1">
      <c r="B35" s="682"/>
      <c r="C35" s="682"/>
      <c r="D35" s="682"/>
      <c r="E35" s="682"/>
      <c r="F35" s="682"/>
      <c r="G35" s="682"/>
      <c r="H35" s="682"/>
      <c r="I35" s="683"/>
      <c r="J35" s="684"/>
      <c r="K35" s="684"/>
      <c r="L35" s="208"/>
      <c r="M35" s="208"/>
      <c r="N35" s="208"/>
      <c r="O35" s="208"/>
      <c r="P35" s="208"/>
      <c r="Q35" s="157"/>
      <c r="R35" s="158"/>
      <c r="S35" s="206"/>
      <c r="T35" s="206"/>
      <c r="U35" s="206" t="s">
        <v>348</v>
      </c>
      <c r="V35" s="206" t="s">
        <v>349</v>
      </c>
      <c r="W35" s="159">
        <f>●常勤処遇改善の交付額!G21</f>
        <v>-6192120</v>
      </c>
      <c r="X35" s="206"/>
      <c r="Y35" s="206"/>
      <c r="Z35" s="206"/>
      <c r="AA35" s="206"/>
      <c r="AD35" s="12"/>
    </row>
    <row r="36" spans="2:51" s="13" customFormat="1" ht="18" customHeight="1">
      <c r="B36" s="682"/>
      <c r="C36" s="682"/>
      <c r="D36" s="682"/>
      <c r="E36" s="682"/>
      <c r="F36" s="682"/>
      <c r="G36" s="682"/>
      <c r="H36" s="682"/>
      <c r="I36" s="683"/>
      <c r="J36" s="683"/>
      <c r="K36" s="683"/>
      <c r="L36" s="207"/>
      <c r="M36" s="207"/>
      <c r="N36" s="207"/>
      <c r="O36" s="207"/>
      <c r="P36" s="207"/>
      <c r="Q36" s="157"/>
      <c r="R36" s="158"/>
      <c r="S36" s="206"/>
      <c r="T36" s="206"/>
      <c r="U36" s="206"/>
      <c r="V36" s="206" t="s">
        <v>350</v>
      </c>
      <c r="W36" s="207" t="str">
        <f>IF(SUM(様式４年間開所カレンダー!D375:D378)&gt;=250,"OK","250日未満")</f>
        <v>OK</v>
      </c>
      <c r="X36" s="206"/>
      <c r="Y36" s="206"/>
      <c r="Z36" s="206"/>
      <c r="AA36" s="206"/>
    </row>
    <row r="37" spans="2:51" s="13" customFormat="1" ht="18" customHeight="1">
      <c r="B37" s="682"/>
      <c r="C37" s="682"/>
      <c r="D37" s="682"/>
      <c r="E37" s="682"/>
      <c r="F37" s="682"/>
      <c r="G37" s="682"/>
      <c r="H37" s="682"/>
      <c r="I37" s="683"/>
      <c r="J37" s="683"/>
      <c r="K37" s="683"/>
      <c r="L37" s="207"/>
      <c r="M37" s="207"/>
      <c r="N37" s="207"/>
      <c r="O37" s="207"/>
      <c r="P37" s="207"/>
      <c r="Q37" s="157"/>
      <c r="R37" s="158"/>
      <c r="S37" s="206"/>
      <c r="T37" s="206"/>
      <c r="U37" s="206"/>
      <c r="V37" s="206" t="s">
        <v>351</v>
      </c>
      <c r="W37" s="462">
        <f>様式４年間開所カレンダー!F377</f>
        <v>0.79148015873015931</v>
      </c>
      <c r="X37" s="206"/>
      <c r="Y37" s="206"/>
      <c r="Z37" s="206"/>
      <c r="AA37" s="206"/>
      <c r="AE37" s="12"/>
      <c r="AF37" s="12"/>
      <c r="AG37" s="12"/>
      <c r="AH37" s="12"/>
      <c r="AI37" s="12"/>
      <c r="AJ37" s="12"/>
      <c r="AK37" s="12"/>
      <c r="AL37" s="12"/>
      <c r="AM37" s="12"/>
      <c r="AN37" s="12"/>
      <c r="AO37" s="12"/>
      <c r="AP37" s="12"/>
      <c r="AQ37" s="12"/>
      <c r="AR37" s="12"/>
      <c r="AS37" s="12"/>
      <c r="AT37" s="12"/>
      <c r="AU37" s="12"/>
      <c r="AV37" s="12"/>
      <c r="AW37" s="12"/>
      <c r="AX37" s="12"/>
      <c r="AY37" s="12"/>
    </row>
    <row r="38" spans="2:51" ht="55.5" customHeight="1">
      <c r="B38" s="738" t="s">
        <v>279</v>
      </c>
      <c r="C38" s="738"/>
      <c r="D38" s="738"/>
      <c r="E38" s="738"/>
      <c r="F38" s="738"/>
      <c r="G38" s="738"/>
      <c r="H38" s="738"/>
      <c r="I38" s="738"/>
      <c r="J38" s="738"/>
      <c r="K38" s="738"/>
      <c r="L38" s="738"/>
      <c r="M38" s="738"/>
      <c r="N38" s="738"/>
      <c r="O38" s="738"/>
      <c r="P38" s="738"/>
      <c r="Q38" s="738"/>
      <c r="R38" s="738"/>
      <c r="S38" s="738"/>
      <c r="T38" s="738"/>
      <c r="U38" s="738"/>
      <c r="V38" s="738"/>
    </row>
    <row r="39" spans="2:51" ht="55.5" customHeight="1">
      <c r="B39" s="680" t="s">
        <v>266</v>
      </c>
      <c r="C39" s="680"/>
      <c r="D39" s="761" t="s">
        <v>280</v>
      </c>
      <c r="E39" s="762"/>
      <c r="F39" s="762"/>
      <c r="G39" s="762"/>
      <c r="H39" s="762"/>
      <c r="I39" s="762"/>
      <c r="J39" s="762"/>
      <c r="K39" s="762"/>
      <c r="L39" s="762"/>
      <c r="M39" s="762"/>
      <c r="N39" s="762"/>
      <c r="O39" s="762"/>
      <c r="P39" s="762"/>
      <c r="Q39" s="762"/>
      <c r="R39" s="762"/>
      <c r="S39" s="762"/>
      <c r="T39" s="761" t="s">
        <v>337</v>
      </c>
      <c r="U39" s="762"/>
      <c r="V39" s="762"/>
      <c r="W39" s="762"/>
      <c r="X39" s="762"/>
      <c r="Y39" s="762"/>
      <c r="Z39" s="762"/>
      <c r="AA39" s="763"/>
    </row>
    <row r="40" spans="2:51" ht="90" customHeight="1">
      <c r="B40" s="678" t="s">
        <v>281</v>
      </c>
      <c r="C40" s="681"/>
      <c r="D40" s="678" t="s">
        <v>282</v>
      </c>
      <c r="E40" s="678"/>
      <c r="F40" s="679"/>
      <c r="G40" s="750" t="s">
        <v>283</v>
      </c>
      <c r="H40" s="751"/>
      <c r="I40" s="751"/>
      <c r="J40" s="751"/>
      <c r="K40" s="751"/>
      <c r="L40" s="751"/>
      <c r="M40" s="751"/>
      <c r="N40" s="751"/>
      <c r="O40" s="751"/>
      <c r="P40" s="751"/>
      <c r="Q40" s="751"/>
      <c r="R40" s="751"/>
      <c r="S40" s="752"/>
      <c r="T40" s="665" t="s">
        <v>569</v>
      </c>
      <c r="U40" s="666"/>
      <c r="V40" s="666"/>
      <c r="W40" s="666"/>
      <c r="X40" s="666"/>
      <c r="Y40" s="666"/>
      <c r="Z40" s="666"/>
      <c r="AA40" s="667"/>
      <c r="AD40" s="12" t="s">
        <v>282</v>
      </c>
    </row>
    <row r="41" spans="2:51" ht="90" customHeight="1">
      <c r="B41" s="681"/>
      <c r="C41" s="681"/>
      <c r="D41" s="678" t="s">
        <v>284</v>
      </c>
      <c r="E41" s="678"/>
      <c r="F41" s="679"/>
      <c r="G41" s="750" t="s">
        <v>285</v>
      </c>
      <c r="H41" s="751"/>
      <c r="I41" s="751"/>
      <c r="J41" s="751"/>
      <c r="K41" s="751"/>
      <c r="L41" s="751"/>
      <c r="M41" s="751"/>
      <c r="N41" s="751"/>
      <c r="O41" s="751"/>
      <c r="P41" s="751"/>
      <c r="Q41" s="751"/>
      <c r="R41" s="751"/>
      <c r="S41" s="752"/>
      <c r="T41" s="665" t="s">
        <v>569</v>
      </c>
      <c r="U41" s="666"/>
      <c r="V41" s="666"/>
      <c r="W41" s="666"/>
      <c r="X41" s="666"/>
      <c r="Y41" s="666"/>
      <c r="Z41" s="666"/>
      <c r="AA41" s="667"/>
      <c r="AD41" s="12" t="s">
        <v>284</v>
      </c>
    </row>
    <row r="42" spans="2:51" ht="90" customHeight="1">
      <c r="B42" s="681"/>
      <c r="C42" s="681"/>
      <c r="D42" s="678" t="s">
        <v>286</v>
      </c>
      <c r="E42" s="678"/>
      <c r="F42" s="679"/>
      <c r="G42" s="750" t="s">
        <v>287</v>
      </c>
      <c r="H42" s="751"/>
      <c r="I42" s="751"/>
      <c r="J42" s="751"/>
      <c r="K42" s="751"/>
      <c r="L42" s="751"/>
      <c r="M42" s="751"/>
      <c r="N42" s="751"/>
      <c r="O42" s="751"/>
      <c r="P42" s="751"/>
      <c r="Q42" s="751"/>
      <c r="R42" s="751"/>
      <c r="S42" s="752"/>
      <c r="T42" s="665" t="s">
        <v>569</v>
      </c>
      <c r="U42" s="666"/>
      <c r="V42" s="666"/>
      <c r="W42" s="666"/>
      <c r="X42" s="666"/>
      <c r="Y42" s="666"/>
      <c r="Z42" s="666"/>
      <c r="AA42" s="667"/>
      <c r="AD42" s="12" t="s">
        <v>286</v>
      </c>
    </row>
    <row r="43" spans="2:51" ht="90" customHeight="1">
      <c r="B43" s="681"/>
      <c r="C43" s="681"/>
      <c r="D43" s="678" t="s">
        <v>288</v>
      </c>
      <c r="E43" s="678"/>
      <c r="F43" s="679"/>
      <c r="G43" s="750" t="s">
        <v>289</v>
      </c>
      <c r="H43" s="751"/>
      <c r="I43" s="751"/>
      <c r="J43" s="751"/>
      <c r="K43" s="751"/>
      <c r="L43" s="751"/>
      <c r="M43" s="751"/>
      <c r="N43" s="751"/>
      <c r="O43" s="751"/>
      <c r="P43" s="751"/>
      <c r="Q43" s="751"/>
      <c r="R43" s="751"/>
      <c r="S43" s="752"/>
      <c r="T43" s="665" t="s">
        <v>569</v>
      </c>
      <c r="U43" s="666"/>
      <c r="V43" s="666"/>
      <c r="W43" s="666"/>
      <c r="X43" s="666"/>
      <c r="Y43" s="666"/>
      <c r="Z43" s="666"/>
      <c r="AA43" s="667"/>
      <c r="AD43" s="12" t="s">
        <v>325</v>
      </c>
    </row>
    <row r="44" spans="2:51" ht="90" customHeight="1">
      <c r="B44" s="681"/>
      <c r="C44" s="681"/>
      <c r="D44" s="678" t="s">
        <v>290</v>
      </c>
      <c r="E44" s="678"/>
      <c r="F44" s="679"/>
      <c r="G44" s="750" t="s">
        <v>291</v>
      </c>
      <c r="H44" s="751"/>
      <c r="I44" s="751"/>
      <c r="J44" s="751"/>
      <c r="K44" s="751"/>
      <c r="L44" s="751"/>
      <c r="M44" s="751"/>
      <c r="N44" s="751"/>
      <c r="O44" s="751"/>
      <c r="P44" s="751"/>
      <c r="Q44" s="751"/>
      <c r="R44" s="751"/>
      <c r="S44" s="752"/>
      <c r="T44" s="665" t="s">
        <v>569</v>
      </c>
      <c r="U44" s="666"/>
      <c r="V44" s="666"/>
      <c r="W44" s="666"/>
      <c r="X44" s="666"/>
      <c r="Y44" s="666"/>
      <c r="Z44" s="666"/>
      <c r="AA44" s="667"/>
      <c r="AD44" s="12" t="s">
        <v>290</v>
      </c>
    </row>
    <row r="45" spans="2:51" ht="90" customHeight="1">
      <c r="B45" s="678" t="s">
        <v>292</v>
      </c>
      <c r="C45" s="678"/>
      <c r="D45" s="686" t="s">
        <v>293</v>
      </c>
      <c r="E45" s="686"/>
      <c r="F45" s="687"/>
      <c r="G45" s="750" t="s">
        <v>444</v>
      </c>
      <c r="H45" s="751"/>
      <c r="I45" s="751"/>
      <c r="J45" s="751"/>
      <c r="K45" s="751"/>
      <c r="L45" s="751"/>
      <c r="M45" s="751"/>
      <c r="N45" s="751"/>
      <c r="O45" s="751"/>
      <c r="P45" s="751"/>
      <c r="Q45" s="751"/>
      <c r="R45" s="751"/>
      <c r="S45" s="752"/>
      <c r="T45" s="665" t="s">
        <v>569</v>
      </c>
      <c r="U45" s="666"/>
      <c r="V45" s="666"/>
      <c r="W45" s="666"/>
      <c r="X45" s="666"/>
      <c r="Y45" s="666"/>
      <c r="Z45" s="666"/>
      <c r="AA45" s="667"/>
      <c r="AD45" s="12" t="s">
        <v>326</v>
      </c>
    </row>
    <row r="46" spans="2:51" ht="90" customHeight="1">
      <c r="B46" s="678"/>
      <c r="C46" s="678"/>
      <c r="D46" s="686" t="s">
        <v>294</v>
      </c>
      <c r="E46" s="686"/>
      <c r="F46" s="687"/>
      <c r="G46" s="750" t="s">
        <v>295</v>
      </c>
      <c r="H46" s="751"/>
      <c r="I46" s="751"/>
      <c r="J46" s="751"/>
      <c r="K46" s="751"/>
      <c r="L46" s="751"/>
      <c r="M46" s="751"/>
      <c r="N46" s="751"/>
      <c r="O46" s="751"/>
      <c r="P46" s="751"/>
      <c r="Q46" s="751"/>
      <c r="R46" s="751"/>
      <c r="S46" s="752"/>
      <c r="T46" s="665" t="s">
        <v>569</v>
      </c>
      <c r="U46" s="666"/>
      <c r="V46" s="666"/>
      <c r="W46" s="666"/>
      <c r="X46" s="666"/>
      <c r="Y46" s="666"/>
      <c r="Z46" s="666"/>
      <c r="AA46" s="667"/>
      <c r="AD46" s="12" t="s">
        <v>327</v>
      </c>
    </row>
    <row r="47" spans="2:51" ht="90" customHeight="1">
      <c r="B47" s="678"/>
      <c r="C47" s="678"/>
      <c r="D47" s="686" t="s">
        <v>296</v>
      </c>
      <c r="E47" s="686"/>
      <c r="F47" s="687"/>
      <c r="G47" s="750" t="s">
        <v>297</v>
      </c>
      <c r="H47" s="751"/>
      <c r="I47" s="751"/>
      <c r="J47" s="751"/>
      <c r="K47" s="751"/>
      <c r="L47" s="751"/>
      <c r="M47" s="751"/>
      <c r="N47" s="751"/>
      <c r="O47" s="751"/>
      <c r="P47" s="751"/>
      <c r="Q47" s="751"/>
      <c r="R47" s="751"/>
      <c r="S47" s="752"/>
      <c r="T47" s="665" t="s">
        <v>569</v>
      </c>
      <c r="U47" s="666"/>
      <c r="V47" s="666"/>
      <c r="W47" s="666"/>
      <c r="X47" s="666"/>
      <c r="Y47" s="666"/>
      <c r="Z47" s="666"/>
      <c r="AA47" s="667"/>
      <c r="AD47" s="12" t="s">
        <v>328</v>
      </c>
    </row>
    <row r="48" spans="2:51" ht="90" customHeight="1">
      <c r="B48" s="678"/>
      <c r="C48" s="678"/>
      <c r="D48" s="686" t="s">
        <v>298</v>
      </c>
      <c r="E48" s="686"/>
      <c r="F48" s="687"/>
      <c r="G48" s="750" t="s">
        <v>299</v>
      </c>
      <c r="H48" s="751"/>
      <c r="I48" s="751"/>
      <c r="J48" s="751"/>
      <c r="K48" s="751"/>
      <c r="L48" s="751"/>
      <c r="M48" s="751"/>
      <c r="N48" s="751"/>
      <c r="O48" s="751"/>
      <c r="P48" s="751"/>
      <c r="Q48" s="751"/>
      <c r="R48" s="751"/>
      <c r="S48" s="752"/>
      <c r="T48" s="665" t="s">
        <v>569</v>
      </c>
      <c r="U48" s="666"/>
      <c r="V48" s="666"/>
      <c r="W48" s="666"/>
      <c r="X48" s="666"/>
      <c r="Y48" s="666"/>
      <c r="Z48" s="666"/>
      <c r="AA48" s="667"/>
      <c r="AD48" s="12" t="s">
        <v>329</v>
      </c>
    </row>
    <row r="49" spans="2:30" ht="90" customHeight="1">
      <c r="B49" s="678"/>
      <c r="C49" s="678"/>
      <c r="D49" s="686" t="s">
        <v>300</v>
      </c>
      <c r="E49" s="686"/>
      <c r="F49" s="687"/>
      <c r="G49" s="750" t="s">
        <v>301</v>
      </c>
      <c r="H49" s="751"/>
      <c r="I49" s="751"/>
      <c r="J49" s="751"/>
      <c r="K49" s="751"/>
      <c r="L49" s="751"/>
      <c r="M49" s="751"/>
      <c r="N49" s="751"/>
      <c r="O49" s="751"/>
      <c r="P49" s="751"/>
      <c r="Q49" s="751"/>
      <c r="R49" s="751"/>
      <c r="S49" s="752"/>
      <c r="T49" s="665" t="s">
        <v>569</v>
      </c>
      <c r="U49" s="666"/>
      <c r="V49" s="666"/>
      <c r="W49" s="666"/>
      <c r="X49" s="666"/>
      <c r="Y49" s="666"/>
      <c r="Z49" s="666"/>
      <c r="AA49" s="667"/>
      <c r="AD49" s="12" t="s">
        <v>330</v>
      </c>
    </row>
    <row r="50" spans="2:30" ht="90" customHeight="1">
      <c r="B50" s="678"/>
      <c r="C50" s="678"/>
      <c r="D50" s="686" t="s">
        <v>302</v>
      </c>
      <c r="E50" s="686"/>
      <c r="F50" s="687"/>
      <c r="G50" s="750" t="s">
        <v>303</v>
      </c>
      <c r="H50" s="751"/>
      <c r="I50" s="751"/>
      <c r="J50" s="751"/>
      <c r="K50" s="751"/>
      <c r="L50" s="751"/>
      <c r="M50" s="751"/>
      <c r="N50" s="751"/>
      <c r="O50" s="751"/>
      <c r="P50" s="751"/>
      <c r="Q50" s="751"/>
      <c r="R50" s="751"/>
      <c r="S50" s="752"/>
      <c r="T50" s="665" t="s">
        <v>569</v>
      </c>
      <c r="U50" s="666"/>
      <c r="V50" s="666"/>
      <c r="W50" s="666"/>
      <c r="X50" s="666"/>
      <c r="Y50" s="666"/>
      <c r="Z50" s="666"/>
      <c r="AA50" s="667"/>
      <c r="AD50" s="12" t="s">
        <v>331</v>
      </c>
    </row>
    <row r="51" spans="2:30" ht="90" customHeight="1">
      <c r="D51" s="745" t="s">
        <v>320</v>
      </c>
      <c r="E51" s="745"/>
      <c r="F51" s="745"/>
      <c r="AD51" s="12" t="s">
        <v>319</v>
      </c>
    </row>
    <row r="52" spans="2:30" ht="55.5" customHeight="1">
      <c r="D52" s="745" t="s">
        <v>322</v>
      </c>
      <c r="E52" s="745"/>
      <c r="F52" s="745"/>
      <c r="AD52" s="12" t="s">
        <v>321</v>
      </c>
    </row>
    <row r="53" spans="2:30" ht="55.5" customHeight="1">
      <c r="D53" s="745" t="s">
        <v>324</v>
      </c>
      <c r="E53" s="745"/>
      <c r="F53" s="745"/>
      <c r="AD53" s="12" t="s">
        <v>323</v>
      </c>
    </row>
    <row r="54" spans="2:30" ht="55.5" customHeight="1"/>
    <row r="55" spans="2:30" ht="55.5" customHeight="1"/>
    <row r="56" spans="2:30" ht="55.5" customHeight="1"/>
    <row r="57" spans="2:30" ht="55.5" customHeight="1"/>
    <row r="58" spans="2:30" ht="55.5" customHeight="1"/>
    <row r="59" spans="2:30" ht="55.5" customHeight="1"/>
    <row r="60" spans="2:30" ht="55.5" customHeight="1"/>
    <row r="61" spans="2:30" ht="55.5" customHeight="1"/>
    <row r="62" spans="2:30" ht="55.5" customHeight="1"/>
    <row r="63" spans="2:30" ht="55.5" customHeight="1"/>
    <row r="64" spans="2:30" ht="55.5" customHeight="1"/>
    <row r="65" ht="55.5" customHeight="1"/>
    <row r="66" ht="55.5" customHeight="1"/>
    <row r="67" ht="55.5" customHeight="1"/>
    <row r="68" ht="55.5" customHeight="1"/>
    <row r="69" ht="55.5" customHeight="1"/>
    <row r="70" ht="55.5" customHeight="1"/>
    <row r="71" ht="55.5" customHeight="1"/>
    <row r="72" ht="55.5" customHeight="1"/>
    <row r="73" ht="55.5" customHeight="1"/>
    <row r="74" ht="55.5" customHeight="1"/>
    <row r="75" ht="55.5" customHeight="1"/>
    <row r="76" ht="55.5" customHeight="1"/>
    <row r="77" ht="55.5" customHeight="1"/>
    <row r="78" ht="55.5" customHeight="1"/>
    <row r="79" ht="55.5" customHeight="1"/>
    <row r="80" ht="55.5" customHeight="1"/>
    <row r="81" ht="55.5" customHeight="1"/>
    <row r="82" ht="55.5" customHeight="1"/>
    <row r="83" ht="55.5" customHeight="1"/>
    <row r="84" ht="55.5" customHeight="1"/>
    <row r="85" ht="55.5" customHeight="1"/>
    <row r="86" ht="55.5" customHeight="1"/>
    <row r="87" ht="55.5" customHeight="1"/>
    <row r="88" ht="55.5" customHeight="1"/>
    <row r="89" ht="55.5" customHeight="1"/>
    <row r="90" ht="55.5" customHeight="1"/>
    <row r="91" ht="55.5" customHeight="1"/>
    <row r="92" ht="55.5" customHeight="1"/>
    <row r="93" ht="55.5" customHeight="1"/>
    <row r="94" ht="55.5" customHeight="1"/>
    <row r="95" ht="55.5" customHeight="1"/>
    <row r="96" ht="55.5" customHeight="1"/>
    <row r="97" ht="55.5" customHeight="1"/>
    <row r="98" ht="55.5" customHeight="1"/>
    <row r="99" ht="55.5" customHeight="1"/>
    <row r="100" ht="55.5" customHeight="1"/>
    <row r="101" ht="55.5" customHeight="1"/>
    <row r="102" ht="55.5" customHeight="1"/>
    <row r="103" ht="55.5" customHeight="1"/>
    <row r="104" ht="55.5" customHeight="1"/>
    <row r="105" ht="55.5" customHeight="1"/>
    <row r="106" ht="55.5" customHeight="1"/>
    <row r="107" ht="55.5" customHeight="1"/>
    <row r="108" ht="55.5" customHeight="1"/>
    <row r="109" ht="55.5" customHeight="1"/>
    <row r="110" ht="55.5" customHeight="1"/>
    <row r="111" ht="55.5" customHeight="1"/>
    <row r="112" ht="55.5" customHeight="1"/>
    <row r="113" ht="55.5" customHeight="1"/>
    <row r="114" ht="55.5" customHeight="1"/>
    <row r="115" ht="55.5" customHeight="1"/>
    <row r="116" ht="55.5" customHeight="1"/>
    <row r="117" ht="55.5" customHeight="1"/>
    <row r="118" ht="55.5" customHeight="1"/>
    <row r="119" ht="55.5" customHeight="1"/>
    <row r="120" ht="55.5" customHeight="1"/>
    <row r="121" ht="55.5" customHeight="1"/>
    <row r="122" ht="55.5" customHeight="1"/>
    <row r="123" ht="55.5" customHeight="1"/>
    <row r="124" ht="55.5" customHeight="1"/>
    <row r="125" ht="55.5" customHeight="1"/>
    <row r="126" ht="55.5" customHeight="1"/>
    <row r="127" ht="55.5" customHeight="1"/>
    <row r="128" ht="55.5" customHeight="1"/>
    <row r="129" ht="55.5" customHeight="1"/>
    <row r="130" ht="55.5" customHeight="1"/>
    <row r="131" ht="55.5" customHeight="1"/>
    <row r="132" ht="55.5" customHeight="1"/>
    <row r="133" ht="55.5" customHeight="1"/>
    <row r="134" ht="55.5" customHeight="1"/>
    <row r="135" ht="55.5" customHeight="1"/>
    <row r="136" ht="55.5" customHeight="1"/>
    <row r="137" ht="55.5" customHeight="1"/>
    <row r="138" ht="55.5" customHeight="1"/>
    <row r="139" ht="55.5" customHeight="1"/>
    <row r="140" ht="55.5" customHeight="1"/>
    <row r="141" ht="55.5" customHeight="1"/>
    <row r="142" ht="55.5" customHeight="1"/>
    <row r="143" ht="55.5" customHeight="1"/>
    <row r="144" ht="55.5" customHeight="1"/>
    <row r="145" ht="55.5" customHeight="1"/>
    <row r="146" ht="55.5" customHeight="1"/>
    <row r="147" ht="55.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sheetData>
  <sheetProtection insertRows="0" deleteRows="0"/>
  <mergeCells count="126">
    <mergeCell ref="Y2:AA2"/>
    <mergeCell ref="G40:S40"/>
    <mergeCell ref="G41:S41"/>
    <mergeCell ref="G42:S42"/>
    <mergeCell ref="G43:S43"/>
    <mergeCell ref="G44:S44"/>
    <mergeCell ref="G45:S45"/>
    <mergeCell ref="G46:S46"/>
    <mergeCell ref="G47:S47"/>
    <mergeCell ref="D39:S39"/>
    <mergeCell ref="T39:AA39"/>
    <mergeCell ref="T40:AA40"/>
    <mergeCell ref="T41:AA41"/>
    <mergeCell ref="T42:AA42"/>
    <mergeCell ref="T43:AA43"/>
    <mergeCell ref="T44:AA44"/>
    <mergeCell ref="T45:AA45"/>
    <mergeCell ref="T46:AA46"/>
    <mergeCell ref="T47:AA47"/>
    <mergeCell ref="B28:K29"/>
    <mergeCell ref="N28:O29"/>
    <mergeCell ref="U5:U7"/>
    <mergeCell ref="X6:X7"/>
    <mergeCell ref="Y6:Y7"/>
    <mergeCell ref="D52:F52"/>
    <mergeCell ref="P28:P29"/>
    <mergeCell ref="D51:F51"/>
    <mergeCell ref="C13:H13"/>
    <mergeCell ref="I13:K13"/>
    <mergeCell ref="B45:C50"/>
    <mergeCell ref="D45:F45"/>
    <mergeCell ref="D53:F53"/>
    <mergeCell ref="B1:N3"/>
    <mergeCell ref="G48:S48"/>
    <mergeCell ref="G49:S49"/>
    <mergeCell ref="G50:S50"/>
    <mergeCell ref="C8:H8"/>
    <mergeCell ref="I8:K8"/>
    <mergeCell ref="C14:H14"/>
    <mergeCell ref="I14:K14"/>
    <mergeCell ref="C20:H20"/>
    <mergeCell ref="I20:K20"/>
    <mergeCell ref="C23:H23"/>
    <mergeCell ref="I23:K23"/>
    <mergeCell ref="C22:H22"/>
    <mergeCell ref="I22:K22"/>
    <mergeCell ref="C21:H21"/>
    <mergeCell ref="I21:K21"/>
    <mergeCell ref="D47:F47"/>
    <mergeCell ref="D48:F48"/>
    <mergeCell ref="B38:V38"/>
    <mergeCell ref="C12:H12"/>
    <mergeCell ref="I12:K12"/>
    <mergeCell ref="C15:H15"/>
    <mergeCell ref="C9:H9"/>
    <mergeCell ref="I9:K9"/>
    <mergeCell ref="C17:H17"/>
    <mergeCell ref="I17:K17"/>
    <mergeCell ref="C16:H16"/>
    <mergeCell ref="I16:K16"/>
    <mergeCell ref="I15:K15"/>
    <mergeCell ref="C11:H11"/>
    <mergeCell ref="I11:K11"/>
    <mergeCell ref="C10:H10"/>
    <mergeCell ref="I10:K10"/>
    <mergeCell ref="C19:H19"/>
    <mergeCell ref="I19:K19"/>
    <mergeCell ref="C18:H18"/>
    <mergeCell ref="I18:K18"/>
    <mergeCell ref="T48:AA48"/>
    <mergeCell ref="W5:W7"/>
    <mergeCell ref="Q5:Q7"/>
    <mergeCell ref="L5:L7"/>
    <mergeCell ref="R4:T4"/>
    <mergeCell ref="U4:V4"/>
    <mergeCell ref="N5:N7"/>
    <mergeCell ref="Z6:Z7"/>
    <mergeCell ref="AB6:AB7"/>
    <mergeCell ref="X5:AB5"/>
    <mergeCell ref="AA6:AA7"/>
    <mergeCell ref="V1:V2"/>
    <mergeCell ref="O2:O3"/>
    <mergeCell ref="Q2:U3"/>
    <mergeCell ref="B5:H7"/>
    <mergeCell ref="I5:K7"/>
    <mergeCell ref="O5:O7"/>
    <mergeCell ref="P5:P7"/>
    <mergeCell ref="R5:R7"/>
    <mergeCell ref="S5:S7"/>
    <mergeCell ref="T5:T7"/>
    <mergeCell ref="V5:V7"/>
    <mergeCell ref="AA28:AA29"/>
    <mergeCell ref="C27:H27"/>
    <mergeCell ref="I27:K27"/>
    <mergeCell ref="C26:H26"/>
    <mergeCell ref="I26:K26"/>
    <mergeCell ref="C25:H25"/>
    <mergeCell ref="I25:K25"/>
    <mergeCell ref="C24:H24"/>
    <mergeCell ref="I24:K24"/>
    <mergeCell ref="Y28:Y29"/>
    <mergeCell ref="V28:V29"/>
    <mergeCell ref="T49:AA49"/>
    <mergeCell ref="T50:AA50"/>
    <mergeCell ref="B33:P34"/>
    <mergeCell ref="Q33:Q34"/>
    <mergeCell ref="R28:R29"/>
    <mergeCell ref="D42:F42"/>
    <mergeCell ref="D43:F43"/>
    <mergeCell ref="B39:C39"/>
    <mergeCell ref="B40:C44"/>
    <mergeCell ref="D40:F40"/>
    <mergeCell ref="D41:F41"/>
    <mergeCell ref="D44:F44"/>
    <mergeCell ref="B35:H35"/>
    <mergeCell ref="I35:K35"/>
    <mergeCell ref="B36:H36"/>
    <mergeCell ref="I36:K36"/>
    <mergeCell ref="B37:H37"/>
    <mergeCell ref="I37:K37"/>
    <mergeCell ref="W28:W29"/>
    <mergeCell ref="X28:X29"/>
    <mergeCell ref="D46:F46"/>
    <mergeCell ref="D49:F49"/>
    <mergeCell ref="D50:F50"/>
    <mergeCell ref="Z28:Z29"/>
  </mergeCells>
  <phoneticPr fontId="1"/>
  <conditionalFormatting sqref="N8:N11 N13 N15:N27">
    <cfRule type="expression" dxfId="27" priority="3">
      <formula>OR(ISNUMBER(SEARCH("補助員", K8)), ISNUMBER(SEARCH("事務員等", K8)))</formula>
    </cfRule>
  </conditionalFormatting>
  <conditionalFormatting sqref="N12">
    <cfRule type="expression" dxfId="26" priority="2">
      <formula>OR(ISNUMBER(SEARCH("補助員", I12)), ISNUMBER(SEARCH("事務員等", I12)))</formula>
    </cfRule>
  </conditionalFormatting>
  <conditionalFormatting sqref="N14">
    <cfRule type="expression" dxfId="25" priority="1">
      <formula>OR(ISNUMBER(SEARCH("補助員", I14)), ISNUMBER(SEARCH("事務員等", I14)))</formula>
    </cfRule>
  </conditionalFormatting>
  <conditionalFormatting sqref="N28:O29">
    <cfRule type="expression" dxfId="24" priority="4">
      <formula>COUNTIF($P$8:$P$27, "その他") &gt;= 1</formula>
    </cfRule>
  </conditionalFormatting>
  <conditionalFormatting sqref="P28:P29">
    <cfRule type="containsText" dxfId="23" priority="13" operator="containsText" text="チェック">
      <formula>NOT(ISERROR(SEARCH("チェック",P28)))</formula>
    </cfRule>
  </conditionalFormatting>
  <conditionalFormatting sqref="R28:R29">
    <cfRule type="containsText" dxfId="22" priority="9" operator="containsText" text="③は1人まで">
      <formula>NOT(ISERROR(SEARCH("③は1人まで",R28)))</formula>
    </cfRule>
  </conditionalFormatting>
  <conditionalFormatting sqref="W34:Z34">
    <cfRule type="containsText" dxfId="21" priority="10" operator="containsText" text="OK">
      <formula>NOT(ISERROR(SEARCH("OK",W34)))</formula>
    </cfRule>
  </conditionalFormatting>
  <dataValidations count="15">
    <dataValidation type="list" allowBlank="1" showInputMessage="1" showErrorMessage="1" sqref="Q33:Q34 U8:U27" xr:uid="{7556F3DB-5F41-4691-93B1-017190B21134}">
      <formula1>$AE$12:$AE$13</formula1>
    </dataValidation>
    <dataValidation type="list" allowBlank="1" showInputMessage="1" showErrorMessage="1" sqref="M8:M27" xr:uid="{C380F097-A1E1-4AE5-8EAB-09D902676432}">
      <formula1>$AH$7:$AH$23</formula1>
    </dataValidation>
    <dataValidation type="list" allowBlank="1" showInputMessage="1" showErrorMessage="1" sqref="I8:K27" xr:uid="{0A34A77D-A070-4ABB-A664-7B573EB7CB89}">
      <formula1>$AE$8:$AE$10</formula1>
    </dataValidation>
    <dataValidation type="list" allowBlank="1" showInputMessage="1" showErrorMessage="1" sqref="P8:P27" xr:uid="{31C5B35C-F56B-481B-8C18-53A75ADA5492}">
      <formula1>$AL$11:$AL$13</formula1>
    </dataValidation>
    <dataValidation type="list" allowBlank="1" showInputMessage="1" showErrorMessage="1" sqref="O8:O27" xr:uid="{129495EF-5901-4536-B0C0-0CAE97054C78}">
      <formula1>$AL$7:$AL$8</formula1>
    </dataValidation>
    <dataValidation type="list" showInputMessage="1" showErrorMessage="1" sqref="V8:V27" xr:uid="{F058C6A2-E04E-4012-A063-E61EC6F3B755}">
      <formula1>$AL$15:$AL$16</formula1>
    </dataValidation>
    <dataValidation type="list" allowBlank="1" showInputMessage="1" showErrorMessage="1" sqref="Q8:Q27" xr:uid="{4BA6AA8F-00A0-484C-AF58-C1AAB97ACEB3}">
      <formula1>$AK$18:$AK$32</formula1>
    </dataValidation>
    <dataValidation type="list" allowBlank="1" showInputMessage="1" showErrorMessage="1" sqref="S8:S27" xr:uid="{D4AFE4E1-3F95-4093-83E2-91E105BE98DE}">
      <formula1>$AJ$7:$AJ$10</formula1>
    </dataValidation>
    <dataValidation type="list" allowBlank="1" showInputMessage="1" showErrorMessage="1" sqref="T8:T27" xr:uid="{7C2F9C99-7B39-4E83-AB17-98D0550E77A2}">
      <formula1>$AJ$11:$AJ$23</formula1>
    </dataValidation>
    <dataValidation type="list" allowBlank="1" showInputMessage="1" showErrorMessage="1" sqref="W8:W27" xr:uid="{E1928F9B-8F18-4960-974B-068E19FAF1DC}">
      <formula1>$AH$18:$AH$24</formula1>
    </dataValidation>
    <dataValidation type="list" allowBlank="1" showInputMessage="1" showErrorMessage="1" sqref="N8:N11 N13 N15:N27" xr:uid="{4394BE41-4CFC-403E-BDA4-CF13479563C7}">
      <formula1>$AH$7:$AH$24</formula1>
    </dataValidation>
    <dataValidation type="list" allowBlank="1" showInputMessage="1" showErrorMessage="1" sqref="Y2:AA2" xr:uid="{13D1D748-B27E-4FA6-868D-0B78923E98A8}">
      <formula1>$AE$3:$AE$4</formula1>
    </dataValidation>
    <dataValidation type="list" allowBlank="1" showInputMessage="1" showErrorMessage="1" sqref="L8 N12 N14" xr:uid="{97A2CBF2-4AE4-4391-8236-6EF89E415598}">
      <formula1>$AG$7:$AG$25</formula1>
    </dataValidation>
    <dataValidation type="list" allowBlank="1" showInputMessage="1" showErrorMessage="1" sqref="L9:L16" xr:uid="{989C7BC9-F776-4505-89E3-D9E86036A39A}">
      <formula1>$AF$7:$AF$9</formula1>
    </dataValidation>
    <dataValidation type="list" allowBlank="1" showInputMessage="1" showErrorMessage="1" sqref="L17:L27" xr:uid="{0E632558-F92C-424A-B27B-0F45AD97993C}">
      <formula1>$AK$7:$AK$8</formula1>
    </dataValidation>
  </dataValidations>
  <pageMargins left="0.39370078740157483" right="0.39370078740157483" top="0.35433070866141736" bottom="0.35433070866141736" header="0.31496062992125984" footer="0.31496062992125984"/>
  <pageSetup paperSize="9" scale="52"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83F58-D4B8-46B7-B6D6-9B673865A005}">
  <sheetPr>
    <pageSetUpPr fitToPage="1"/>
  </sheetPr>
  <dimension ref="A1:AT379"/>
  <sheetViews>
    <sheetView view="pageBreakPreview" zoomScale="70" zoomScaleNormal="70" zoomScaleSheetLayoutView="70" workbookViewId="0">
      <selection activeCell="W25" sqref="W25"/>
    </sheetView>
  </sheetViews>
  <sheetFormatPr defaultColWidth="9" defaultRowHeight="13.5"/>
  <cols>
    <col min="1" max="2" width="5.375" style="11" bestFit="1" customWidth="1"/>
    <col min="3" max="3" width="4.875" style="21" bestFit="1" customWidth="1"/>
    <col min="4" max="4" width="18.625" style="22" bestFit="1" customWidth="1"/>
    <col min="5" max="5" width="8.125" style="23" customWidth="1"/>
    <col min="6" max="6" width="8.125" style="23" bestFit="1" customWidth="1"/>
    <col min="7" max="7" width="8" style="11" bestFit="1" customWidth="1"/>
    <col min="8" max="8" width="7.875" customWidth="1"/>
    <col min="9" max="9" width="5.75" style="550" customWidth="1"/>
    <col min="10" max="10" width="8.875" style="21" customWidth="1"/>
    <col min="11" max="11" width="8.875" style="23" customWidth="1"/>
    <col min="12" max="12" width="15.625" style="24" customWidth="1"/>
    <col min="13" max="13" width="8.125" style="25" customWidth="1"/>
    <col min="14" max="14" width="3.625" style="26" customWidth="1"/>
    <col min="15" max="15" width="5.625" style="75" customWidth="1"/>
    <col min="16" max="17" width="5.625" style="11" customWidth="1"/>
    <col min="18" max="20" width="5.875" style="11" customWidth="1"/>
    <col min="21" max="21" width="8.625" style="76" customWidth="1"/>
    <col min="22" max="23" width="7.5" style="77" customWidth="1"/>
    <col min="24" max="24" width="8.625" style="76" customWidth="1"/>
    <col min="25" max="26" width="7.5" style="77" customWidth="1"/>
    <col min="27" max="27" width="8.625" style="76" customWidth="1"/>
    <col min="28" max="29" width="7.5" style="77" customWidth="1"/>
    <col min="30" max="30" width="8.625" style="76" customWidth="1"/>
    <col min="31" max="32" width="7.625" style="77" customWidth="1"/>
    <col min="33" max="33" width="8.625" style="76" customWidth="1"/>
    <col min="34" max="35" width="7.375" style="77" customWidth="1"/>
    <col min="36" max="37" width="23.625" style="80" customWidth="1"/>
    <col min="38" max="38" width="33.625" style="80" customWidth="1"/>
    <col min="39" max="40" width="23.625" style="80" customWidth="1"/>
    <col min="41" max="41" width="8.5" style="11" customWidth="1"/>
    <col min="42" max="42" width="9" style="11"/>
    <col min="43" max="43" width="9.375" style="11" bestFit="1" customWidth="1"/>
    <col min="44" max="16384" width="9" style="11"/>
  </cols>
  <sheetData>
    <row r="1" spans="1:41" ht="14.25">
      <c r="B1" s="3" t="s">
        <v>451</v>
      </c>
      <c r="X1" s="76" t="s">
        <v>235</v>
      </c>
      <c r="Y1" s="806" t="str">
        <f>鑑!G7</f>
        <v>はぐくみ学童クラブ</v>
      </c>
      <c r="Z1" s="806"/>
      <c r="AA1" s="806"/>
      <c r="AB1" s="806"/>
      <c r="AC1" s="806"/>
      <c r="AD1" s="806"/>
      <c r="AE1" s="806"/>
      <c r="AF1" s="806"/>
      <c r="AG1" s="806"/>
      <c r="AH1" s="78"/>
      <c r="AI1" s="78"/>
      <c r="AJ1" s="79"/>
      <c r="AK1" s="79"/>
      <c r="AL1" s="79"/>
      <c r="AM1" s="79"/>
      <c r="AN1" s="79"/>
    </row>
    <row r="2" spans="1:41" ht="14.25" thickBot="1"/>
    <row r="3" spans="1:41" s="74" customFormat="1" ht="45" customHeight="1">
      <c r="A3" s="213"/>
      <c r="B3" s="213"/>
      <c r="C3" s="487" t="s">
        <v>236</v>
      </c>
      <c r="D3" s="488"/>
      <c r="E3" s="488"/>
      <c r="F3" s="488"/>
      <c r="G3" s="489"/>
      <c r="H3" s="777" t="s">
        <v>229</v>
      </c>
      <c r="I3" s="778"/>
      <c r="J3" s="807" t="s">
        <v>230</v>
      </c>
      <c r="K3" s="808"/>
      <c r="L3" s="81" t="s">
        <v>237</v>
      </c>
      <c r="M3" s="809" t="s">
        <v>27</v>
      </c>
      <c r="N3" s="809"/>
      <c r="O3" s="810" t="s">
        <v>238</v>
      </c>
      <c r="P3" s="811"/>
      <c r="Q3" s="812"/>
      <c r="R3" s="813" t="s">
        <v>477</v>
      </c>
      <c r="S3" s="814"/>
      <c r="T3" s="814"/>
      <c r="U3" s="814"/>
      <c r="V3" s="814"/>
      <c r="W3" s="814"/>
      <c r="X3" s="814"/>
      <c r="Y3" s="814"/>
      <c r="Z3" s="814"/>
      <c r="AA3" s="814"/>
      <c r="AB3" s="814"/>
      <c r="AC3" s="814"/>
      <c r="AD3" s="814"/>
      <c r="AE3" s="814"/>
      <c r="AF3" s="814"/>
      <c r="AG3" s="815" t="s">
        <v>237</v>
      </c>
      <c r="AH3" s="816"/>
      <c r="AI3" s="816"/>
      <c r="AJ3" s="816"/>
      <c r="AK3" s="817"/>
      <c r="AL3" s="213"/>
      <c r="AM3" s="213"/>
      <c r="AN3" s="213"/>
      <c r="AO3" s="213"/>
    </row>
    <row r="4" spans="1:41" s="84" customFormat="1" ht="73.5" customHeight="1" thickBot="1">
      <c r="A4" s="82"/>
      <c r="B4" s="82"/>
      <c r="C4" s="420" t="s">
        <v>165</v>
      </c>
      <c r="D4" s="421"/>
      <c r="E4" s="422" t="s">
        <v>166</v>
      </c>
      <c r="F4" s="422" t="s">
        <v>167</v>
      </c>
      <c r="G4" s="423" t="s">
        <v>25</v>
      </c>
      <c r="H4" s="551" t="s">
        <v>657</v>
      </c>
      <c r="I4" s="552" t="s">
        <v>658</v>
      </c>
      <c r="J4" s="424" t="s">
        <v>168</v>
      </c>
      <c r="K4" s="425" t="s">
        <v>512</v>
      </c>
      <c r="L4" s="426" t="s">
        <v>239</v>
      </c>
      <c r="M4" s="427" t="s">
        <v>169</v>
      </c>
      <c r="N4" s="423"/>
      <c r="O4" s="428" t="s">
        <v>240</v>
      </c>
      <c r="P4" s="429" t="s">
        <v>241</v>
      </c>
      <c r="Q4" s="430"/>
      <c r="R4" s="431" t="s">
        <v>242</v>
      </c>
      <c r="S4" s="432" t="s">
        <v>243</v>
      </c>
      <c r="T4" s="433" t="s">
        <v>244</v>
      </c>
      <c r="U4" s="434" t="s">
        <v>245</v>
      </c>
      <c r="V4" s="432" t="s">
        <v>243</v>
      </c>
      <c r="W4" s="433" t="s">
        <v>244</v>
      </c>
      <c r="X4" s="434" t="s">
        <v>246</v>
      </c>
      <c r="Y4" s="432" t="s">
        <v>243</v>
      </c>
      <c r="Z4" s="433" t="s">
        <v>244</v>
      </c>
      <c r="AA4" s="434" t="s">
        <v>247</v>
      </c>
      <c r="AB4" s="432" t="s">
        <v>243</v>
      </c>
      <c r="AC4" s="433" t="s">
        <v>244</v>
      </c>
      <c r="AD4" s="434" t="s">
        <v>248</v>
      </c>
      <c r="AE4" s="432" t="s">
        <v>243</v>
      </c>
      <c r="AF4" s="433" t="s">
        <v>244</v>
      </c>
      <c r="AG4" s="802" t="s">
        <v>249</v>
      </c>
      <c r="AH4" s="803"/>
      <c r="AI4" s="803"/>
      <c r="AJ4" s="803"/>
      <c r="AK4" s="804"/>
      <c r="AL4" s="83" t="s">
        <v>24</v>
      </c>
    </row>
    <row r="5" spans="1:41" ht="14.25">
      <c r="A5" s="786" t="s">
        <v>134</v>
      </c>
      <c r="B5" s="27" t="s">
        <v>170</v>
      </c>
      <c r="C5" s="28" t="s">
        <v>604</v>
      </c>
      <c r="D5" s="412" t="s">
        <v>171</v>
      </c>
      <c r="E5" s="48">
        <v>0.33333333333333331</v>
      </c>
      <c r="F5" s="48">
        <v>0.6875</v>
      </c>
      <c r="G5" s="85">
        <f t="shared" ref="G5:G68" si="0">F5-E5</f>
        <v>0.35416666666666669</v>
      </c>
      <c r="H5" s="553" t="str">
        <f>IF(AND(D5="平日", F5&gt;TIME(18,30,0)), (F5-TIME(18,30,0))*1440/1440, "0:00")</f>
        <v>0:00</v>
      </c>
      <c r="I5" s="554">
        <f t="shared" ref="I5:I68" si="1">IF(ISNUMBER(SEARCH("平日", D5)), 1, 0)</f>
        <v>0</v>
      </c>
      <c r="J5" s="86">
        <f t="shared" ref="J5:J68" si="2">IF(D5="土・日・祝・長期休暇",MAX(G5-TIME(8,0,0),0),0)</f>
        <v>2.083333333333337E-2</v>
      </c>
      <c r="K5" s="345">
        <f t="shared" ref="K5:K68" si="3">IF(ISNUMBER(SEARCH("長期", D5)), 1, 0)</f>
        <v>1</v>
      </c>
      <c r="L5" s="87" t="str">
        <f t="shared" ref="L5:L68" si="4">IF(D5="休所",IF(E5&lt;&gt;"","入力にエラーがあります",""),"")</f>
        <v/>
      </c>
      <c r="M5" s="88">
        <f t="shared" ref="M5:M68" si="5">IF(OR(D5="休所",D5="",D5="平日：開所とみなす閉所"),0,IF(OR(G5-TIME(7,59,59)&gt;0,D5="土日祝長期：開所とみなす閉所"),1,0))</f>
        <v>1</v>
      </c>
      <c r="N5" s="89">
        <f>IF(M5=0,0,IF(SUM($M$5:M5)&gt;251,1,0))</f>
        <v>0</v>
      </c>
      <c r="O5" s="160"/>
      <c r="P5" s="161"/>
      <c r="Q5" s="90"/>
      <c r="R5" s="414" t="s">
        <v>543</v>
      </c>
      <c r="S5" s="91" t="str">
        <f>VLOOKUP(R5,$AM$11:$AN$31,2,FALSE)</f>
        <v>放課後児童支援員</v>
      </c>
      <c r="T5" s="92" t="str">
        <f>VLOOKUP(R5,$AM$11:$AO$31,3,FALSE)</f>
        <v>対象</v>
      </c>
      <c r="U5" s="515" t="s">
        <v>539</v>
      </c>
      <c r="V5" s="91" t="str">
        <f>VLOOKUP(U5,$AM$11:$AN$31,2,FALSE)</f>
        <v>放課後児童支援員</v>
      </c>
      <c r="W5" s="92" t="str">
        <f>VLOOKUP(U5,$AM$11:$AO$31,3,FALSE)</f>
        <v>対象</v>
      </c>
      <c r="X5" s="417" t="s">
        <v>539</v>
      </c>
      <c r="Y5" s="91" t="str">
        <f>VLOOKUP(X5,$AM$11:$AN$31,2,FALSE)</f>
        <v>放課後児童支援員</v>
      </c>
      <c r="Z5" s="92" t="str">
        <f>VLOOKUP(X5,$AM$11:$AO$31,3,FALSE)</f>
        <v>対象</v>
      </c>
      <c r="AA5" s="417"/>
      <c r="AB5" s="91">
        <f>VLOOKUP(AA5,$AM$11:$AN$31,2,FALSE)</f>
        <v>0</v>
      </c>
      <c r="AC5" s="92">
        <f>VLOOKUP(AA5,$AM$11:$AO$31,3,FALSE)</f>
        <v>0</v>
      </c>
      <c r="AD5" s="417"/>
      <c r="AE5" s="91">
        <f>VLOOKUP(AD5,$AM$11:$AN$31,2,FALSE)</f>
        <v>0</v>
      </c>
      <c r="AF5" s="92">
        <f>VLOOKUP(AD5,$AM$11:$AO$31,3,FALSE)</f>
        <v>0</v>
      </c>
      <c r="AG5" s="350" t="str">
        <f>IF(OR(D5=$AL$6,D5=$AL$7,D5=$AL$8,D5=""),"",IF(COUNTIF(R5:AF5,"*支援員*")&gt;0,"","支援員がいません！"))</f>
        <v/>
      </c>
      <c r="AH5" s="344" t="str">
        <f t="shared" ref="AH5:AH68" si="6">IF(OR(D5=$AL$6,D5=$AL$7,D5=$AL$8),"",IF(P5&gt;0,IF(COUNTIF(R5:AF5,"対象")&gt;0,"","障害児加配対象職員がいません"),""))</f>
        <v/>
      </c>
      <c r="AI5" s="359" t="str">
        <f t="shared" ref="AI5:AI68" si="7">IF(OR(D5=$AL$6, D5=$AL$7, D5=$AL$8), "", IF(P5&gt;2, IF(COUNTIF(R5:AF5, "対象")&lt;=1, IF(AA5&lt;&gt;"", "", "障害児が３名以上いますが、職員の配置が３名以下です(強化加算対象外)"), IF(AA5&lt;&gt;"", "", "障害児が３名以上いますが、職員の配置が３名以下です(強化加算対象外)")), ""))</f>
        <v/>
      </c>
      <c r="AJ5" s="359" t="str">
        <f t="shared" ref="AJ5:AJ68" si="8">IF(AND(D5="平日", G5*24&lt;3), "平日は3時間以上開所", IF(AND(D5="土・日・祝・長期休暇", G5*24&lt;8), "学校の休業日は8時間以上開所", ""))</f>
        <v/>
      </c>
      <c r="AK5" s="360" t="str">
        <f t="shared" ref="AK5:AK68" si="9">IF(AND(OR(D5="平日", D5="土・日・祝・長期休暇"), OR(O5="")), "児童数が入力されていません！", "")</f>
        <v>児童数が入力されていません！</v>
      </c>
      <c r="AL5" s="30" t="s">
        <v>171</v>
      </c>
      <c r="AM5" s="11"/>
      <c r="AN5" s="11"/>
    </row>
    <row r="6" spans="1:41" ht="14.25">
      <c r="A6" s="787"/>
      <c r="B6" s="31" t="s">
        <v>172</v>
      </c>
      <c r="C6" s="184" t="s">
        <v>479</v>
      </c>
      <c r="D6" s="413" t="s">
        <v>171</v>
      </c>
      <c r="E6" s="49">
        <v>0.33333333333333331</v>
      </c>
      <c r="F6" s="49">
        <v>0.6875</v>
      </c>
      <c r="G6" s="93">
        <f t="shared" si="0"/>
        <v>0.35416666666666669</v>
      </c>
      <c r="H6" s="555" t="str">
        <f t="shared" ref="H6:H69" si="10">IF(AND(D6="平日", F6&gt;TIME(18,30,0)), (F6-TIME(18,30,0))*1440/1440, "0:00")</f>
        <v>0:00</v>
      </c>
      <c r="I6" s="556">
        <f t="shared" si="1"/>
        <v>0</v>
      </c>
      <c r="J6" s="94">
        <f t="shared" si="2"/>
        <v>2.083333333333337E-2</v>
      </c>
      <c r="K6" s="32">
        <f t="shared" si="3"/>
        <v>1</v>
      </c>
      <c r="L6" s="95" t="str">
        <f t="shared" si="4"/>
        <v/>
      </c>
      <c r="M6" s="96">
        <f t="shared" si="5"/>
        <v>1</v>
      </c>
      <c r="N6" s="97">
        <f>IF(M6=0,0,IF(SUM($M$5:M6)&gt;251,1,0))</f>
        <v>0</v>
      </c>
      <c r="O6" s="162">
        <v>40</v>
      </c>
      <c r="P6" s="163">
        <v>1</v>
      </c>
      <c r="Q6" s="98"/>
      <c r="R6" s="415" t="s">
        <v>543</v>
      </c>
      <c r="S6" s="516" t="str">
        <f>VLOOKUP(R6,$AM$11:$AN$31,2,FALSE)</f>
        <v>放課後児童支援員</v>
      </c>
      <c r="T6" s="517" t="str">
        <f t="shared" ref="T6:T69" si="11">VLOOKUP(R6,$AM$12:$AO$31,3,FALSE)</f>
        <v>対象</v>
      </c>
      <c r="U6" s="518" t="s">
        <v>539</v>
      </c>
      <c r="V6" s="99" t="str">
        <f>VLOOKUP(U6,$AM$11:$AN$31,2,FALSE)</f>
        <v>放課後児童支援員</v>
      </c>
      <c r="W6" s="100" t="str">
        <f t="shared" ref="W6:W69" si="12">VLOOKUP(U6,$AM$12:$AO$31,3,FALSE)</f>
        <v>対象</v>
      </c>
      <c r="X6" s="418" t="s">
        <v>546</v>
      </c>
      <c r="Y6" s="99" t="str">
        <f>VLOOKUP(X6,$AM$11:$AN$31,2,FALSE)</f>
        <v>放課後児童支援員</v>
      </c>
      <c r="Z6" s="100" t="str">
        <f t="shared" ref="Z6:Z69" si="13">VLOOKUP(X6,$AM$12:$AO$31,3,FALSE)</f>
        <v>対象</v>
      </c>
      <c r="AA6" s="418"/>
      <c r="AB6" s="99">
        <f>VLOOKUP(AA6,$AM$11:$AN$31,2,FALSE)</f>
        <v>0</v>
      </c>
      <c r="AC6" s="100">
        <f t="shared" ref="AC6:AC69" si="14">VLOOKUP(AA6,$AM$12:$AO$31,3,FALSE)</f>
        <v>0</v>
      </c>
      <c r="AD6" s="418"/>
      <c r="AE6" s="99">
        <f>VLOOKUP(AD6,$AM$11:$AN$31,2,FALSE)</f>
        <v>0</v>
      </c>
      <c r="AF6" s="100">
        <f t="shared" ref="AF6:AF69" si="15">VLOOKUP(AD6,$AM$12:$AO$31,3,FALSE)</f>
        <v>0</v>
      </c>
      <c r="AG6" s="351" t="str">
        <f t="shared" ref="AG6:AG69" si="16">IF(OR(D6=$AL$6,D6=$AL$7,D6=$AL$8,D6=""),"",IF(COUNTIF(R6:AF6,"*支援員*")&gt;0,"","支援員がいません！"))</f>
        <v/>
      </c>
      <c r="AH6" s="272" t="str">
        <f t="shared" si="6"/>
        <v/>
      </c>
      <c r="AI6" s="358" t="str">
        <f t="shared" si="7"/>
        <v/>
      </c>
      <c r="AJ6" s="272" t="str">
        <f t="shared" si="8"/>
        <v/>
      </c>
      <c r="AK6" s="361" t="str">
        <f t="shared" si="9"/>
        <v/>
      </c>
      <c r="AL6" s="30" t="s">
        <v>173</v>
      </c>
      <c r="AM6" s="11"/>
      <c r="AN6" s="11"/>
    </row>
    <row r="7" spans="1:41" ht="14.25">
      <c r="A7" s="787"/>
      <c r="B7" s="31" t="s">
        <v>174</v>
      </c>
      <c r="C7" s="184" t="s">
        <v>605</v>
      </c>
      <c r="D7" s="413" t="s">
        <v>171</v>
      </c>
      <c r="E7" s="49">
        <v>0.33333333333333331</v>
      </c>
      <c r="F7" s="49">
        <v>0.6875</v>
      </c>
      <c r="G7" s="93">
        <f t="shared" si="0"/>
        <v>0.35416666666666669</v>
      </c>
      <c r="H7" s="555" t="str">
        <f t="shared" si="10"/>
        <v>0:00</v>
      </c>
      <c r="I7" s="556">
        <f t="shared" si="1"/>
        <v>0</v>
      </c>
      <c r="J7" s="94">
        <f t="shared" si="2"/>
        <v>2.083333333333337E-2</v>
      </c>
      <c r="K7" s="32">
        <f t="shared" si="3"/>
        <v>1</v>
      </c>
      <c r="L7" s="95" t="str">
        <f t="shared" si="4"/>
        <v/>
      </c>
      <c r="M7" s="96">
        <f t="shared" si="5"/>
        <v>1</v>
      </c>
      <c r="N7" s="97">
        <f>IF(M7=0,0,IF(SUM($M$5:M7)&gt;251,1,0))</f>
        <v>0</v>
      </c>
      <c r="O7" s="162">
        <v>40</v>
      </c>
      <c r="P7" s="163">
        <v>1</v>
      </c>
      <c r="Q7" s="98"/>
      <c r="R7" s="415" t="s">
        <v>543</v>
      </c>
      <c r="S7" s="516" t="str">
        <f t="shared" ref="S7:S70" si="17">VLOOKUP(R7,$AM$12:$AN$31,2,FALSE)</f>
        <v>放課後児童支援員</v>
      </c>
      <c r="T7" s="517" t="str">
        <f t="shared" si="11"/>
        <v>対象</v>
      </c>
      <c r="U7" s="518" t="s">
        <v>539</v>
      </c>
      <c r="V7" s="99" t="str">
        <f t="shared" ref="V7:V70" si="18">VLOOKUP(U7,$AM$12:$AN$31,2,FALSE)</f>
        <v>放課後児童支援員</v>
      </c>
      <c r="W7" s="100" t="str">
        <f t="shared" si="12"/>
        <v>対象</v>
      </c>
      <c r="X7" s="418" t="s">
        <v>546</v>
      </c>
      <c r="Y7" s="99" t="str">
        <f t="shared" ref="Y7:Y70" si="19">VLOOKUP(X7,$AM$12:$AN$31,2,FALSE)</f>
        <v>放課後児童支援員</v>
      </c>
      <c r="Z7" s="100" t="str">
        <f t="shared" si="13"/>
        <v>対象</v>
      </c>
      <c r="AA7" s="418" t="s">
        <v>549</v>
      </c>
      <c r="AB7" s="99" t="str">
        <f t="shared" ref="AB7:AB70" si="20">VLOOKUP(AA7,$AM$12:$AN$31,2,FALSE)</f>
        <v>補助員</v>
      </c>
      <c r="AC7" s="100">
        <f t="shared" si="14"/>
        <v>0</v>
      </c>
      <c r="AD7" s="418"/>
      <c r="AE7" s="99">
        <f t="shared" ref="AE7:AE70" si="21">VLOOKUP(AD7,$AM$12:$AN$31,2,FALSE)</f>
        <v>0</v>
      </c>
      <c r="AF7" s="100">
        <f t="shared" si="15"/>
        <v>0</v>
      </c>
      <c r="AG7" s="351" t="str">
        <f t="shared" si="16"/>
        <v/>
      </c>
      <c r="AH7" s="272" t="str">
        <f t="shared" si="6"/>
        <v/>
      </c>
      <c r="AI7" s="358" t="str">
        <f t="shared" si="7"/>
        <v/>
      </c>
      <c r="AJ7" s="272" t="str">
        <f t="shared" si="8"/>
        <v/>
      </c>
      <c r="AK7" s="361" t="str">
        <f t="shared" si="9"/>
        <v/>
      </c>
      <c r="AL7" s="11" t="s">
        <v>227</v>
      </c>
      <c r="AM7" s="11"/>
      <c r="AN7" s="11"/>
    </row>
    <row r="8" spans="1:41" ht="14.25">
      <c r="A8" s="787"/>
      <c r="B8" s="31" t="s">
        <v>175</v>
      </c>
      <c r="C8" s="184" t="s">
        <v>121</v>
      </c>
      <c r="D8" s="413" t="s">
        <v>171</v>
      </c>
      <c r="E8" s="49">
        <v>0.33333333333333331</v>
      </c>
      <c r="F8" s="49">
        <v>0.6875</v>
      </c>
      <c r="G8" s="93">
        <f t="shared" si="0"/>
        <v>0.35416666666666669</v>
      </c>
      <c r="H8" s="555" t="str">
        <f t="shared" si="10"/>
        <v>0:00</v>
      </c>
      <c r="I8" s="556">
        <f t="shared" si="1"/>
        <v>0</v>
      </c>
      <c r="J8" s="94">
        <f t="shared" si="2"/>
        <v>2.083333333333337E-2</v>
      </c>
      <c r="K8" s="32">
        <f t="shared" si="3"/>
        <v>1</v>
      </c>
      <c r="L8" s="95" t="str">
        <f t="shared" si="4"/>
        <v/>
      </c>
      <c r="M8" s="96">
        <f t="shared" si="5"/>
        <v>1</v>
      </c>
      <c r="N8" s="97">
        <f>IF(M8=0,0,IF(SUM($M$5:M8)&gt;251,1,0))</f>
        <v>0</v>
      </c>
      <c r="O8" s="162">
        <v>40</v>
      </c>
      <c r="P8" s="163">
        <v>1</v>
      </c>
      <c r="Q8" s="98"/>
      <c r="R8" s="513" t="s">
        <v>543</v>
      </c>
      <c r="S8" s="99" t="str">
        <f t="shared" si="17"/>
        <v>放課後児童支援員</v>
      </c>
      <c r="T8" s="100" t="str">
        <f t="shared" si="11"/>
        <v>対象</v>
      </c>
      <c r="U8" s="514" t="s">
        <v>539</v>
      </c>
      <c r="V8" s="99" t="str">
        <f t="shared" si="18"/>
        <v>放課後児童支援員</v>
      </c>
      <c r="W8" s="100" t="str">
        <f t="shared" si="12"/>
        <v>対象</v>
      </c>
      <c r="X8" s="418" t="s">
        <v>546</v>
      </c>
      <c r="Y8" s="99" t="str">
        <f t="shared" si="19"/>
        <v>放課後児童支援員</v>
      </c>
      <c r="Z8" s="100" t="str">
        <f t="shared" si="13"/>
        <v>対象</v>
      </c>
      <c r="AA8" s="418"/>
      <c r="AB8" s="99">
        <f t="shared" si="20"/>
        <v>0</v>
      </c>
      <c r="AC8" s="100">
        <f t="shared" si="14"/>
        <v>0</v>
      </c>
      <c r="AD8" s="418"/>
      <c r="AE8" s="99">
        <f t="shared" si="21"/>
        <v>0</v>
      </c>
      <c r="AF8" s="100">
        <f t="shared" si="15"/>
        <v>0</v>
      </c>
      <c r="AG8" s="351" t="str">
        <f t="shared" si="16"/>
        <v/>
      </c>
      <c r="AH8" s="272" t="str">
        <f t="shared" si="6"/>
        <v/>
      </c>
      <c r="AI8" s="358" t="str">
        <f t="shared" si="7"/>
        <v/>
      </c>
      <c r="AJ8" s="272" t="str">
        <f t="shared" si="8"/>
        <v/>
      </c>
      <c r="AK8" s="361" t="str">
        <f t="shared" si="9"/>
        <v/>
      </c>
      <c r="AL8" s="11" t="s">
        <v>228</v>
      </c>
      <c r="AM8" s="11"/>
      <c r="AN8" s="11"/>
    </row>
    <row r="9" spans="1:41" ht="14.25">
      <c r="A9" s="787"/>
      <c r="B9" s="31" t="s">
        <v>176</v>
      </c>
      <c r="C9" s="184" t="s">
        <v>122</v>
      </c>
      <c r="D9" s="413" t="s">
        <v>171</v>
      </c>
      <c r="E9" s="49">
        <v>0.33333333333333331</v>
      </c>
      <c r="F9" s="49">
        <v>0.6875</v>
      </c>
      <c r="G9" s="93">
        <f t="shared" si="0"/>
        <v>0.35416666666666669</v>
      </c>
      <c r="H9" s="555" t="str">
        <f t="shared" si="10"/>
        <v>0:00</v>
      </c>
      <c r="I9" s="556">
        <f t="shared" si="1"/>
        <v>0</v>
      </c>
      <c r="J9" s="94">
        <f t="shared" si="2"/>
        <v>2.083333333333337E-2</v>
      </c>
      <c r="K9" s="32">
        <f t="shared" si="3"/>
        <v>1</v>
      </c>
      <c r="L9" s="95" t="str">
        <f t="shared" si="4"/>
        <v/>
      </c>
      <c r="M9" s="96">
        <f t="shared" si="5"/>
        <v>1</v>
      </c>
      <c r="N9" s="97">
        <f>IF(M9=0,0,IF(SUM($M$5:M9)&gt;251,1,0))</f>
        <v>0</v>
      </c>
      <c r="O9" s="162">
        <v>5</v>
      </c>
      <c r="P9" s="163">
        <v>0</v>
      </c>
      <c r="Q9" s="98"/>
      <c r="R9" s="415" t="s">
        <v>543</v>
      </c>
      <c r="S9" s="99" t="str">
        <f t="shared" si="17"/>
        <v>放課後児童支援員</v>
      </c>
      <c r="T9" s="100" t="str">
        <f t="shared" si="11"/>
        <v>対象</v>
      </c>
      <c r="U9" s="418" t="s">
        <v>539</v>
      </c>
      <c r="V9" s="99" t="str">
        <f t="shared" si="18"/>
        <v>放課後児童支援員</v>
      </c>
      <c r="W9" s="100" t="str">
        <f t="shared" si="12"/>
        <v>対象</v>
      </c>
      <c r="X9" s="418" t="s">
        <v>546</v>
      </c>
      <c r="Y9" s="99" t="str">
        <f t="shared" si="19"/>
        <v>放課後児童支援員</v>
      </c>
      <c r="Z9" s="100" t="str">
        <f t="shared" si="13"/>
        <v>対象</v>
      </c>
      <c r="AA9" s="418"/>
      <c r="AB9" s="99">
        <f t="shared" si="20"/>
        <v>0</v>
      </c>
      <c r="AC9" s="100">
        <f t="shared" si="14"/>
        <v>0</v>
      </c>
      <c r="AD9" s="418"/>
      <c r="AE9" s="99">
        <f t="shared" si="21"/>
        <v>0</v>
      </c>
      <c r="AF9" s="100">
        <f t="shared" si="15"/>
        <v>0</v>
      </c>
      <c r="AG9" s="351" t="str">
        <f t="shared" si="16"/>
        <v/>
      </c>
      <c r="AH9" s="272" t="str">
        <f t="shared" si="6"/>
        <v/>
      </c>
      <c r="AI9" s="358" t="str">
        <f t="shared" si="7"/>
        <v/>
      </c>
      <c r="AJ9" s="272" t="str">
        <f t="shared" si="8"/>
        <v/>
      </c>
      <c r="AK9" s="361" t="str">
        <f t="shared" si="9"/>
        <v/>
      </c>
      <c r="AL9" s="11"/>
      <c r="AM9" s="11"/>
      <c r="AN9" s="11"/>
    </row>
    <row r="10" spans="1:41" ht="14.25">
      <c r="A10" s="787"/>
      <c r="B10" s="31" t="s">
        <v>177</v>
      </c>
      <c r="C10" s="184" t="s">
        <v>183</v>
      </c>
      <c r="D10" s="413" t="s">
        <v>173</v>
      </c>
      <c r="E10" s="49"/>
      <c r="F10" s="49"/>
      <c r="G10" s="93">
        <f t="shared" si="0"/>
        <v>0</v>
      </c>
      <c r="H10" s="555" t="str">
        <f t="shared" si="10"/>
        <v>0:00</v>
      </c>
      <c r="I10" s="556">
        <f t="shared" si="1"/>
        <v>0</v>
      </c>
      <c r="J10" s="94">
        <f t="shared" si="2"/>
        <v>0</v>
      </c>
      <c r="K10" s="32">
        <f t="shared" si="3"/>
        <v>0</v>
      </c>
      <c r="L10" s="95" t="str">
        <f t="shared" si="4"/>
        <v/>
      </c>
      <c r="M10" s="96">
        <f t="shared" si="5"/>
        <v>0</v>
      </c>
      <c r="N10" s="97">
        <f>IF(M10=0,0,IF(SUM($M$5:M10)&gt;251,1,0))</f>
        <v>0</v>
      </c>
      <c r="O10" s="162"/>
      <c r="P10" s="163"/>
      <c r="Q10" s="98"/>
      <c r="R10" s="415"/>
      <c r="S10" s="99">
        <f t="shared" si="17"/>
        <v>0</v>
      </c>
      <c r="T10" s="100">
        <f t="shared" si="11"/>
        <v>0</v>
      </c>
      <c r="U10" s="418"/>
      <c r="V10" s="99">
        <f t="shared" si="18"/>
        <v>0</v>
      </c>
      <c r="W10" s="100">
        <f t="shared" si="12"/>
        <v>0</v>
      </c>
      <c r="X10" s="418"/>
      <c r="Y10" s="99">
        <f t="shared" si="19"/>
        <v>0</v>
      </c>
      <c r="Z10" s="100">
        <f t="shared" si="13"/>
        <v>0</v>
      </c>
      <c r="AA10" s="418"/>
      <c r="AB10" s="99">
        <f t="shared" si="20"/>
        <v>0</v>
      </c>
      <c r="AC10" s="100">
        <f t="shared" si="14"/>
        <v>0</v>
      </c>
      <c r="AD10" s="418"/>
      <c r="AE10" s="99">
        <f t="shared" si="21"/>
        <v>0</v>
      </c>
      <c r="AF10" s="100">
        <f t="shared" si="15"/>
        <v>0</v>
      </c>
      <c r="AG10" s="351" t="str">
        <f t="shared" si="16"/>
        <v/>
      </c>
      <c r="AH10" s="272" t="str">
        <f t="shared" si="6"/>
        <v/>
      </c>
      <c r="AI10" s="358" t="str">
        <f t="shared" si="7"/>
        <v/>
      </c>
      <c r="AJ10" s="272" t="str">
        <f t="shared" si="8"/>
        <v/>
      </c>
      <c r="AK10" s="361" t="str">
        <f t="shared" si="9"/>
        <v/>
      </c>
      <c r="AL10" s="11"/>
      <c r="AM10" s="11" t="s">
        <v>250</v>
      </c>
      <c r="AN10" s="11" t="s">
        <v>243</v>
      </c>
      <c r="AO10" s="11" t="s">
        <v>244</v>
      </c>
    </row>
    <row r="11" spans="1:41" ht="14.25">
      <c r="A11" s="787"/>
      <c r="B11" s="31" t="s">
        <v>178</v>
      </c>
      <c r="C11" s="184" t="s">
        <v>118</v>
      </c>
      <c r="D11" s="413" t="s">
        <v>24</v>
      </c>
      <c r="E11" s="49">
        <v>0.59722222222222221</v>
      </c>
      <c r="F11" s="49">
        <v>0.7715277777777777</v>
      </c>
      <c r="G11" s="93">
        <f t="shared" si="0"/>
        <v>0.17430555555555549</v>
      </c>
      <c r="H11" s="555">
        <f t="shared" si="10"/>
        <v>6.9444444444433095E-4</v>
      </c>
      <c r="I11" s="556">
        <f t="shared" si="1"/>
        <v>1</v>
      </c>
      <c r="J11" s="94">
        <f t="shared" si="2"/>
        <v>0</v>
      </c>
      <c r="K11" s="32">
        <f t="shared" si="3"/>
        <v>0</v>
      </c>
      <c r="L11" s="95" t="str">
        <f t="shared" si="4"/>
        <v/>
      </c>
      <c r="M11" s="96">
        <f t="shared" si="5"/>
        <v>0</v>
      </c>
      <c r="N11" s="97">
        <f>IF(M11=0,0,IF(SUM($M$5:M11)&gt;251,1,0))</f>
        <v>0</v>
      </c>
      <c r="O11" s="162">
        <v>40</v>
      </c>
      <c r="P11" s="163">
        <v>1</v>
      </c>
      <c r="Q11" s="98"/>
      <c r="R11" s="415" t="s">
        <v>543</v>
      </c>
      <c r="S11" s="99" t="s">
        <v>606</v>
      </c>
      <c r="T11" s="100" t="s">
        <v>607</v>
      </c>
      <c r="U11" s="418" t="s">
        <v>539</v>
      </c>
      <c r="V11" s="99" t="s">
        <v>606</v>
      </c>
      <c r="W11" s="100" t="s">
        <v>607</v>
      </c>
      <c r="X11" s="418" t="s">
        <v>546</v>
      </c>
      <c r="Y11" s="99" t="s">
        <v>606</v>
      </c>
      <c r="Z11" s="100" t="s">
        <v>607</v>
      </c>
      <c r="AA11" s="418"/>
      <c r="AB11" s="99">
        <f t="shared" si="20"/>
        <v>0</v>
      </c>
      <c r="AC11" s="100">
        <f t="shared" si="14"/>
        <v>0</v>
      </c>
      <c r="AD11" s="418"/>
      <c r="AE11" s="99">
        <f t="shared" si="21"/>
        <v>0</v>
      </c>
      <c r="AF11" s="100">
        <f t="shared" si="15"/>
        <v>0</v>
      </c>
      <c r="AG11" s="351" t="str">
        <f t="shared" si="16"/>
        <v/>
      </c>
      <c r="AH11" s="272" t="str">
        <f t="shared" si="6"/>
        <v/>
      </c>
      <c r="AI11" s="358" t="str">
        <f t="shared" si="7"/>
        <v/>
      </c>
      <c r="AJ11" s="272" t="str">
        <f t="shared" si="8"/>
        <v/>
      </c>
      <c r="AK11" s="361" t="str">
        <f t="shared" si="9"/>
        <v/>
      </c>
      <c r="AL11" s="11"/>
      <c r="AM11" s="11"/>
      <c r="AN11" s="11"/>
    </row>
    <row r="12" spans="1:41" ht="14.25">
      <c r="A12" s="787"/>
      <c r="B12" s="31" t="s">
        <v>179</v>
      </c>
      <c r="C12" s="184" t="s">
        <v>123</v>
      </c>
      <c r="D12" s="413" t="s">
        <v>24</v>
      </c>
      <c r="E12" s="49">
        <v>0.59722222222222221</v>
      </c>
      <c r="F12" s="49">
        <v>0.79166666666666663</v>
      </c>
      <c r="G12" s="93">
        <f t="shared" si="0"/>
        <v>0.19444444444444442</v>
      </c>
      <c r="H12" s="555">
        <f t="shared" si="10"/>
        <v>2.0833333333333259E-2</v>
      </c>
      <c r="I12" s="556">
        <f t="shared" si="1"/>
        <v>1</v>
      </c>
      <c r="J12" s="94">
        <f t="shared" si="2"/>
        <v>0</v>
      </c>
      <c r="K12" s="32">
        <f t="shared" si="3"/>
        <v>0</v>
      </c>
      <c r="L12" s="95" t="str">
        <f t="shared" si="4"/>
        <v/>
      </c>
      <c r="M12" s="96">
        <f t="shared" si="5"/>
        <v>0</v>
      </c>
      <c r="N12" s="97">
        <f>IF(M12=0,0,IF(SUM($M$5:M12)&gt;251,1,0))</f>
        <v>0</v>
      </c>
      <c r="O12" s="162">
        <v>40</v>
      </c>
      <c r="P12" s="163">
        <v>1</v>
      </c>
      <c r="Q12" s="98"/>
      <c r="R12" s="415" t="s">
        <v>543</v>
      </c>
      <c r="S12" s="99" t="str">
        <f t="shared" si="17"/>
        <v>放課後児童支援員</v>
      </c>
      <c r="T12" s="100" t="str">
        <f t="shared" si="11"/>
        <v>対象</v>
      </c>
      <c r="U12" s="418" t="s">
        <v>539</v>
      </c>
      <c r="V12" s="99" t="str">
        <f t="shared" si="18"/>
        <v>放課後児童支援員</v>
      </c>
      <c r="W12" s="100" t="str">
        <f t="shared" si="12"/>
        <v>対象</v>
      </c>
      <c r="X12" s="418" t="s">
        <v>546</v>
      </c>
      <c r="Y12" s="99" t="str">
        <f t="shared" si="19"/>
        <v>放課後児童支援員</v>
      </c>
      <c r="Z12" s="100" t="str">
        <f t="shared" si="13"/>
        <v>対象</v>
      </c>
      <c r="AA12" s="418"/>
      <c r="AB12" s="99">
        <f t="shared" si="20"/>
        <v>0</v>
      </c>
      <c r="AC12" s="100">
        <f t="shared" si="14"/>
        <v>0</v>
      </c>
      <c r="AD12" s="418"/>
      <c r="AE12" s="99">
        <f t="shared" si="21"/>
        <v>0</v>
      </c>
      <c r="AF12" s="100">
        <f t="shared" si="15"/>
        <v>0</v>
      </c>
      <c r="AG12" s="351" t="str">
        <f t="shared" si="16"/>
        <v/>
      </c>
      <c r="AH12" s="272" t="str">
        <f t="shared" si="6"/>
        <v/>
      </c>
      <c r="AI12" s="358" t="str">
        <f t="shared" si="7"/>
        <v/>
      </c>
      <c r="AJ12" s="272" t="str">
        <f t="shared" si="8"/>
        <v/>
      </c>
      <c r="AK12" s="361" t="str">
        <f t="shared" si="9"/>
        <v/>
      </c>
      <c r="AL12" s="11"/>
      <c r="AM12" s="11" t="str">
        <f>様式３職員名簿および各種加算等一覧!C8</f>
        <v>AA　AA</v>
      </c>
      <c r="AN12" s="11" t="str">
        <f>様式３職員名簿および各種加算等一覧!I8</f>
        <v>放課後児童支援員</v>
      </c>
      <c r="AO12" s="11" t="str">
        <f>様式３職員名簿および各種加算等一覧!V8</f>
        <v>対象</v>
      </c>
    </row>
    <row r="13" spans="1:41" ht="14.25">
      <c r="A13" s="787"/>
      <c r="B13" s="31" t="s">
        <v>180</v>
      </c>
      <c r="C13" s="184" t="s">
        <v>119</v>
      </c>
      <c r="D13" s="413" t="s">
        <v>24</v>
      </c>
      <c r="E13" s="49">
        <v>0.59722222222222221</v>
      </c>
      <c r="F13" s="49">
        <v>0.79166666666666663</v>
      </c>
      <c r="G13" s="93">
        <f t="shared" si="0"/>
        <v>0.19444444444444442</v>
      </c>
      <c r="H13" s="555">
        <f t="shared" si="10"/>
        <v>2.0833333333333259E-2</v>
      </c>
      <c r="I13" s="556">
        <f t="shared" si="1"/>
        <v>1</v>
      </c>
      <c r="J13" s="94">
        <f t="shared" si="2"/>
        <v>0</v>
      </c>
      <c r="K13" s="32">
        <f t="shared" si="3"/>
        <v>0</v>
      </c>
      <c r="L13" s="95" t="str">
        <f t="shared" si="4"/>
        <v/>
      </c>
      <c r="M13" s="96">
        <f t="shared" si="5"/>
        <v>0</v>
      </c>
      <c r="N13" s="97">
        <f>IF(M13=0,0,IF(SUM($M$5:M13)&gt;251,1,0))</f>
        <v>0</v>
      </c>
      <c r="O13" s="162">
        <v>40</v>
      </c>
      <c r="P13" s="163">
        <v>1</v>
      </c>
      <c r="Q13" s="98"/>
      <c r="R13" s="415" t="s">
        <v>543</v>
      </c>
      <c r="S13" s="99" t="str">
        <f t="shared" si="17"/>
        <v>放課後児童支援員</v>
      </c>
      <c r="T13" s="100" t="str">
        <f t="shared" si="11"/>
        <v>対象</v>
      </c>
      <c r="U13" s="418" t="s">
        <v>539</v>
      </c>
      <c r="V13" s="99" t="str">
        <f t="shared" si="18"/>
        <v>放課後児童支援員</v>
      </c>
      <c r="W13" s="100" t="str">
        <f t="shared" si="12"/>
        <v>対象</v>
      </c>
      <c r="X13" s="418" t="s">
        <v>546</v>
      </c>
      <c r="Y13" s="99" t="str">
        <f t="shared" si="19"/>
        <v>放課後児童支援員</v>
      </c>
      <c r="Z13" s="100" t="str">
        <f t="shared" si="13"/>
        <v>対象</v>
      </c>
      <c r="AA13" s="418"/>
      <c r="AB13" s="99">
        <f t="shared" si="20"/>
        <v>0</v>
      </c>
      <c r="AC13" s="100">
        <f t="shared" si="14"/>
        <v>0</v>
      </c>
      <c r="AD13" s="418"/>
      <c r="AE13" s="99">
        <f t="shared" si="21"/>
        <v>0</v>
      </c>
      <c r="AF13" s="100">
        <f t="shared" si="15"/>
        <v>0</v>
      </c>
      <c r="AG13" s="351" t="str">
        <f t="shared" si="16"/>
        <v/>
      </c>
      <c r="AH13" s="272" t="str">
        <f t="shared" si="6"/>
        <v/>
      </c>
      <c r="AI13" s="358" t="str">
        <f t="shared" si="7"/>
        <v/>
      </c>
      <c r="AJ13" s="272" t="str">
        <f t="shared" si="8"/>
        <v/>
      </c>
      <c r="AK13" s="361" t="str">
        <f t="shared" si="9"/>
        <v/>
      </c>
      <c r="AL13" s="11"/>
      <c r="AM13" s="11" t="str">
        <f>様式３職員名簿および各種加算等一覧!C9</f>
        <v>BB　BB</v>
      </c>
      <c r="AN13" s="11" t="str">
        <f>様式３職員名簿および各種加算等一覧!I9</f>
        <v>放課後児童支援員</v>
      </c>
      <c r="AO13" s="11" t="str">
        <f>様式３職員名簿および各種加算等一覧!V9</f>
        <v>対象</v>
      </c>
    </row>
    <row r="14" spans="1:41" ht="14.25">
      <c r="A14" s="787"/>
      <c r="B14" s="31" t="s">
        <v>181</v>
      </c>
      <c r="C14" s="184" t="s">
        <v>120</v>
      </c>
      <c r="D14" s="413" t="s">
        <v>24</v>
      </c>
      <c r="E14" s="49">
        <v>0.54861111111111105</v>
      </c>
      <c r="F14" s="49">
        <v>0.79166666666666663</v>
      </c>
      <c r="G14" s="93">
        <f t="shared" si="0"/>
        <v>0.24305555555555558</v>
      </c>
      <c r="H14" s="555">
        <f t="shared" si="10"/>
        <v>2.0833333333333259E-2</v>
      </c>
      <c r="I14" s="556">
        <f t="shared" si="1"/>
        <v>1</v>
      </c>
      <c r="J14" s="94">
        <f t="shared" si="2"/>
        <v>0</v>
      </c>
      <c r="K14" s="32">
        <f t="shared" si="3"/>
        <v>0</v>
      </c>
      <c r="L14" s="95" t="str">
        <f t="shared" si="4"/>
        <v/>
      </c>
      <c r="M14" s="96">
        <f t="shared" si="5"/>
        <v>0</v>
      </c>
      <c r="N14" s="97">
        <f>IF(M14=0,0,IF(SUM($M$5:M14)&gt;251,1,0))</f>
        <v>0</v>
      </c>
      <c r="O14" s="162">
        <v>40</v>
      </c>
      <c r="P14" s="163">
        <v>1</v>
      </c>
      <c r="Q14" s="98"/>
      <c r="R14" s="415" t="s">
        <v>543</v>
      </c>
      <c r="S14" s="99" t="str">
        <f t="shared" si="17"/>
        <v>放課後児童支援員</v>
      </c>
      <c r="T14" s="100" t="str">
        <f t="shared" si="11"/>
        <v>対象</v>
      </c>
      <c r="U14" s="418" t="s">
        <v>539</v>
      </c>
      <c r="V14" s="99" t="str">
        <f t="shared" si="18"/>
        <v>放課後児童支援員</v>
      </c>
      <c r="W14" s="100" t="str">
        <f t="shared" si="12"/>
        <v>対象</v>
      </c>
      <c r="X14" s="418" t="s">
        <v>546</v>
      </c>
      <c r="Y14" s="99" t="str">
        <f t="shared" si="19"/>
        <v>放課後児童支援員</v>
      </c>
      <c r="Z14" s="100" t="str">
        <f t="shared" si="13"/>
        <v>対象</v>
      </c>
      <c r="AA14" s="418"/>
      <c r="AB14" s="99">
        <f t="shared" si="20"/>
        <v>0</v>
      </c>
      <c r="AC14" s="100">
        <f t="shared" si="14"/>
        <v>0</v>
      </c>
      <c r="AD14" s="418"/>
      <c r="AE14" s="99">
        <f t="shared" si="21"/>
        <v>0</v>
      </c>
      <c r="AF14" s="100">
        <f t="shared" si="15"/>
        <v>0</v>
      </c>
      <c r="AG14" s="351" t="str">
        <f t="shared" si="16"/>
        <v/>
      </c>
      <c r="AH14" s="272" t="str">
        <f t="shared" si="6"/>
        <v/>
      </c>
      <c r="AI14" s="358" t="str">
        <f t="shared" si="7"/>
        <v/>
      </c>
      <c r="AJ14" s="272" t="str">
        <f t="shared" si="8"/>
        <v/>
      </c>
      <c r="AK14" s="361" t="str">
        <f t="shared" si="9"/>
        <v/>
      </c>
      <c r="AL14" s="11"/>
      <c r="AM14" s="11" t="str">
        <f>様式３職員名簿および各種加算等一覧!C10</f>
        <v>CC　CC</v>
      </c>
      <c r="AN14" s="11" t="str">
        <f>様式３職員名簿および各種加算等一覧!I10</f>
        <v>放課後児童支援員</v>
      </c>
      <c r="AO14" s="11" t="str">
        <f>様式３職員名簿および各種加算等一覧!V10</f>
        <v>対象</v>
      </c>
    </row>
    <row r="15" spans="1:41" ht="14.25">
      <c r="A15" s="787"/>
      <c r="B15" s="31" t="s">
        <v>182</v>
      </c>
      <c r="C15" s="184" t="s">
        <v>121</v>
      </c>
      <c r="D15" s="413" t="s">
        <v>24</v>
      </c>
      <c r="E15" s="49">
        <v>0.59722222222222221</v>
      </c>
      <c r="F15" s="49">
        <v>0.80555555555555547</v>
      </c>
      <c r="G15" s="93">
        <f t="shared" si="0"/>
        <v>0.20833333333333326</v>
      </c>
      <c r="H15" s="555">
        <f t="shared" si="10"/>
        <v>3.4722222222222099E-2</v>
      </c>
      <c r="I15" s="556">
        <f t="shared" si="1"/>
        <v>1</v>
      </c>
      <c r="J15" s="94">
        <f t="shared" si="2"/>
        <v>0</v>
      </c>
      <c r="K15" s="32">
        <f t="shared" si="3"/>
        <v>0</v>
      </c>
      <c r="L15" s="95" t="str">
        <f t="shared" si="4"/>
        <v/>
      </c>
      <c r="M15" s="96">
        <f t="shared" si="5"/>
        <v>0</v>
      </c>
      <c r="N15" s="97">
        <f>IF(M15=0,0,IF(SUM($M$5:M15)&gt;251,1,0))</f>
        <v>0</v>
      </c>
      <c r="O15" s="162">
        <v>40</v>
      </c>
      <c r="P15" s="163">
        <v>1</v>
      </c>
      <c r="Q15" s="98"/>
      <c r="R15" s="415" t="s">
        <v>543</v>
      </c>
      <c r="S15" s="99" t="str">
        <f t="shared" si="17"/>
        <v>放課後児童支援員</v>
      </c>
      <c r="T15" s="100" t="str">
        <f t="shared" si="11"/>
        <v>対象</v>
      </c>
      <c r="U15" s="418" t="s">
        <v>539</v>
      </c>
      <c r="V15" s="99" t="str">
        <f t="shared" si="18"/>
        <v>放課後児童支援員</v>
      </c>
      <c r="W15" s="100" t="str">
        <f t="shared" si="12"/>
        <v>対象</v>
      </c>
      <c r="X15" s="418" t="s">
        <v>546</v>
      </c>
      <c r="Y15" s="99" t="str">
        <f t="shared" si="19"/>
        <v>放課後児童支援員</v>
      </c>
      <c r="Z15" s="100" t="str">
        <f t="shared" si="13"/>
        <v>対象</v>
      </c>
      <c r="AA15" s="418"/>
      <c r="AB15" s="99">
        <f t="shared" si="20"/>
        <v>0</v>
      </c>
      <c r="AC15" s="100">
        <f t="shared" si="14"/>
        <v>0</v>
      </c>
      <c r="AD15" s="418"/>
      <c r="AE15" s="99">
        <f t="shared" si="21"/>
        <v>0</v>
      </c>
      <c r="AF15" s="100">
        <f t="shared" si="15"/>
        <v>0</v>
      </c>
      <c r="AG15" s="351" t="str">
        <f t="shared" si="16"/>
        <v/>
      </c>
      <c r="AH15" s="272" t="str">
        <f t="shared" si="6"/>
        <v/>
      </c>
      <c r="AI15" s="358" t="str">
        <f t="shared" si="7"/>
        <v/>
      </c>
      <c r="AJ15" s="272" t="str">
        <f t="shared" si="8"/>
        <v/>
      </c>
      <c r="AK15" s="361" t="str">
        <f t="shared" si="9"/>
        <v/>
      </c>
      <c r="AL15" s="11"/>
      <c r="AM15" s="11" t="str">
        <f>様式３職員名簿および各種加算等一覧!C11</f>
        <v>DD DD</v>
      </c>
      <c r="AN15" s="11" t="str">
        <f>様式３職員名簿および各種加算等一覧!I11</f>
        <v>放課後児童支援員</v>
      </c>
      <c r="AO15" s="11">
        <f>様式３職員名簿および各種加算等一覧!V11</f>
        <v>0</v>
      </c>
    </row>
    <row r="16" spans="1:41" ht="14.25">
      <c r="A16" s="787"/>
      <c r="B16" s="31" t="s">
        <v>184</v>
      </c>
      <c r="C16" s="184" t="s">
        <v>122</v>
      </c>
      <c r="D16" s="413" t="s">
        <v>171</v>
      </c>
      <c r="E16" s="49">
        <v>0.33333333333333331</v>
      </c>
      <c r="F16" s="49">
        <v>0.6875</v>
      </c>
      <c r="G16" s="93">
        <f t="shared" si="0"/>
        <v>0.35416666666666669</v>
      </c>
      <c r="H16" s="555" t="str">
        <f t="shared" si="10"/>
        <v>0:00</v>
      </c>
      <c r="I16" s="556">
        <f t="shared" si="1"/>
        <v>0</v>
      </c>
      <c r="J16" s="94">
        <f t="shared" si="2"/>
        <v>2.083333333333337E-2</v>
      </c>
      <c r="K16" s="32">
        <f t="shared" si="3"/>
        <v>1</v>
      </c>
      <c r="L16" s="95" t="str">
        <f t="shared" si="4"/>
        <v/>
      </c>
      <c r="M16" s="96">
        <f t="shared" si="5"/>
        <v>1</v>
      </c>
      <c r="N16" s="97">
        <f>IF(M16=0,0,IF(SUM($M$5:M16)&gt;251,1,0))</f>
        <v>0</v>
      </c>
      <c r="O16" s="162">
        <v>5</v>
      </c>
      <c r="P16" s="163">
        <v>0</v>
      </c>
      <c r="Q16" s="98"/>
      <c r="R16" s="415" t="s">
        <v>543</v>
      </c>
      <c r="S16" s="99" t="str">
        <f t="shared" si="17"/>
        <v>放課後児童支援員</v>
      </c>
      <c r="T16" s="100" t="str">
        <f t="shared" si="11"/>
        <v>対象</v>
      </c>
      <c r="U16" s="418" t="s">
        <v>539</v>
      </c>
      <c r="V16" s="99" t="str">
        <f t="shared" si="18"/>
        <v>放課後児童支援員</v>
      </c>
      <c r="W16" s="100" t="str">
        <f t="shared" si="12"/>
        <v>対象</v>
      </c>
      <c r="X16" s="418" t="s">
        <v>546</v>
      </c>
      <c r="Y16" s="99" t="str">
        <f t="shared" si="19"/>
        <v>放課後児童支援員</v>
      </c>
      <c r="Z16" s="100" t="str">
        <f t="shared" si="13"/>
        <v>対象</v>
      </c>
      <c r="AA16" s="418"/>
      <c r="AB16" s="99">
        <f t="shared" si="20"/>
        <v>0</v>
      </c>
      <c r="AC16" s="100">
        <f t="shared" si="14"/>
        <v>0</v>
      </c>
      <c r="AD16" s="418"/>
      <c r="AE16" s="99">
        <f t="shared" si="21"/>
        <v>0</v>
      </c>
      <c r="AF16" s="100">
        <f t="shared" si="15"/>
        <v>0</v>
      </c>
      <c r="AG16" s="351" t="str">
        <f t="shared" si="16"/>
        <v/>
      </c>
      <c r="AH16" s="272" t="str">
        <f t="shared" si="6"/>
        <v/>
      </c>
      <c r="AI16" s="358" t="str">
        <f t="shared" si="7"/>
        <v/>
      </c>
      <c r="AJ16" s="272" t="str">
        <f t="shared" si="8"/>
        <v/>
      </c>
      <c r="AK16" s="361" t="str">
        <f t="shared" si="9"/>
        <v/>
      </c>
      <c r="AL16" s="11"/>
      <c r="AM16" s="11" t="str">
        <f>様式３職員名簿および各種加算等一覧!C12</f>
        <v>EE EE（４～６月）</v>
      </c>
      <c r="AN16" s="11" t="str">
        <f>様式３職員名簿および各種加算等一覧!I12</f>
        <v>補助員</v>
      </c>
      <c r="AO16" s="11">
        <f>様式３職員名簿および各種加算等一覧!V12</f>
        <v>0</v>
      </c>
    </row>
    <row r="17" spans="1:41" ht="14.25">
      <c r="A17" s="787"/>
      <c r="B17" s="31" t="s">
        <v>185</v>
      </c>
      <c r="C17" s="184" t="s">
        <v>183</v>
      </c>
      <c r="D17" s="413" t="s">
        <v>173</v>
      </c>
      <c r="E17" s="49"/>
      <c r="F17" s="49"/>
      <c r="G17" s="93">
        <f t="shared" si="0"/>
        <v>0</v>
      </c>
      <c r="H17" s="555" t="str">
        <f t="shared" si="10"/>
        <v>0:00</v>
      </c>
      <c r="I17" s="556">
        <f t="shared" si="1"/>
        <v>0</v>
      </c>
      <c r="J17" s="94">
        <f t="shared" si="2"/>
        <v>0</v>
      </c>
      <c r="K17" s="32">
        <f t="shared" si="3"/>
        <v>0</v>
      </c>
      <c r="L17" s="95" t="str">
        <f t="shared" si="4"/>
        <v/>
      </c>
      <c r="M17" s="96">
        <f t="shared" si="5"/>
        <v>0</v>
      </c>
      <c r="N17" s="97">
        <f>IF(M17=0,0,IF(SUM($M$5:M17)&gt;251,1,0))</f>
        <v>0</v>
      </c>
      <c r="O17" s="162"/>
      <c r="P17" s="163"/>
      <c r="Q17" s="98"/>
      <c r="R17" s="415"/>
      <c r="S17" s="99">
        <f t="shared" si="17"/>
        <v>0</v>
      </c>
      <c r="T17" s="100">
        <f t="shared" si="11"/>
        <v>0</v>
      </c>
      <c r="U17" s="418"/>
      <c r="V17" s="99">
        <f t="shared" si="18"/>
        <v>0</v>
      </c>
      <c r="W17" s="100">
        <f t="shared" si="12"/>
        <v>0</v>
      </c>
      <c r="X17" s="418"/>
      <c r="Y17" s="99">
        <f t="shared" si="19"/>
        <v>0</v>
      </c>
      <c r="Z17" s="100">
        <f t="shared" si="13"/>
        <v>0</v>
      </c>
      <c r="AA17" s="418"/>
      <c r="AB17" s="99">
        <f t="shared" si="20"/>
        <v>0</v>
      </c>
      <c r="AC17" s="100">
        <f t="shared" si="14"/>
        <v>0</v>
      </c>
      <c r="AD17" s="418"/>
      <c r="AE17" s="99">
        <f t="shared" si="21"/>
        <v>0</v>
      </c>
      <c r="AF17" s="100">
        <f t="shared" si="15"/>
        <v>0</v>
      </c>
      <c r="AG17" s="351" t="str">
        <f t="shared" si="16"/>
        <v/>
      </c>
      <c r="AH17" s="272" t="str">
        <f t="shared" si="6"/>
        <v/>
      </c>
      <c r="AI17" s="358" t="str">
        <f t="shared" si="7"/>
        <v/>
      </c>
      <c r="AJ17" s="272" t="str">
        <f t="shared" si="8"/>
        <v/>
      </c>
      <c r="AK17" s="361" t="str">
        <f t="shared" si="9"/>
        <v/>
      </c>
      <c r="AL17" s="11"/>
      <c r="AM17" s="11" t="str">
        <f>様式３職員名簿および各種加算等一覧!C13</f>
        <v>EE EE（７～３月）</v>
      </c>
      <c r="AN17" s="11" t="str">
        <f>様式３職員名簿および各種加算等一覧!I13</f>
        <v>放課後児童支援員</v>
      </c>
      <c r="AO17" s="11" t="str">
        <f>様式３職員名簿および各種加算等一覧!V13</f>
        <v>対象</v>
      </c>
    </row>
    <row r="18" spans="1:41" ht="14.25">
      <c r="A18" s="787"/>
      <c r="B18" s="31" t="s">
        <v>186</v>
      </c>
      <c r="C18" s="184" t="s">
        <v>118</v>
      </c>
      <c r="D18" s="413" t="s">
        <v>24</v>
      </c>
      <c r="E18" s="49">
        <v>0.59722222222222221</v>
      </c>
      <c r="F18" s="49">
        <v>0.7715277777777777</v>
      </c>
      <c r="G18" s="93">
        <f t="shared" si="0"/>
        <v>0.17430555555555549</v>
      </c>
      <c r="H18" s="555">
        <f t="shared" si="10"/>
        <v>6.9444444444433095E-4</v>
      </c>
      <c r="I18" s="556">
        <f t="shared" si="1"/>
        <v>1</v>
      </c>
      <c r="J18" s="94">
        <f t="shared" si="2"/>
        <v>0</v>
      </c>
      <c r="K18" s="32">
        <f t="shared" si="3"/>
        <v>0</v>
      </c>
      <c r="L18" s="95" t="str">
        <f t="shared" si="4"/>
        <v/>
      </c>
      <c r="M18" s="96">
        <f t="shared" si="5"/>
        <v>0</v>
      </c>
      <c r="N18" s="97">
        <f>IF(M18=0,0,IF(SUM($M$5:M18)&gt;251,1,0))</f>
        <v>0</v>
      </c>
      <c r="O18" s="162">
        <v>40</v>
      </c>
      <c r="P18" s="163">
        <v>1</v>
      </c>
      <c r="Q18" s="98"/>
      <c r="R18" s="415" t="s">
        <v>543</v>
      </c>
      <c r="S18" s="99" t="str">
        <f t="shared" si="17"/>
        <v>放課後児童支援員</v>
      </c>
      <c r="T18" s="100" t="str">
        <f t="shared" si="11"/>
        <v>対象</v>
      </c>
      <c r="U18" s="418" t="s">
        <v>539</v>
      </c>
      <c r="V18" s="99" t="str">
        <f t="shared" si="18"/>
        <v>放課後児童支援員</v>
      </c>
      <c r="W18" s="100" t="str">
        <f t="shared" si="12"/>
        <v>対象</v>
      </c>
      <c r="X18" s="418" t="s">
        <v>546</v>
      </c>
      <c r="Y18" s="99" t="str">
        <f t="shared" si="19"/>
        <v>放課後児童支援員</v>
      </c>
      <c r="Z18" s="100" t="str">
        <f t="shared" si="13"/>
        <v>対象</v>
      </c>
      <c r="AA18" s="418"/>
      <c r="AB18" s="99">
        <f t="shared" si="20"/>
        <v>0</v>
      </c>
      <c r="AC18" s="100">
        <f t="shared" si="14"/>
        <v>0</v>
      </c>
      <c r="AD18" s="418"/>
      <c r="AE18" s="99">
        <f t="shared" si="21"/>
        <v>0</v>
      </c>
      <c r="AF18" s="100">
        <f t="shared" si="15"/>
        <v>0</v>
      </c>
      <c r="AG18" s="351" t="str">
        <f t="shared" si="16"/>
        <v/>
      </c>
      <c r="AH18" s="272" t="str">
        <f t="shared" si="6"/>
        <v/>
      </c>
      <c r="AI18" s="358" t="str">
        <f t="shared" si="7"/>
        <v/>
      </c>
      <c r="AJ18" s="272" t="str">
        <f t="shared" si="8"/>
        <v/>
      </c>
      <c r="AK18" s="361" t="str">
        <f t="shared" si="9"/>
        <v/>
      </c>
      <c r="AL18" s="11"/>
      <c r="AM18" s="11" t="str">
        <f>様式３職員名簿および各種加算等一覧!C14</f>
        <v>FF FF</v>
      </c>
      <c r="AN18" s="11" t="str">
        <f>様式３職員名簿および各種加算等一覧!I14</f>
        <v>補助員</v>
      </c>
      <c r="AO18" s="11">
        <f>様式３職員名簿および各種加算等一覧!V14</f>
        <v>0</v>
      </c>
    </row>
    <row r="19" spans="1:41" ht="14.25">
      <c r="A19" s="787"/>
      <c r="B19" s="31" t="s">
        <v>187</v>
      </c>
      <c r="C19" s="184" t="s">
        <v>123</v>
      </c>
      <c r="D19" s="413" t="s">
        <v>24</v>
      </c>
      <c r="E19" s="49">
        <v>0.59722222222222221</v>
      </c>
      <c r="F19" s="49">
        <v>0.79166666666666663</v>
      </c>
      <c r="G19" s="93">
        <f t="shared" si="0"/>
        <v>0.19444444444444442</v>
      </c>
      <c r="H19" s="555">
        <f t="shared" si="10"/>
        <v>2.0833333333333259E-2</v>
      </c>
      <c r="I19" s="556">
        <f t="shared" si="1"/>
        <v>1</v>
      </c>
      <c r="J19" s="94">
        <f t="shared" si="2"/>
        <v>0</v>
      </c>
      <c r="K19" s="32">
        <f t="shared" si="3"/>
        <v>0</v>
      </c>
      <c r="L19" s="95" t="str">
        <f t="shared" si="4"/>
        <v/>
      </c>
      <c r="M19" s="96">
        <f t="shared" si="5"/>
        <v>0</v>
      </c>
      <c r="N19" s="97">
        <f>IF(M19=0,0,IF(SUM($M$5:M19)&gt;251,1,0))</f>
        <v>0</v>
      </c>
      <c r="O19" s="162">
        <v>40</v>
      </c>
      <c r="P19" s="163">
        <v>1</v>
      </c>
      <c r="Q19" s="98"/>
      <c r="R19" s="415" t="s">
        <v>543</v>
      </c>
      <c r="S19" s="99" t="str">
        <f t="shared" si="17"/>
        <v>放課後児童支援員</v>
      </c>
      <c r="T19" s="100" t="str">
        <f t="shared" si="11"/>
        <v>対象</v>
      </c>
      <c r="U19" s="418" t="s">
        <v>539</v>
      </c>
      <c r="V19" s="99" t="str">
        <f t="shared" si="18"/>
        <v>放課後児童支援員</v>
      </c>
      <c r="W19" s="100" t="str">
        <f t="shared" si="12"/>
        <v>対象</v>
      </c>
      <c r="X19" s="418" t="s">
        <v>546</v>
      </c>
      <c r="Y19" s="99" t="str">
        <f t="shared" si="19"/>
        <v>放課後児童支援員</v>
      </c>
      <c r="Z19" s="100" t="str">
        <f t="shared" si="13"/>
        <v>対象</v>
      </c>
      <c r="AA19" s="418"/>
      <c r="AB19" s="99">
        <f t="shared" si="20"/>
        <v>0</v>
      </c>
      <c r="AC19" s="100">
        <f t="shared" si="14"/>
        <v>0</v>
      </c>
      <c r="AD19" s="418"/>
      <c r="AE19" s="99">
        <f t="shared" si="21"/>
        <v>0</v>
      </c>
      <c r="AF19" s="100">
        <f t="shared" si="15"/>
        <v>0</v>
      </c>
      <c r="AG19" s="351" t="str">
        <f t="shared" si="16"/>
        <v/>
      </c>
      <c r="AH19" s="272" t="str">
        <f t="shared" si="6"/>
        <v/>
      </c>
      <c r="AI19" s="358" t="str">
        <f t="shared" si="7"/>
        <v/>
      </c>
      <c r="AJ19" s="272" t="str">
        <f t="shared" si="8"/>
        <v/>
      </c>
      <c r="AK19" s="361" t="str">
        <f t="shared" si="9"/>
        <v/>
      </c>
      <c r="AL19" s="11"/>
      <c r="AM19" s="11" t="str">
        <f>様式３職員名簿および各種加算等一覧!C15</f>
        <v>GG GG</v>
      </c>
      <c r="AN19" s="11" t="str">
        <f>様式３職員名簿および各種加算等一覧!I15</f>
        <v>補助員</v>
      </c>
      <c r="AO19" s="11">
        <f>様式３職員名簿および各種加算等一覧!V15</f>
        <v>0</v>
      </c>
    </row>
    <row r="20" spans="1:41" ht="14.25">
      <c r="A20" s="787"/>
      <c r="B20" s="31" t="s">
        <v>188</v>
      </c>
      <c r="C20" s="184" t="s">
        <v>119</v>
      </c>
      <c r="D20" s="413" t="s">
        <v>24</v>
      </c>
      <c r="E20" s="49">
        <v>0.59722222222222221</v>
      </c>
      <c r="F20" s="49">
        <v>0.79166666666666663</v>
      </c>
      <c r="G20" s="93">
        <f t="shared" si="0"/>
        <v>0.19444444444444442</v>
      </c>
      <c r="H20" s="555">
        <f t="shared" si="10"/>
        <v>2.0833333333333259E-2</v>
      </c>
      <c r="I20" s="556">
        <f t="shared" si="1"/>
        <v>1</v>
      </c>
      <c r="J20" s="94">
        <f t="shared" si="2"/>
        <v>0</v>
      </c>
      <c r="K20" s="32">
        <f t="shared" si="3"/>
        <v>0</v>
      </c>
      <c r="L20" s="95" t="str">
        <f t="shared" si="4"/>
        <v/>
      </c>
      <c r="M20" s="96">
        <f t="shared" si="5"/>
        <v>0</v>
      </c>
      <c r="N20" s="97">
        <f>IF(M20=0,0,IF(SUM($M$5:M20)&gt;251,1,0))</f>
        <v>0</v>
      </c>
      <c r="O20" s="162">
        <v>40</v>
      </c>
      <c r="P20" s="163">
        <v>1</v>
      </c>
      <c r="Q20" s="98"/>
      <c r="R20" s="415" t="s">
        <v>543</v>
      </c>
      <c r="S20" s="99" t="str">
        <f t="shared" si="17"/>
        <v>放課後児童支援員</v>
      </c>
      <c r="T20" s="100" t="str">
        <f t="shared" si="11"/>
        <v>対象</v>
      </c>
      <c r="U20" s="418" t="s">
        <v>539</v>
      </c>
      <c r="V20" s="99" t="str">
        <f t="shared" si="18"/>
        <v>放課後児童支援員</v>
      </c>
      <c r="W20" s="100" t="str">
        <f t="shared" si="12"/>
        <v>対象</v>
      </c>
      <c r="X20" s="418" t="s">
        <v>546</v>
      </c>
      <c r="Y20" s="99" t="str">
        <f t="shared" si="19"/>
        <v>放課後児童支援員</v>
      </c>
      <c r="Z20" s="100" t="str">
        <f t="shared" si="13"/>
        <v>対象</v>
      </c>
      <c r="AA20" s="418"/>
      <c r="AB20" s="99">
        <f t="shared" si="20"/>
        <v>0</v>
      </c>
      <c r="AC20" s="100">
        <f t="shared" si="14"/>
        <v>0</v>
      </c>
      <c r="AD20" s="418"/>
      <c r="AE20" s="99">
        <f t="shared" si="21"/>
        <v>0</v>
      </c>
      <c r="AF20" s="100">
        <f t="shared" si="15"/>
        <v>0</v>
      </c>
      <c r="AG20" s="351" t="str">
        <f t="shared" si="16"/>
        <v/>
      </c>
      <c r="AH20" s="272" t="str">
        <f t="shared" si="6"/>
        <v/>
      </c>
      <c r="AI20" s="358" t="str">
        <f t="shared" si="7"/>
        <v/>
      </c>
      <c r="AJ20" s="272" t="str">
        <f t="shared" si="8"/>
        <v/>
      </c>
      <c r="AK20" s="361" t="str">
        <f t="shared" si="9"/>
        <v/>
      </c>
      <c r="AL20" s="11"/>
      <c r="AM20" s="11" t="str">
        <f>様式３職員名簿および各種加算等一覧!C16</f>
        <v>HH HH</v>
      </c>
      <c r="AN20" s="11" t="str">
        <f>様式３職員名簿および各種加算等一覧!I16</f>
        <v>事務員等</v>
      </c>
      <c r="AO20" s="11">
        <f>様式３職員名簿および各種加算等一覧!V16</f>
        <v>0</v>
      </c>
    </row>
    <row r="21" spans="1:41" ht="14.25">
      <c r="A21" s="787"/>
      <c r="B21" s="31" t="s">
        <v>189</v>
      </c>
      <c r="C21" s="184" t="s">
        <v>120</v>
      </c>
      <c r="D21" s="413" t="s">
        <v>24</v>
      </c>
      <c r="E21" s="49">
        <v>0.54861111111111105</v>
      </c>
      <c r="F21" s="49">
        <v>0.79166666666666663</v>
      </c>
      <c r="G21" s="93">
        <f t="shared" si="0"/>
        <v>0.24305555555555558</v>
      </c>
      <c r="H21" s="555">
        <f t="shared" si="10"/>
        <v>2.0833333333333259E-2</v>
      </c>
      <c r="I21" s="556">
        <f t="shared" si="1"/>
        <v>1</v>
      </c>
      <c r="J21" s="94">
        <f t="shared" si="2"/>
        <v>0</v>
      </c>
      <c r="K21" s="32">
        <f t="shared" si="3"/>
        <v>0</v>
      </c>
      <c r="L21" s="95" t="str">
        <f t="shared" si="4"/>
        <v/>
      </c>
      <c r="M21" s="96">
        <f t="shared" si="5"/>
        <v>0</v>
      </c>
      <c r="N21" s="97">
        <f>IF(M21=0,0,IF(SUM($M$5:M21)&gt;251,1,0))</f>
        <v>0</v>
      </c>
      <c r="O21" s="162">
        <v>40</v>
      </c>
      <c r="P21" s="163">
        <v>1</v>
      </c>
      <c r="Q21" s="98"/>
      <c r="R21" s="415" t="s">
        <v>543</v>
      </c>
      <c r="S21" s="99" t="str">
        <f t="shared" si="17"/>
        <v>放課後児童支援員</v>
      </c>
      <c r="T21" s="100" t="str">
        <f t="shared" si="11"/>
        <v>対象</v>
      </c>
      <c r="U21" s="418" t="s">
        <v>539</v>
      </c>
      <c r="V21" s="99" t="str">
        <f t="shared" si="18"/>
        <v>放課後児童支援員</v>
      </c>
      <c r="W21" s="100" t="str">
        <f t="shared" si="12"/>
        <v>対象</v>
      </c>
      <c r="X21" s="418" t="s">
        <v>546</v>
      </c>
      <c r="Y21" s="99" t="str">
        <f t="shared" si="19"/>
        <v>放課後児童支援員</v>
      </c>
      <c r="Z21" s="100" t="str">
        <f t="shared" si="13"/>
        <v>対象</v>
      </c>
      <c r="AA21" s="418"/>
      <c r="AB21" s="99">
        <f t="shared" si="20"/>
        <v>0</v>
      </c>
      <c r="AC21" s="100">
        <f t="shared" si="14"/>
        <v>0</v>
      </c>
      <c r="AD21" s="418"/>
      <c r="AE21" s="99">
        <f t="shared" si="21"/>
        <v>0</v>
      </c>
      <c r="AF21" s="100">
        <f t="shared" si="15"/>
        <v>0</v>
      </c>
      <c r="AG21" s="351" t="str">
        <f t="shared" si="16"/>
        <v/>
      </c>
      <c r="AH21" s="272" t="str">
        <f t="shared" si="6"/>
        <v/>
      </c>
      <c r="AI21" s="358" t="str">
        <f t="shared" si="7"/>
        <v/>
      </c>
      <c r="AJ21" s="272" t="str">
        <f t="shared" si="8"/>
        <v/>
      </c>
      <c r="AK21" s="361" t="str">
        <f t="shared" si="9"/>
        <v/>
      </c>
      <c r="AL21" s="11"/>
      <c r="AM21" s="11">
        <f>様式３職員名簿および各種加算等一覧!C17</f>
        <v>0</v>
      </c>
      <c r="AN21" s="11">
        <f>様式３職員名簿および各種加算等一覧!I17</f>
        <v>0</v>
      </c>
      <c r="AO21" s="11">
        <f>様式３職員名簿および各種加算等一覧!V17</f>
        <v>0</v>
      </c>
    </row>
    <row r="22" spans="1:41" ht="14.25">
      <c r="A22" s="787"/>
      <c r="B22" s="31" t="s">
        <v>190</v>
      </c>
      <c r="C22" s="184" t="s">
        <v>121</v>
      </c>
      <c r="D22" s="413" t="s">
        <v>24</v>
      </c>
      <c r="E22" s="49">
        <v>0.59722222222222221</v>
      </c>
      <c r="F22" s="49">
        <v>0.80555555555555547</v>
      </c>
      <c r="G22" s="93">
        <f t="shared" si="0"/>
        <v>0.20833333333333326</v>
      </c>
      <c r="H22" s="555">
        <f t="shared" si="10"/>
        <v>3.4722222222222099E-2</v>
      </c>
      <c r="I22" s="556">
        <f t="shared" si="1"/>
        <v>1</v>
      </c>
      <c r="J22" s="94">
        <f t="shared" si="2"/>
        <v>0</v>
      </c>
      <c r="K22" s="32">
        <f t="shared" si="3"/>
        <v>0</v>
      </c>
      <c r="L22" s="95" t="str">
        <f t="shared" si="4"/>
        <v/>
      </c>
      <c r="M22" s="96">
        <f t="shared" si="5"/>
        <v>0</v>
      </c>
      <c r="N22" s="97">
        <f>IF(M22=0,0,IF(SUM($M$5:M22)&gt;251,1,0))</f>
        <v>0</v>
      </c>
      <c r="O22" s="162">
        <v>40</v>
      </c>
      <c r="P22" s="163">
        <v>1</v>
      </c>
      <c r="Q22" s="98"/>
      <c r="R22" s="415" t="s">
        <v>543</v>
      </c>
      <c r="S22" s="99" t="str">
        <f t="shared" si="17"/>
        <v>放課後児童支援員</v>
      </c>
      <c r="T22" s="100" t="str">
        <f t="shared" si="11"/>
        <v>対象</v>
      </c>
      <c r="U22" s="418" t="s">
        <v>539</v>
      </c>
      <c r="V22" s="99" t="str">
        <f t="shared" si="18"/>
        <v>放課後児童支援員</v>
      </c>
      <c r="W22" s="100" t="str">
        <f t="shared" si="12"/>
        <v>対象</v>
      </c>
      <c r="X22" s="418" t="s">
        <v>546</v>
      </c>
      <c r="Y22" s="99" t="str">
        <f t="shared" si="19"/>
        <v>放課後児童支援員</v>
      </c>
      <c r="Z22" s="100" t="str">
        <f t="shared" si="13"/>
        <v>対象</v>
      </c>
      <c r="AA22" s="418"/>
      <c r="AB22" s="99">
        <f t="shared" si="20"/>
        <v>0</v>
      </c>
      <c r="AC22" s="100">
        <f t="shared" si="14"/>
        <v>0</v>
      </c>
      <c r="AD22" s="418"/>
      <c r="AE22" s="99">
        <f t="shared" si="21"/>
        <v>0</v>
      </c>
      <c r="AF22" s="100">
        <f t="shared" si="15"/>
        <v>0</v>
      </c>
      <c r="AG22" s="351" t="str">
        <f t="shared" si="16"/>
        <v/>
      </c>
      <c r="AH22" s="272" t="str">
        <f t="shared" si="6"/>
        <v/>
      </c>
      <c r="AI22" s="358" t="str">
        <f t="shared" si="7"/>
        <v/>
      </c>
      <c r="AJ22" s="272" t="str">
        <f t="shared" si="8"/>
        <v/>
      </c>
      <c r="AK22" s="361" t="str">
        <f t="shared" si="9"/>
        <v/>
      </c>
      <c r="AL22" s="11"/>
      <c r="AM22" s="11">
        <f>様式３職員名簿および各種加算等一覧!C18</f>
        <v>0</v>
      </c>
      <c r="AN22" s="11">
        <f>様式３職員名簿および各種加算等一覧!I18</f>
        <v>0</v>
      </c>
      <c r="AO22" s="11">
        <f>様式３職員名簿および各種加算等一覧!V18</f>
        <v>0</v>
      </c>
    </row>
    <row r="23" spans="1:41" ht="14.25">
      <c r="A23" s="787"/>
      <c r="B23" s="31" t="s">
        <v>191</v>
      </c>
      <c r="C23" s="184" t="s">
        <v>122</v>
      </c>
      <c r="D23" s="413" t="s">
        <v>173</v>
      </c>
      <c r="E23" s="49"/>
      <c r="F23" s="49"/>
      <c r="G23" s="93">
        <f t="shared" si="0"/>
        <v>0</v>
      </c>
      <c r="H23" s="555" t="str">
        <f t="shared" si="10"/>
        <v>0:00</v>
      </c>
      <c r="I23" s="556">
        <f t="shared" si="1"/>
        <v>0</v>
      </c>
      <c r="J23" s="94">
        <f t="shared" si="2"/>
        <v>0</v>
      </c>
      <c r="K23" s="32">
        <f t="shared" si="3"/>
        <v>0</v>
      </c>
      <c r="L23" s="95" t="str">
        <f t="shared" si="4"/>
        <v/>
      </c>
      <c r="M23" s="96">
        <f t="shared" si="5"/>
        <v>0</v>
      </c>
      <c r="N23" s="97">
        <f>IF(M23=0,0,IF(SUM($M$5:M23)&gt;251,1,0))</f>
        <v>0</v>
      </c>
      <c r="O23" s="162"/>
      <c r="P23" s="163"/>
      <c r="Q23" s="98"/>
      <c r="R23" s="415"/>
      <c r="S23" s="99"/>
      <c r="T23" s="100"/>
      <c r="U23" s="418"/>
      <c r="V23" s="99"/>
      <c r="W23" s="100"/>
      <c r="X23" s="418"/>
      <c r="Y23" s="99"/>
      <c r="Z23" s="100"/>
      <c r="AA23" s="418"/>
      <c r="AB23" s="99"/>
      <c r="AC23" s="100"/>
      <c r="AD23" s="418"/>
      <c r="AE23" s="99">
        <f t="shared" si="21"/>
        <v>0</v>
      </c>
      <c r="AF23" s="100">
        <f t="shared" si="15"/>
        <v>0</v>
      </c>
      <c r="AG23" s="351" t="str">
        <f t="shared" si="16"/>
        <v/>
      </c>
      <c r="AH23" s="272" t="str">
        <f t="shared" si="6"/>
        <v/>
      </c>
      <c r="AI23" s="358" t="str">
        <f t="shared" si="7"/>
        <v/>
      </c>
      <c r="AJ23" s="272" t="str">
        <f t="shared" si="8"/>
        <v/>
      </c>
      <c r="AK23" s="361" t="str">
        <f t="shared" si="9"/>
        <v/>
      </c>
      <c r="AL23" s="11"/>
      <c r="AM23" s="11">
        <f>様式３職員名簿および各種加算等一覧!C19</f>
        <v>0</v>
      </c>
      <c r="AN23" s="11">
        <f>様式３職員名簿および各種加算等一覧!I19</f>
        <v>0</v>
      </c>
      <c r="AO23" s="11">
        <f>様式３職員名簿および各種加算等一覧!V19</f>
        <v>0</v>
      </c>
    </row>
    <row r="24" spans="1:41" ht="14.25">
      <c r="A24" s="787"/>
      <c r="B24" s="31" t="s">
        <v>192</v>
      </c>
      <c r="C24" s="184" t="s">
        <v>183</v>
      </c>
      <c r="D24" s="413" t="s">
        <v>173</v>
      </c>
      <c r="E24" s="49"/>
      <c r="F24" s="49"/>
      <c r="G24" s="93">
        <f t="shared" si="0"/>
        <v>0</v>
      </c>
      <c r="H24" s="555" t="str">
        <f t="shared" si="10"/>
        <v>0:00</v>
      </c>
      <c r="I24" s="556">
        <f t="shared" si="1"/>
        <v>0</v>
      </c>
      <c r="J24" s="94">
        <f t="shared" si="2"/>
        <v>0</v>
      </c>
      <c r="K24" s="32">
        <f t="shared" si="3"/>
        <v>0</v>
      </c>
      <c r="L24" s="95" t="str">
        <f t="shared" si="4"/>
        <v/>
      </c>
      <c r="M24" s="96">
        <f t="shared" si="5"/>
        <v>0</v>
      </c>
      <c r="N24" s="97">
        <f>IF(M24=0,0,IF(SUM($M$5:M24)&gt;251,1,0))</f>
        <v>0</v>
      </c>
      <c r="O24" s="162"/>
      <c r="P24" s="163"/>
      <c r="Q24" s="98"/>
      <c r="R24" s="415"/>
      <c r="S24" s="99">
        <f t="shared" si="17"/>
        <v>0</v>
      </c>
      <c r="T24" s="100">
        <f t="shared" si="11"/>
        <v>0</v>
      </c>
      <c r="U24" s="418"/>
      <c r="V24" s="99">
        <f t="shared" si="18"/>
        <v>0</v>
      </c>
      <c r="W24" s="100">
        <f t="shared" si="12"/>
        <v>0</v>
      </c>
      <c r="X24" s="418"/>
      <c r="Y24" s="99">
        <f t="shared" si="19"/>
        <v>0</v>
      </c>
      <c r="Z24" s="100">
        <f t="shared" si="13"/>
        <v>0</v>
      </c>
      <c r="AA24" s="418"/>
      <c r="AB24" s="99">
        <f t="shared" si="20"/>
        <v>0</v>
      </c>
      <c r="AC24" s="100">
        <f t="shared" si="14"/>
        <v>0</v>
      </c>
      <c r="AD24" s="418"/>
      <c r="AE24" s="99">
        <f t="shared" si="21"/>
        <v>0</v>
      </c>
      <c r="AF24" s="100">
        <f t="shared" si="15"/>
        <v>0</v>
      </c>
      <c r="AG24" s="351" t="str">
        <f t="shared" si="16"/>
        <v/>
      </c>
      <c r="AH24" s="272" t="str">
        <f t="shared" si="6"/>
        <v/>
      </c>
      <c r="AI24" s="358" t="str">
        <f t="shared" si="7"/>
        <v/>
      </c>
      <c r="AJ24" s="272" t="str">
        <f t="shared" si="8"/>
        <v/>
      </c>
      <c r="AK24" s="361" t="str">
        <f t="shared" si="9"/>
        <v/>
      </c>
      <c r="AL24" s="11"/>
      <c r="AM24" s="11">
        <f>様式３職員名簿および各種加算等一覧!C20</f>
        <v>0</v>
      </c>
      <c r="AN24" s="11">
        <f>様式３職員名簿および各種加算等一覧!I20</f>
        <v>0</v>
      </c>
      <c r="AO24" s="11">
        <f>様式３職員名簿および各種加算等一覧!V20</f>
        <v>0</v>
      </c>
    </row>
    <row r="25" spans="1:41" ht="14.25">
      <c r="A25" s="787"/>
      <c r="B25" s="31" t="s">
        <v>193</v>
      </c>
      <c r="C25" s="184" t="s">
        <v>118</v>
      </c>
      <c r="D25" s="413" t="s">
        <v>24</v>
      </c>
      <c r="E25" s="49">
        <v>0.59722222222222221</v>
      </c>
      <c r="F25" s="49">
        <v>0.80555555555555547</v>
      </c>
      <c r="G25" s="93">
        <f t="shared" si="0"/>
        <v>0.20833333333333326</v>
      </c>
      <c r="H25" s="555">
        <f t="shared" si="10"/>
        <v>3.4722222222222099E-2</v>
      </c>
      <c r="I25" s="556">
        <f t="shared" si="1"/>
        <v>1</v>
      </c>
      <c r="J25" s="94">
        <f t="shared" si="2"/>
        <v>0</v>
      </c>
      <c r="K25" s="32">
        <f t="shared" si="3"/>
        <v>0</v>
      </c>
      <c r="L25" s="95" t="str">
        <f t="shared" si="4"/>
        <v/>
      </c>
      <c r="M25" s="96">
        <f t="shared" si="5"/>
        <v>0</v>
      </c>
      <c r="N25" s="97">
        <f>IF(M25=0,0,IF(SUM($M$5:M25)&gt;251,1,0))</f>
        <v>0</v>
      </c>
      <c r="O25" s="162">
        <v>40</v>
      </c>
      <c r="P25" s="163">
        <v>1</v>
      </c>
      <c r="Q25" s="98"/>
      <c r="R25" s="415" t="s">
        <v>543</v>
      </c>
      <c r="S25" s="99" t="str">
        <f t="shared" si="17"/>
        <v>放課後児童支援員</v>
      </c>
      <c r="T25" s="100" t="str">
        <f t="shared" si="11"/>
        <v>対象</v>
      </c>
      <c r="U25" s="418" t="s">
        <v>539</v>
      </c>
      <c r="V25" s="99" t="str">
        <f t="shared" si="18"/>
        <v>放課後児童支援員</v>
      </c>
      <c r="W25" s="100" t="str">
        <f t="shared" si="12"/>
        <v>対象</v>
      </c>
      <c r="X25" s="418" t="s">
        <v>546</v>
      </c>
      <c r="Y25" s="99" t="str">
        <f t="shared" si="19"/>
        <v>放課後児童支援員</v>
      </c>
      <c r="Z25" s="100" t="str">
        <f t="shared" si="13"/>
        <v>対象</v>
      </c>
      <c r="AA25" s="418"/>
      <c r="AB25" s="99">
        <f t="shared" si="20"/>
        <v>0</v>
      </c>
      <c r="AC25" s="100">
        <f t="shared" si="14"/>
        <v>0</v>
      </c>
      <c r="AD25" s="418"/>
      <c r="AE25" s="99">
        <f t="shared" si="21"/>
        <v>0</v>
      </c>
      <c r="AF25" s="100">
        <f t="shared" si="15"/>
        <v>0</v>
      </c>
      <c r="AG25" s="351" t="str">
        <f t="shared" si="16"/>
        <v/>
      </c>
      <c r="AH25" s="272" t="str">
        <f t="shared" si="6"/>
        <v/>
      </c>
      <c r="AI25" s="358" t="str">
        <f t="shared" si="7"/>
        <v/>
      </c>
      <c r="AJ25" s="272" t="str">
        <f t="shared" si="8"/>
        <v/>
      </c>
      <c r="AK25" s="361" t="str">
        <f t="shared" si="9"/>
        <v/>
      </c>
      <c r="AL25" s="11"/>
      <c r="AM25" s="11">
        <f>様式３職員名簿および各種加算等一覧!C21</f>
        <v>0</v>
      </c>
      <c r="AN25" s="11">
        <f>様式３職員名簿および各種加算等一覧!I21</f>
        <v>0</v>
      </c>
      <c r="AO25" s="11">
        <f>様式３職員名簿および各種加算等一覧!V21</f>
        <v>0</v>
      </c>
    </row>
    <row r="26" spans="1:41" ht="14.25">
      <c r="A26" s="787"/>
      <c r="B26" s="31" t="s">
        <v>194</v>
      </c>
      <c r="C26" s="184" t="s">
        <v>123</v>
      </c>
      <c r="D26" s="413" t="s">
        <v>24</v>
      </c>
      <c r="E26" s="49">
        <v>0.59722222222222221</v>
      </c>
      <c r="F26" s="49">
        <v>0.81180555555555556</v>
      </c>
      <c r="G26" s="93">
        <f t="shared" si="0"/>
        <v>0.21458333333333335</v>
      </c>
      <c r="H26" s="555">
        <f t="shared" si="10"/>
        <v>4.0972222222222188E-2</v>
      </c>
      <c r="I26" s="556">
        <f t="shared" si="1"/>
        <v>1</v>
      </c>
      <c r="J26" s="94">
        <f t="shared" si="2"/>
        <v>0</v>
      </c>
      <c r="K26" s="32">
        <f t="shared" si="3"/>
        <v>0</v>
      </c>
      <c r="L26" s="95" t="str">
        <f t="shared" si="4"/>
        <v/>
      </c>
      <c r="M26" s="96">
        <f t="shared" si="5"/>
        <v>0</v>
      </c>
      <c r="N26" s="97">
        <f>IF(M26=0,0,IF(SUM($M$5:M26)&gt;251,1,0))</f>
        <v>0</v>
      </c>
      <c r="O26" s="162">
        <v>40</v>
      </c>
      <c r="P26" s="163">
        <v>1</v>
      </c>
      <c r="Q26" s="98"/>
      <c r="R26" s="415" t="s">
        <v>543</v>
      </c>
      <c r="S26" s="99" t="str">
        <f t="shared" si="17"/>
        <v>放課後児童支援員</v>
      </c>
      <c r="T26" s="100" t="str">
        <f t="shared" si="11"/>
        <v>対象</v>
      </c>
      <c r="U26" s="418" t="s">
        <v>539</v>
      </c>
      <c r="V26" s="99" t="str">
        <f t="shared" si="18"/>
        <v>放課後児童支援員</v>
      </c>
      <c r="W26" s="100" t="str">
        <f t="shared" si="12"/>
        <v>対象</v>
      </c>
      <c r="X26" s="418" t="s">
        <v>546</v>
      </c>
      <c r="Y26" s="99" t="str">
        <f t="shared" si="19"/>
        <v>放課後児童支援員</v>
      </c>
      <c r="Z26" s="100" t="str">
        <f t="shared" si="13"/>
        <v>対象</v>
      </c>
      <c r="AA26" s="418"/>
      <c r="AB26" s="99">
        <f t="shared" si="20"/>
        <v>0</v>
      </c>
      <c r="AC26" s="100">
        <f t="shared" si="14"/>
        <v>0</v>
      </c>
      <c r="AD26" s="418"/>
      <c r="AE26" s="99">
        <f t="shared" si="21"/>
        <v>0</v>
      </c>
      <c r="AF26" s="100">
        <f t="shared" si="15"/>
        <v>0</v>
      </c>
      <c r="AG26" s="351" t="str">
        <f t="shared" si="16"/>
        <v/>
      </c>
      <c r="AH26" s="272" t="str">
        <f t="shared" si="6"/>
        <v/>
      </c>
      <c r="AI26" s="358" t="str">
        <f t="shared" si="7"/>
        <v/>
      </c>
      <c r="AJ26" s="272" t="str">
        <f t="shared" si="8"/>
        <v/>
      </c>
      <c r="AK26" s="361" t="str">
        <f t="shared" si="9"/>
        <v/>
      </c>
      <c r="AL26" s="11"/>
      <c r="AM26" s="11">
        <f>様式３職員名簿および各種加算等一覧!C22</f>
        <v>0</v>
      </c>
      <c r="AN26" s="11">
        <f>様式３職員名簿および各種加算等一覧!I22</f>
        <v>0</v>
      </c>
      <c r="AO26" s="11">
        <f>様式３職員名簿および各種加算等一覧!V22</f>
        <v>0</v>
      </c>
    </row>
    <row r="27" spans="1:41" ht="14.25">
      <c r="A27" s="787"/>
      <c r="B27" s="31" t="s">
        <v>195</v>
      </c>
      <c r="C27" s="184" t="s">
        <v>119</v>
      </c>
      <c r="D27" s="413" t="s">
        <v>24</v>
      </c>
      <c r="E27" s="49">
        <v>0.59722222222222221</v>
      </c>
      <c r="F27" s="49">
        <v>0.81180555555555556</v>
      </c>
      <c r="G27" s="93">
        <f t="shared" si="0"/>
        <v>0.21458333333333335</v>
      </c>
      <c r="H27" s="555">
        <f t="shared" si="10"/>
        <v>4.0972222222222188E-2</v>
      </c>
      <c r="I27" s="556">
        <f t="shared" si="1"/>
        <v>1</v>
      </c>
      <c r="J27" s="94">
        <f t="shared" si="2"/>
        <v>0</v>
      </c>
      <c r="K27" s="32">
        <f t="shared" si="3"/>
        <v>0</v>
      </c>
      <c r="L27" s="95" t="str">
        <f t="shared" si="4"/>
        <v/>
      </c>
      <c r="M27" s="96">
        <f t="shared" si="5"/>
        <v>0</v>
      </c>
      <c r="N27" s="97">
        <f>IF(M27=0,0,IF(SUM($M$5:M27)&gt;251,1,0))</f>
        <v>0</v>
      </c>
      <c r="O27" s="162">
        <v>40</v>
      </c>
      <c r="P27" s="163">
        <v>1</v>
      </c>
      <c r="Q27" s="98"/>
      <c r="R27" s="415" t="s">
        <v>543</v>
      </c>
      <c r="S27" s="99" t="str">
        <f t="shared" si="17"/>
        <v>放課後児童支援員</v>
      </c>
      <c r="T27" s="100" t="str">
        <f t="shared" si="11"/>
        <v>対象</v>
      </c>
      <c r="U27" s="418" t="s">
        <v>539</v>
      </c>
      <c r="V27" s="99" t="str">
        <f t="shared" si="18"/>
        <v>放課後児童支援員</v>
      </c>
      <c r="W27" s="100" t="str">
        <f t="shared" si="12"/>
        <v>対象</v>
      </c>
      <c r="X27" s="418" t="s">
        <v>546</v>
      </c>
      <c r="Y27" s="99" t="str">
        <f t="shared" si="19"/>
        <v>放課後児童支援員</v>
      </c>
      <c r="Z27" s="100" t="str">
        <f t="shared" si="13"/>
        <v>対象</v>
      </c>
      <c r="AA27" s="418"/>
      <c r="AB27" s="99">
        <f t="shared" si="20"/>
        <v>0</v>
      </c>
      <c r="AC27" s="100">
        <f t="shared" si="14"/>
        <v>0</v>
      </c>
      <c r="AD27" s="418"/>
      <c r="AE27" s="99">
        <f t="shared" si="21"/>
        <v>0</v>
      </c>
      <c r="AF27" s="100">
        <f t="shared" si="15"/>
        <v>0</v>
      </c>
      <c r="AG27" s="351" t="str">
        <f t="shared" si="16"/>
        <v/>
      </c>
      <c r="AH27" s="272" t="str">
        <f t="shared" si="6"/>
        <v/>
      </c>
      <c r="AI27" s="358" t="str">
        <f t="shared" si="7"/>
        <v/>
      </c>
      <c r="AJ27" s="272" t="str">
        <f t="shared" si="8"/>
        <v/>
      </c>
      <c r="AK27" s="361" t="str">
        <f t="shared" si="9"/>
        <v/>
      </c>
      <c r="AL27" s="11"/>
      <c r="AM27" s="11">
        <f>様式３職員名簿および各種加算等一覧!C23</f>
        <v>0</v>
      </c>
      <c r="AN27" s="11">
        <f>様式３職員名簿および各種加算等一覧!I23</f>
        <v>0</v>
      </c>
      <c r="AO27" s="11">
        <f>様式３職員名簿および各種加算等一覧!V23</f>
        <v>0</v>
      </c>
    </row>
    <row r="28" spans="1:41" ht="14.25">
      <c r="A28" s="787"/>
      <c r="B28" s="31" t="s">
        <v>196</v>
      </c>
      <c r="C28" s="184" t="s">
        <v>120</v>
      </c>
      <c r="D28" s="413" t="s">
        <v>24</v>
      </c>
      <c r="E28" s="49">
        <v>0.54861111111111105</v>
      </c>
      <c r="F28" s="49">
        <v>0.81180555555555556</v>
      </c>
      <c r="G28" s="93">
        <f t="shared" si="0"/>
        <v>0.26319444444444451</v>
      </c>
      <c r="H28" s="555">
        <f t="shared" si="10"/>
        <v>4.0972222222222188E-2</v>
      </c>
      <c r="I28" s="556">
        <f t="shared" si="1"/>
        <v>1</v>
      </c>
      <c r="J28" s="94">
        <f t="shared" si="2"/>
        <v>0</v>
      </c>
      <c r="K28" s="32">
        <f t="shared" si="3"/>
        <v>0</v>
      </c>
      <c r="L28" s="95" t="str">
        <f t="shared" si="4"/>
        <v/>
      </c>
      <c r="M28" s="96">
        <f t="shared" si="5"/>
        <v>0</v>
      </c>
      <c r="N28" s="97">
        <f>IF(M28=0,0,IF(SUM($M$5:M28)&gt;251,1,0))</f>
        <v>0</v>
      </c>
      <c r="O28" s="162">
        <v>40</v>
      </c>
      <c r="P28" s="163">
        <v>1</v>
      </c>
      <c r="Q28" s="98"/>
      <c r="R28" s="415" t="s">
        <v>543</v>
      </c>
      <c r="S28" s="99" t="str">
        <f t="shared" si="17"/>
        <v>放課後児童支援員</v>
      </c>
      <c r="T28" s="100" t="str">
        <f t="shared" si="11"/>
        <v>対象</v>
      </c>
      <c r="U28" s="418" t="s">
        <v>539</v>
      </c>
      <c r="V28" s="99" t="str">
        <f t="shared" si="18"/>
        <v>放課後児童支援員</v>
      </c>
      <c r="W28" s="100" t="str">
        <f t="shared" si="12"/>
        <v>対象</v>
      </c>
      <c r="X28" s="418" t="s">
        <v>546</v>
      </c>
      <c r="Y28" s="99" t="str">
        <f t="shared" si="19"/>
        <v>放課後児童支援員</v>
      </c>
      <c r="Z28" s="100" t="str">
        <f t="shared" si="13"/>
        <v>対象</v>
      </c>
      <c r="AA28" s="418"/>
      <c r="AB28" s="99">
        <f t="shared" si="20"/>
        <v>0</v>
      </c>
      <c r="AC28" s="100">
        <f t="shared" si="14"/>
        <v>0</v>
      </c>
      <c r="AD28" s="418"/>
      <c r="AE28" s="99">
        <f t="shared" si="21"/>
        <v>0</v>
      </c>
      <c r="AF28" s="100">
        <f t="shared" si="15"/>
        <v>0</v>
      </c>
      <c r="AG28" s="351" t="str">
        <f t="shared" si="16"/>
        <v/>
      </c>
      <c r="AH28" s="272" t="str">
        <f t="shared" si="6"/>
        <v/>
      </c>
      <c r="AI28" s="358" t="str">
        <f t="shared" si="7"/>
        <v/>
      </c>
      <c r="AJ28" s="272" t="str">
        <f t="shared" si="8"/>
        <v/>
      </c>
      <c r="AK28" s="361" t="str">
        <f t="shared" si="9"/>
        <v/>
      </c>
      <c r="AL28" s="11"/>
      <c r="AM28" s="11">
        <f>様式３職員名簿および各種加算等一覧!C24</f>
        <v>0</v>
      </c>
      <c r="AN28" s="11">
        <f>様式３職員名簿および各種加算等一覧!I24</f>
        <v>0</v>
      </c>
      <c r="AO28" s="11">
        <f>様式３職員名簿および各種加算等一覧!V24</f>
        <v>0</v>
      </c>
    </row>
    <row r="29" spans="1:41" ht="14.25">
      <c r="A29" s="787"/>
      <c r="B29" s="31" t="s">
        <v>197</v>
      </c>
      <c r="C29" s="184" t="s">
        <v>121</v>
      </c>
      <c r="D29" s="413" t="s">
        <v>24</v>
      </c>
      <c r="E29" s="49">
        <v>0.59722222222222221</v>
      </c>
      <c r="F29" s="49">
        <v>0.81180555555555556</v>
      </c>
      <c r="G29" s="93">
        <f t="shared" si="0"/>
        <v>0.21458333333333335</v>
      </c>
      <c r="H29" s="555">
        <f t="shared" si="10"/>
        <v>4.0972222222222188E-2</v>
      </c>
      <c r="I29" s="556">
        <f t="shared" si="1"/>
        <v>1</v>
      </c>
      <c r="J29" s="94">
        <f t="shared" si="2"/>
        <v>0</v>
      </c>
      <c r="K29" s="32">
        <f t="shared" si="3"/>
        <v>0</v>
      </c>
      <c r="L29" s="95" t="str">
        <f t="shared" si="4"/>
        <v/>
      </c>
      <c r="M29" s="96">
        <f t="shared" si="5"/>
        <v>0</v>
      </c>
      <c r="N29" s="97">
        <f>IF(M29=0,0,IF(SUM($M$5:M29)&gt;251,1,0))</f>
        <v>0</v>
      </c>
      <c r="O29" s="162">
        <v>40</v>
      </c>
      <c r="P29" s="163">
        <v>1</v>
      </c>
      <c r="Q29" s="98"/>
      <c r="R29" s="415" t="s">
        <v>543</v>
      </c>
      <c r="S29" s="99" t="str">
        <f t="shared" si="17"/>
        <v>放課後児童支援員</v>
      </c>
      <c r="T29" s="100" t="str">
        <f t="shared" si="11"/>
        <v>対象</v>
      </c>
      <c r="U29" s="418" t="s">
        <v>539</v>
      </c>
      <c r="V29" s="99" t="str">
        <f t="shared" si="18"/>
        <v>放課後児童支援員</v>
      </c>
      <c r="W29" s="100" t="str">
        <f t="shared" si="12"/>
        <v>対象</v>
      </c>
      <c r="X29" s="418" t="s">
        <v>546</v>
      </c>
      <c r="Y29" s="99" t="str">
        <f t="shared" si="19"/>
        <v>放課後児童支援員</v>
      </c>
      <c r="Z29" s="100" t="str">
        <f t="shared" si="13"/>
        <v>対象</v>
      </c>
      <c r="AA29" s="418"/>
      <c r="AB29" s="99">
        <f t="shared" si="20"/>
        <v>0</v>
      </c>
      <c r="AC29" s="100">
        <f t="shared" si="14"/>
        <v>0</v>
      </c>
      <c r="AD29" s="418"/>
      <c r="AE29" s="99">
        <f t="shared" si="21"/>
        <v>0</v>
      </c>
      <c r="AF29" s="100">
        <f t="shared" si="15"/>
        <v>0</v>
      </c>
      <c r="AG29" s="351" t="str">
        <f t="shared" si="16"/>
        <v/>
      </c>
      <c r="AH29" s="272" t="str">
        <f t="shared" si="6"/>
        <v/>
      </c>
      <c r="AI29" s="358" t="str">
        <f t="shared" si="7"/>
        <v/>
      </c>
      <c r="AJ29" s="272" t="str">
        <f t="shared" si="8"/>
        <v/>
      </c>
      <c r="AK29" s="361" t="str">
        <f t="shared" si="9"/>
        <v/>
      </c>
      <c r="AL29" s="11"/>
      <c r="AM29" s="11">
        <f>様式３職員名簿および各種加算等一覧!C25</f>
        <v>0</v>
      </c>
      <c r="AN29" s="11">
        <f>様式３職員名簿および各種加算等一覧!I25</f>
        <v>0</v>
      </c>
      <c r="AO29" s="11">
        <f>様式３職員名簿および各種加算等一覧!V25</f>
        <v>0</v>
      </c>
    </row>
    <row r="30" spans="1:41" ht="14.25">
      <c r="A30" s="787"/>
      <c r="B30" s="31" t="s">
        <v>198</v>
      </c>
      <c r="C30" s="184" t="s">
        <v>122</v>
      </c>
      <c r="D30" s="413" t="s">
        <v>173</v>
      </c>
      <c r="E30" s="49"/>
      <c r="F30" s="49"/>
      <c r="G30" s="93">
        <f t="shared" si="0"/>
        <v>0</v>
      </c>
      <c r="H30" s="555" t="str">
        <f t="shared" si="10"/>
        <v>0:00</v>
      </c>
      <c r="I30" s="556">
        <f t="shared" si="1"/>
        <v>0</v>
      </c>
      <c r="J30" s="94">
        <f t="shared" si="2"/>
        <v>0</v>
      </c>
      <c r="K30" s="32">
        <f t="shared" si="3"/>
        <v>0</v>
      </c>
      <c r="L30" s="95" t="str">
        <f t="shared" si="4"/>
        <v/>
      </c>
      <c r="M30" s="96">
        <f t="shared" si="5"/>
        <v>0</v>
      </c>
      <c r="N30" s="97">
        <f>IF(M30=0,0,IF(SUM($M$5:M30)&gt;251,1,0))</f>
        <v>0</v>
      </c>
      <c r="O30" s="162"/>
      <c r="P30" s="163"/>
      <c r="Q30" s="98"/>
      <c r="R30" s="415"/>
      <c r="S30" s="99"/>
      <c r="T30" s="100"/>
      <c r="U30" s="418"/>
      <c r="V30" s="99"/>
      <c r="W30" s="100"/>
      <c r="X30" s="418"/>
      <c r="Y30" s="99"/>
      <c r="Z30" s="100"/>
      <c r="AA30" s="418"/>
      <c r="AB30" s="99"/>
      <c r="AC30" s="100"/>
      <c r="AD30" s="418"/>
      <c r="AE30" s="99"/>
      <c r="AF30" s="100">
        <f t="shared" si="15"/>
        <v>0</v>
      </c>
      <c r="AG30" s="351" t="str">
        <f t="shared" si="16"/>
        <v/>
      </c>
      <c r="AH30" s="272" t="str">
        <f t="shared" si="6"/>
        <v/>
      </c>
      <c r="AI30" s="358" t="str">
        <f t="shared" si="7"/>
        <v/>
      </c>
      <c r="AJ30" s="272" t="str">
        <f t="shared" si="8"/>
        <v/>
      </c>
      <c r="AK30" s="361" t="str">
        <f t="shared" si="9"/>
        <v/>
      </c>
      <c r="AL30" s="11"/>
      <c r="AM30" s="11">
        <f>様式３職員名簿および各種加算等一覧!C26</f>
        <v>0</v>
      </c>
      <c r="AN30" s="11">
        <f>様式３職員名簿および各種加算等一覧!I26</f>
        <v>0</v>
      </c>
      <c r="AO30" s="11">
        <f>様式３職員名簿および各種加算等一覧!V26</f>
        <v>0</v>
      </c>
    </row>
    <row r="31" spans="1:41" ht="14.25">
      <c r="A31" s="787"/>
      <c r="B31" s="31" t="s">
        <v>199</v>
      </c>
      <c r="C31" s="184" t="s">
        <v>183</v>
      </c>
      <c r="D31" s="413" t="s">
        <v>173</v>
      </c>
      <c r="E31" s="49"/>
      <c r="F31" s="49"/>
      <c r="G31" s="93">
        <f t="shared" si="0"/>
        <v>0</v>
      </c>
      <c r="H31" s="555" t="str">
        <f t="shared" si="10"/>
        <v>0:00</v>
      </c>
      <c r="I31" s="556">
        <f t="shared" si="1"/>
        <v>0</v>
      </c>
      <c r="J31" s="94">
        <f t="shared" si="2"/>
        <v>0</v>
      </c>
      <c r="K31" s="32">
        <f t="shared" si="3"/>
        <v>0</v>
      </c>
      <c r="L31" s="95" t="str">
        <f t="shared" si="4"/>
        <v/>
      </c>
      <c r="M31" s="96">
        <f t="shared" si="5"/>
        <v>0</v>
      </c>
      <c r="N31" s="97">
        <f>IF(M31=0,0,IF(SUM($M$5:M31)&gt;251,1,0))</f>
        <v>0</v>
      </c>
      <c r="O31" s="162"/>
      <c r="P31" s="163"/>
      <c r="Q31" s="98"/>
      <c r="R31" s="415"/>
      <c r="S31" s="99"/>
      <c r="T31" s="100"/>
      <c r="U31" s="418"/>
      <c r="V31" s="99"/>
      <c r="W31" s="100"/>
      <c r="X31" s="418"/>
      <c r="Y31" s="99"/>
      <c r="Z31" s="100"/>
      <c r="AA31" s="418"/>
      <c r="AB31" s="99"/>
      <c r="AC31" s="100"/>
      <c r="AD31" s="418"/>
      <c r="AE31" s="99"/>
      <c r="AF31" s="100">
        <f t="shared" si="15"/>
        <v>0</v>
      </c>
      <c r="AG31" s="351" t="str">
        <f t="shared" si="16"/>
        <v/>
      </c>
      <c r="AH31" s="272" t="str">
        <f t="shared" si="6"/>
        <v/>
      </c>
      <c r="AI31" s="358" t="str">
        <f t="shared" si="7"/>
        <v/>
      </c>
      <c r="AJ31" s="272" t="str">
        <f t="shared" si="8"/>
        <v/>
      </c>
      <c r="AK31" s="361" t="str">
        <f t="shared" si="9"/>
        <v/>
      </c>
      <c r="AL31" s="11"/>
      <c r="AM31" s="11">
        <f>様式３職員名簿および各種加算等一覧!C27</f>
        <v>0</v>
      </c>
      <c r="AN31" s="11">
        <f>様式３職員名簿および各種加算等一覧!I27</f>
        <v>0</v>
      </c>
      <c r="AO31" s="11">
        <f>様式３職員名簿および各種加算等一覧!V27</f>
        <v>0</v>
      </c>
    </row>
    <row r="32" spans="1:41" ht="14.25">
      <c r="A32" s="787"/>
      <c r="B32" s="31" t="s">
        <v>200</v>
      </c>
      <c r="C32" s="184" t="s">
        <v>118</v>
      </c>
      <c r="D32" s="413" t="s">
        <v>24</v>
      </c>
      <c r="E32" s="49">
        <v>0.59722222222222221</v>
      </c>
      <c r="F32" s="49">
        <v>0.7715277777777777</v>
      </c>
      <c r="G32" s="93">
        <f t="shared" si="0"/>
        <v>0.17430555555555549</v>
      </c>
      <c r="H32" s="555">
        <f t="shared" si="10"/>
        <v>6.9444444444433095E-4</v>
      </c>
      <c r="I32" s="556">
        <f t="shared" si="1"/>
        <v>1</v>
      </c>
      <c r="J32" s="94">
        <f t="shared" si="2"/>
        <v>0</v>
      </c>
      <c r="K32" s="32">
        <f t="shared" si="3"/>
        <v>0</v>
      </c>
      <c r="L32" s="95" t="str">
        <f t="shared" si="4"/>
        <v/>
      </c>
      <c r="M32" s="96">
        <f t="shared" si="5"/>
        <v>0</v>
      </c>
      <c r="N32" s="97">
        <f>IF(M32=0,0,IF(SUM($M$5:M32)&gt;251,1,0))</f>
        <v>0</v>
      </c>
      <c r="O32" s="162">
        <v>40</v>
      </c>
      <c r="P32" s="163">
        <v>1</v>
      </c>
      <c r="Q32" s="98"/>
      <c r="R32" s="415" t="s">
        <v>543</v>
      </c>
      <c r="S32" s="99" t="str">
        <f t="shared" ref="S32:S33" si="22">VLOOKUP(R32,$AM$12:$AN$31,2,FALSE)</f>
        <v>放課後児童支援員</v>
      </c>
      <c r="T32" s="100" t="str">
        <f t="shared" ref="T32:T33" si="23">VLOOKUP(R32,$AM$12:$AO$31,3,FALSE)</f>
        <v>対象</v>
      </c>
      <c r="U32" s="418" t="s">
        <v>539</v>
      </c>
      <c r="V32" s="99" t="str">
        <f t="shared" ref="V32:V33" si="24">VLOOKUP(U32,$AM$12:$AN$31,2,FALSE)</f>
        <v>放課後児童支援員</v>
      </c>
      <c r="W32" s="100" t="str">
        <f t="shared" ref="W32:W33" si="25">VLOOKUP(U32,$AM$12:$AO$31,3,FALSE)</f>
        <v>対象</v>
      </c>
      <c r="X32" s="418" t="s">
        <v>546</v>
      </c>
      <c r="Y32" s="99" t="str">
        <f t="shared" ref="Y32:Y33" si="26">VLOOKUP(X32,$AM$12:$AN$31,2,FALSE)</f>
        <v>放課後児童支援員</v>
      </c>
      <c r="Z32" s="100" t="str">
        <f t="shared" ref="Z32:Z33" si="27">VLOOKUP(X32,$AM$12:$AO$31,3,FALSE)</f>
        <v>対象</v>
      </c>
      <c r="AA32" s="418"/>
      <c r="AB32" s="99">
        <f t="shared" si="20"/>
        <v>0</v>
      </c>
      <c r="AC32" s="100">
        <f t="shared" si="14"/>
        <v>0</v>
      </c>
      <c r="AD32" s="418"/>
      <c r="AE32" s="99">
        <f t="shared" si="21"/>
        <v>0</v>
      </c>
      <c r="AF32" s="100">
        <f t="shared" si="15"/>
        <v>0</v>
      </c>
      <c r="AG32" s="351" t="str">
        <f t="shared" si="16"/>
        <v/>
      </c>
      <c r="AH32" s="272" t="str">
        <f t="shared" si="6"/>
        <v/>
      </c>
      <c r="AI32" s="358" t="str">
        <f t="shared" si="7"/>
        <v/>
      </c>
      <c r="AJ32" s="272" t="str">
        <f t="shared" si="8"/>
        <v/>
      </c>
      <c r="AK32" s="361" t="str">
        <f t="shared" si="9"/>
        <v/>
      </c>
      <c r="AL32" s="11"/>
      <c r="AM32" s="11"/>
      <c r="AN32" s="11"/>
    </row>
    <row r="33" spans="1:40" ht="14.25">
      <c r="A33" s="787"/>
      <c r="B33" s="31" t="s">
        <v>201</v>
      </c>
      <c r="C33" s="184" t="s">
        <v>123</v>
      </c>
      <c r="D33" s="413" t="s">
        <v>24</v>
      </c>
      <c r="E33" s="49">
        <v>0.59722222222222221</v>
      </c>
      <c r="F33" s="49">
        <v>0.79166666666666663</v>
      </c>
      <c r="G33" s="93">
        <f t="shared" si="0"/>
        <v>0.19444444444444442</v>
      </c>
      <c r="H33" s="555">
        <f t="shared" si="10"/>
        <v>2.0833333333333259E-2</v>
      </c>
      <c r="I33" s="556">
        <f t="shared" si="1"/>
        <v>1</v>
      </c>
      <c r="J33" s="94">
        <f t="shared" si="2"/>
        <v>0</v>
      </c>
      <c r="K33" s="32">
        <f t="shared" si="3"/>
        <v>0</v>
      </c>
      <c r="L33" s="95" t="str">
        <f t="shared" si="4"/>
        <v/>
      </c>
      <c r="M33" s="96">
        <f t="shared" si="5"/>
        <v>0</v>
      </c>
      <c r="N33" s="97">
        <f>IF(M33=0,0,IF(SUM($M$5:M33)&gt;251,1,0))</f>
        <v>0</v>
      </c>
      <c r="O33" s="162">
        <v>40</v>
      </c>
      <c r="P33" s="163">
        <v>1</v>
      </c>
      <c r="Q33" s="98"/>
      <c r="R33" s="415" t="s">
        <v>543</v>
      </c>
      <c r="S33" s="99" t="str">
        <f t="shared" si="22"/>
        <v>放課後児童支援員</v>
      </c>
      <c r="T33" s="100" t="str">
        <f t="shared" si="23"/>
        <v>対象</v>
      </c>
      <c r="U33" s="418" t="s">
        <v>539</v>
      </c>
      <c r="V33" s="99" t="str">
        <f t="shared" si="24"/>
        <v>放課後児童支援員</v>
      </c>
      <c r="W33" s="100" t="str">
        <f t="shared" si="25"/>
        <v>対象</v>
      </c>
      <c r="X33" s="418" t="s">
        <v>546</v>
      </c>
      <c r="Y33" s="99" t="str">
        <f t="shared" si="26"/>
        <v>放課後児童支援員</v>
      </c>
      <c r="Z33" s="100" t="str">
        <f t="shared" si="27"/>
        <v>対象</v>
      </c>
      <c r="AA33" s="418"/>
      <c r="AB33" s="99">
        <f t="shared" si="20"/>
        <v>0</v>
      </c>
      <c r="AC33" s="100">
        <f t="shared" si="14"/>
        <v>0</v>
      </c>
      <c r="AD33" s="418"/>
      <c r="AE33" s="99">
        <f t="shared" si="21"/>
        <v>0</v>
      </c>
      <c r="AF33" s="100">
        <f t="shared" si="15"/>
        <v>0</v>
      </c>
      <c r="AG33" s="351" t="str">
        <f t="shared" si="16"/>
        <v/>
      </c>
      <c r="AH33" s="272" t="str">
        <f t="shared" si="6"/>
        <v/>
      </c>
      <c r="AI33" s="358" t="str">
        <f t="shared" si="7"/>
        <v/>
      </c>
      <c r="AJ33" s="272" t="str">
        <f t="shared" si="8"/>
        <v/>
      </c>
      <c r="AK33" s="361" t="str">
        <f t="shared" si="9"/>
        <v/>
      </c>
      <c r="AL33" s="11" t="s">
        <v>446</v>
      </c>
      <c r="AM33" s="11"/>
      <c r="AN33" s="11"/>
    </row>
    <row r="34" spans="1:40" ht="15" thickBot="1">
      <c r="A34" s="788"/>
      <c r="B34" s="33" t="s">
        <v>202</v>
      </c>
      <c r="C34" s="184" t="s">
        <v>119</v>
      </c>
      <c r="D34" s="413" t="s">
        <v>24</v>
      </c>
      <c r="E34" s="49">
        <v>0.59722222222222221</v>
      </c>
      <c r="F34" s="49">
        <v>0.79166666666666663</v>
      </c>
      <c r="G34" s="101">
        <f t="shared" si="0"/>
        <v>0.19444444444444442</v>
      </c>
      <c r="H34" s="555">
        <f t="shared" si="10"/>
        <v>2.0833333333333259E-2</v>
      </c>
      <c r="I34" s="557">
        <f t="shared" si="1"/>
        <v>1</v>
      </c>
      <c r="J34" s="102">
        <f t="shared" si="2"/>
        <v>0</v>
      </c>
      <c r="K34" s="34">
        <f t="shared" si="3"/>
        <v>0</v>
      </c>
      <c r="L34" s="103" t="str">
        <f t="shared" si="4"/>
        <v/>
      </c>
      <c r="M34" s="104">
        <f t="shared" si="5"/>
        <v>0</v>
      </c>
      <c r="N34" s="105">
        <f>IF(M34=0,0,IF(SUM($M$5:M34)&gt;251,1,0))</f>
        <v>0</v>
      </c>
      <c r="O34" s="162">
        <v>40</v>
      </c>
      <c r="P34" s="163">
        <v>1</v>
      </c>
      <c r="Q34" s="106">
        <f>SUM(O5:O34)</f>
        <v>850</v>
      </c>
      <c r="R34" s="415" t="s">
        <v>543</v>
      </c>
      <c r="S34" s="185" t="str">
        <f t="shared" si="17"/>
        <v>放課後児童支援員</v>
      </c>
      <c r="T34" s="107" t="str">
        <f t="shared" si="11"/>
        <v>対象</v>
      </c>
      <c r="U34" s="418" t="s">
        <v>539</v>
      </c>
      <c r="V34" s="185" t="str">
        <f t="shared" si="18"/>
        <v>放課後児童支援員</v>
      </c>
      <c r="W34" s="107" t="str">
        <f t="shared" si="12"/>
        <v>対象</v>
      </c>
      <c r="X34" s="419" t="s">
        <v>546</v>
      </c>
      <c r="Y34" s="185" t="str">
        <f t="shared" si="19"/>
        <v>放課後児童支援員</v>
      </c>
      <c r="Z34" s="107" t="str">
        <f t="shared" si="13"/>
        <v>対象</v>
      </c>
      <c r="AA34" s="419"/>
      <c r="AB34" s="185">
        <f t="shared" si="20"/>
        <v>0</v>
      </c>
      <c r="AC34" s="107">
        <f t="shared" si="14"/>
        <v>0</v>
      </c>
      <c r="AD34" s="419"/>
      <c r="AE34" s="185">
        <f t="shared" si="21"/>
        <v>0</v>
      </c>
      <c r="AF34" s="107">
        <f t="shared" si="15"/>
        <v>0</v>
      </c>
      <c r="AG34" s="182" t="str">
        <f t="shared" si="16"/>
        <v/>
      </c>
      <c r="AH34" s="273" t="str">
        <f t="shared" si="6"/>
        <v/>
      </c>
      <c r="AI34" s="464" t="str">
        <f t="shared" si="7"/>
        <v/>
      </c>
      <c r="AJ34" s="273" t="str">
        <f t="shared" si="8"/>
        <v/>
      </c>
      <c r="AK34" s="362" t="str">
        <f t="shared" si="9"/>
        <v/>
      </c>
      <c r="AL34" s="11"/>
      <c r="AM34" s="11"/>
      <c r="AN34" s="11"/>
    </row>
    <row r="35" spans="1:40" ht="14.25">
      <c r="A35" s="786" t="s">
        <v>135</v>
      </c>
      <c r="B35" s="27" t="s">
        <v>170</v>
      </c>
      <c r="C35" s="184" t="s">
        <v>120</v>
      </c>
      <c r="D35" s="413" t="s">
        <v>24</v>
      </c>
      <c r="E35" s="49">
        <v>0.54861111111111105</v>
      </c>
      <c r="F35" s="49">
        <v>0.79166666666666663</v>
      </c>
      <c r="G35" s="85">
        <f t="shared" si="0"/>
        <v>0.24305555555555558</v>
      </c>
      <c r="H35" s="555">
        <f t="shared" si="10"/>
        <v>2.0833333333333259E-2</v>
      </c>
      <c r="I35" s="558">
        <f t="shared" si="1"/>
        <v>1</v>
      </c>
      <c r="J35" s="86">
        <f t="shared" si="2"/>
        <v>0</v>
      </c>
      <c r="K35" s="29">
        <f t="shared" si="3"/>
        <v>0</v>
      </c>
      <c r="L35" s="87" t="str">
        <f t="shared" si="4"/>
        <v/>
      </c>
      <c r="M35" s="88">
        <f t="shared" si="5"/>
        <v>0</v>
      </c>
      <c r="N35" s="89">
        <f>IF(M35=0,0,IF(SUM($M$5:M35)&gt;251,1,0))</f>
        <v>0</v>
      </c>
      <c r="O35" s="162">
        <v>40</v>
      </c>
      <c r="P35" s="163">
        <v>1</v>
      </c>
      <c r="Q35" s="90"/>
      <c r="R35" s="415" t="s">
        <v>543</v>
      </c>
      <c r="S35" s="91" t="str">
        <f t="shared" si="17"/>
        <v>放課後児童支援員</v>
      </c>
      <c r="T35" s="92" t="str">
        <f t="shared" si="11"/>
        <v>対象</v>
      </c>
      <c r="U35" s="418" t="s">
        <v>539</v>
      </c>
      <c r="V35" s="91" t="str">
        <f t="shared" si="18"/>
        <v>放課後児童支援員</v>
      </c>
      <c r="W35" s="92" t="str">
        <f t="shared" si="12"/>
        <v>対象</v>
      </c>
      <c r="X35" s="417" t="s">
        <v>546</v>
      </c>
      <c r="Y35" s="91" t="str">
        <f t="shared" si="19"/>
        <v>放課後児童支援員</v>
      </c>
      <c r="Z35" s="92" t="str">
        <f t="shared" si="13"/>
        <v>対象</v>
      </c>
      <c r="AA35" s="417"/>
      <c r="AB35" s="91">
        <f t="shared" si="20"/>
        <v>0</v>
      </c>
      <c r="AC35" s="92">
        <f t="shared" si="14"/>
        <v>0</v>
      </c>
      <c r="AD35" s="417"/>
      <c r="AE35" s="91">
        <f t="shared" si="21"/>
        <v>0</v>
      </c>
      <c r="AF35" s="92">
        <f t="shared" si="15"/>
        <v>0</v>
      </c>
      <c r="AG35" s="363" t="str">
        <f t="shared" si="16"/>
        <v/>
      </c>
      <c r="AH35" s="359" t="str">
        <f t="shared" si="6"/>
        <v/>
      </c>
      <c r="AI35" s="359" t="str">
        <f t="shared" si="7"/>
        <v/>
      </c>
      <c r="AJ35" s="359" t="str">
        <f t="shared" si="8"/>
        <v/>
      </c>
      <c r="AK35" s="360" t="str">
        <f t="shared" si="9"/>
        <v/>
      </c>
      <c r="AL35" s="11"/>
      <c r="AM35" s="11"/>
      <c r="AN35" s="11"/>
    </row>
    <row r="36" spans="1:40" ht="14.25">
      <c r="A36" s="787"/>
      <c r="B36" s="31" t="s">
        <v>172</v>
      </c>
      <c r="C36" s="184" t="s">
        <v>121</v>
      </c>
      <c r="D36" s="413" t="s">
        <v>24</v>
      </c>
      <c r="E36" s="49">
        <v>0.59722222222222221</v>
      </c>
      <c r="F36" s="49">
        <v>0.80555555555555547</v>
      </c>
      <c r="G36" s="93">
        <f t="shared" si="0"/>
        <v>0.20833333333333326</v>
      </c>
      <c r="H36" s="555">
        <f t="shared" si="10"/>
        <v>3.4722222222222099E-2</v>
      </c>
      <c r="I36" s="556">
        <f t="shared" si="1"/>
        <v>1</v>
      </c>
      <c r="J36" s="94">
        <f t="shared" si="2"/>
        <v>0</v>
      </c>
      <c r="K36" s="32">
        <f t="shared" si="3"/>
        <v>0</v>
      </c>
      <c r="L36" s="95" t="str">
        <f t="shared" si="4"/>
        <v/>
      </c>
      <c r="M36" s="96">
        <f t="shared" si="5"/>
        <v>0</v>
      </c>
      <c r="N36" s="97">
        <f>IF(M36=0,0,IF(SUM($M$5:M36)&gt;251,1,0))</f>
        <v>0</v>
      </c>
      <c r="O36" s="162">
        <v>40</v>
      </c>
      <c r="P36" s="163">
        <v>1</v>
      </c>
      <c r="Q36" s="98"/>
      <c r="R36" s="415" t="s">
        <v>543</v>
      </c>
      <c r="S36" s="99" t="str">
        <f t="shared" si="17"/>
        <v>放課後児童支援員</v>
      </c>
      <c r="T36" s="100" t="str">
        <f t="shared" si="11"/>
        <v>対象</v>
      </c>
      <c r="U36" s="418" t="s">
        <v>539</v>
      </c>
      <c r="V36" s="99" t="str">
        <f t="shared" si="18"/>
        <v>放課後児童支援員</v>
      </c>
      <c r="W36" s="100" t="str">
        <f t="shared" si="12"/>
        <v>対象</v>
      </c>
      <c r="X36" s="418" t="s">
        <v>546</v>
      </c>
      <c r="Y36" s="99" t="str">
        <f t="shared" si="19"/>
        <v>放課後児童支援員</v>
      </c>
      <c r="Z36" s="100" t="str">
        <f t="shared" si="13"/>
        <v>対象</v>
      </c>
      <c r="AA36" s="418"/>
      <c r="AB36" s="99">
        <f t="shared" si="20"/>
        <v>0</v>
      </c>
      <c r="AC36" s="100">
        <f t="shared" si="14"/>
        <v>0</v>
      </c>
      <c r="AD36" s="418"/>
      <c r="AE36" s="99">
        <f t="shared" si="21"/>
        <v>0</v>
      </c>
      <c r="AF36" s="100">
        <f t="shared" si="15"/>
        <v>0</v>
      </c>
      <c r="AG36" s="351" t="str">
        <f t="shared" si="16"/>
        <v/>
      </c>
      <c r="AH36" s="272" t="str">
        <f t="shared" si="6"/>
        <v/>
      </c>
      <c r="AI36" s="358" t="str">
        <f t="shared" si="7"/>
        <v/>
      </c>
      <c r="AJ36" s="272" t="str">
        <f t="shared" si="8"/>
        <v/>
      </c>
      <c r="AK36" s="361" t="str">
        <f t="shared" si="9"/>
        <v/>
      </c>
      <c r="AL36" s="11"/>
      <c r="AM36" s="11"/>
      <c r="AN36" s="11"/>
    </row>
    <row r="37" spans="1:40" ht="14.25">
      <c r="A37" s="787"/>
      <c r="B37" s="31" t="s">
        <v>174</v>
      </c>
      <c r="C37" s="184" t="s">
        <v>122</v>
      </c>
      <c r="D37" s="413" t="s">
        <v>171</v>
      </c>
      <c r="E37" s="49">
        <v>0.33333333333333331</v>
      </c>
      <c r="F37" s="49">
        <v>0.70833333333333337</v>
      </c>
      <c r="G37" s="93">
        <f t="shared" si="0"/>
        <v>0.37500000000000006</v>
      </c>
      <c r="H37" s="555" t="str">
        <f t="shared" si="10"/>
        <v>0:00</v>
      </c>
      <c r="I37" s="556">
        <f t="shared" si="1"/>
        <v>0</v>
      </c>
      <c r="J37" s="94">
        <f t="shared" si="2"/>
        <v>4.1666666666666741E-2</v>
      </c>
      <c r="K37" s="32">
        <f t="shared" si="3"/>
        <v>1</v>
      </c>
      <c r="L37" s="95" t="str">
        <f t="shared" si="4"/>
        <v/>
      </c>
      <c r="M37" s="96">
        <f t="shared" si="5"/>
        <v>1</v>
      </c>
      <c r="N37" s="97">
        <f>IF(M37=0,0,IF(SUM($M$5:M37)&gt;251,1,0))</f>
        <v>0</v>
      </c>
      <c r="O37" s="162">
        <v>5</v>
      </c>
      <c r="P37" s="163">
        <v>0</v>
      </c>
      <c r="Q37" s="98"/>
      <c r="R37" s="415" t="s">
        <v>543</v>
      </c>
      <c r="S37" s="99" t="str">
        <f t="shared" ref="S37" si="28">VLOOKUP(R37,$AM$12:$AN$31,2,FALSE)</f>
        <v>放課後児童支援員</v>
      </c>
      <c r="T37" s="100" t="str">
        <f t="shared" ref="T37" si="29">VLOOKUP(R37,$AM$12:$AO$31,3,FALSE)</f>
        <v>対象</v>
      </c>
      <c r="U37" s="418" t="s">
        <v>539</v>
      </c>
      <c r="V37" s="99" t="str">
        <f t="shared" ref="V37" si="30">VLOOKUP(U37,$AM$12:$AN$31,2,FALSE)</f>
        <v>放課後児童支援員</v>
      </c>
      <c r="W37" s="100" t="str">
        <f t="shared" ref="W37" si="31">VLOOKUP(U37,$AM$12:$AO$31,3,FALSE)</f>
        <v>対象</v>
      </c>
      <c r="X37" s="418" t="s">
        <v>546</v>
      </c>
      <c r="Y37" s="99" t="str">
        <f t="shared" ref="Y37" si="32">VLOOKUP(X37,$AM$12:$AN$31,2,FALSE)</f>
        <v>放課後児童支援員</v>
      </c>
      <c r="Z37" s="100" t="str">
        <f t="shared" ref="Z37" si="33">VLOOKUP(X37,$AM$12:$AO$31,3,FALSE)</f>
        <v>対象</v>
      </c>
      <c r="AA37" s="418"/>
      <c r="AB37" s="99">
        <f t="shared" si="20"/>
        <v>0</v>
      </c>
      <c r="AC37" s="100">
        <f t="shared" si="14"/>
        <v>0</v>
      </c>
      <c r="AD37" s="418"/>
      <c r="AE37" s="99">
        <f t="shared" si="21"/>
        <v>0</v>
      </c>
      <c r="AF37" s="100">
        <f t="shared" si="15"/>
        <v>0</v>
      </c>
      <c r="AG37" s="351" t="str">
        <f t="shared" si="16"/>
        <v/>
      </c>
      <c r="AH37" s="272" t="str">
        <f t="shared" si="6"/>
        <v/>
      </c>
      <c r="AI37" s="358" t="str">
        <f t="shared" si="7"/>
        <v/>
      </c>
      <c r="AJ37" s="272" t="str">
        <f t="shared" si="8"/>
        <v/>
      </c>
      <c r="AK37" s="361" t="str">
        <f t="shared" si="9"/>
        <v/>
      </c>
      <c r="AL37" s="11"/>
      <c r="AM37" s="11"/>
      <c r="AN37" s="11"/>
    </row>
    <row r="38" spans="1:40" ht="14.25">
      <c r="A38" s="787"/>
      <c r="B38" s="31" t="s">
        <v>175</v>
      </c>
      <c r="C38" s="184" t="s">
        <v>183</v>
      </c>
      <c r="D38" s="413" t="s">
        <v>173</v>
      </c>
      <c r="E38" s="49"/>
      <c r="F38" s="49"/>
      <c r="G38" s="93">
        <f t="shared" si="0"/>
        <v>0</v>
      </c>
      <c r="H38" s="555" t="str">
        <f t="shared" si="10"/>
        <v>0:00</v>
      </c>
      <c r="I38" s="556">
        <f t="shared" si="1"/>
        <v>0</v>
      </c>
      <c r="J38" s="94">
        <f t="shared" si="2"/>
        <v>0</v>
      </c>
      <c r="K38" s="32">
        <f t="shared" si="3"/>
        <v>0</v>
      </c>
      <c r="L38" s="95" t="str">
        <f t="shared" si="4"/>
        <v/>
      </c>
      <c r="M38" s="96">
        <f t="shared" si="5"/>
        <v>0</v>
      </c>
      <c r="N38" s="97">
        <f>IF(M38=0,0,IF(SUM($M$5:M38)&gt;251,1,0))</f>
        <v>0</v>
      </c>
      <c r="O38" s="162"/>
      <c r="P38" s="163"/>
      <c r="Q38" s="98"/>
      <c r="R38" s="415"/>
      <c r="S38" s="99"/>
      <c r="T38" s="100"/>
      <c r="U38" s="418"/>
      <c r="V38" s="99"/>
      <c r="W38" s="100"/>
      <c r="X38" s="418"/>
      <c r="Y38" s="99"/>
      <c r="Z38" s="100"/>
      <c r="AA38" s="418"/>
      <c r="AB38" s="99">
        <f t="shared" si="20"/>
        <v>0</v>
      </c>
      <c r="AC38" s="100">
        <f t="shared" si="14"/>
        <v>0</v>
      </c>
      <c r="AD38" s="418"/>
      <c r="AE38" s="99">
        <f t="shared" si="21"/>
        <v>0</v>
      </c>
      <c r="AF38" s="100">
        <f t="shared" si="15"/>
        <v>0</v>
      </c>
      <c r="AG38" s="351" t="str">
        <f t="shared" si="16"/>
        <v/>
      </c>
      <c r="AH38" s="272" t="str">
        <f t="shared" si="6"/>
        <v/>
      </c>
      <c r="AI38" s="358" t="str">
        <f t="shared" si="7"/>
        <v/>
      </c>
      <c r="AJ38" s="272" t="str">
        <f t="shared" si="8"/>
        <v/>
      </c>
      <c r="AK38" s="361" t="str">
        <f t="shared" si="9"/>
        <v/>
      </c>
      <c r="AL38" s="11"/>
      <c r="AM38" s="11"/>
      <c r="AN38" s="11"/>
    </row>
    <row r="39" spans="1:40" ht="14.25">
      <c r="A39" s="787"/>
      <c r="B39" s="31" t="s">
        <v>176</v>
      </c>
      <c r="C39" s="184" t="s">
        <v>118</v>
      </c>
      <c r="D39" s="413" t="s">
        <v>24</v>
      </c>
      <c r="E39" s="49">
        <v>0.59722222222222221</v>
      </c>
      <c r="F39" s="49">
        <v>0.7715277777777777</v>
      </c>
      <c r="G39" s="93">
        <f t="shared" si="0"/>
        <v>0.17430555555555549</v>
      </c>
      <c r="H39" s="555">
        <f t="shared" si="10"/>
        <v>6.9444444444433095E-4</v>
      </c>
      <c r="I39" s="556">
        <f t="shared" si="1"/>
        <v>1</v>
      </c>
      <c r="J39" s="94">
        <f t="shared" si="2"/>
        <v>0</v>
      </c>
      <c r="K39" s="32">
        <f t="shared" si="3"/>
        <v>0</v>
      </c>
      <c r="L39" s="95" t="str">
        <f t="shared" si="4"/>
        <v/>
      </c>
      <c r="M39" s="96">
        <f t="shared" si="5"/>
        <v>0</v>
      </c>
      <c r="N39" s="97">
        <f>IF(M39=0,0,IF(SUM($M$5:M39)&gt;251,1,0))</f>
        <v>0</v>
      </c>
      <c r="O39" s="162">
        <v>40</v>
      </c>
      <c r="P39" s="163">
        <v>1</v>
      </c>
      <c r="Q39" s="98"/>
      <c r="R39" s="415" t="s">
        <v>543</v>
      </c>
      <c r="S39" s="99" t="str">
        <f t="shared" ref="S39:S40" si="34">VLOOKUP(R39,$AM$12:$AN$31,2,FALSE)</f>
        <v>放課後児童支援員</v>
      </c>
      <c r="T39" s="100" t="str">
        <f t="shared" ref="T39:T40" si="35">VLOOKUP(R39,$AM$12:$AO$31,3,FALSE)</f>
        <v>対象</v>
      </c>
      <c r="U39" s="418" t="s">
        <v>539</v>
      </c>
      <c r="V39" s="99" t="str">
        <f t="shared" ref="V39:V40" si="36">VLOOKUP(U39,$AM$12:$AN$31,2,FALSE)</f>
        <v>放課後児童支援員</v>
      </c>
      <c r="W39" s="100" t="str">
        <f t="shared" ref="W39:W40" si="37">VLOOKUP(U39,$AM$12:$AO$31,3,FALSE)</f>
        <v>対象</v>
      </c>
      <c r="X39" s="418" t="s">
        <v>546</v>
      </c>
      <c r="Y39" s="99" t="str">
        <f t="shared" ref="Y39:Y40" si="38">VLOOKUP(X39,$AM$12:$AN$31,2,FALSE)</f>
        <v>放課後児童支援員</v>
      </c>
      <c r="Z39" s="100" t="str">
        <f t="shared" ref="Z39:Z40" si="39">VLOOKUP(X39,$AM$12:$AO$31,3,FALSE)</f>
        <v>対象</v>
      </c>
      <c r="AA39" s="418"/>
      <c r="AB39" s="99">
        <f t="shared" si="20"/>
        <v>0</v>
      </c>
      <c r="AC39" s="100">
        <f t="shared" si="14"/>
        <v>0</v>
      </c>
      <c r="AD39" s="418"/>
      <c r="AE39" s="99">
        <f t="shared" si="21"/>
        <v>0</v>
      </c>
      <c r="AF39" s="100">
        <f t="shared" si="15"/>
        <v>0</v>
      </c>
      <c r="AG39" s="351" t="str">
        <f t="shared" si="16"/>
        <v/>
      </c>
      <c r="AH39" s="272" t="str">
        <f t="shared" si="6"/>
        <v/>
      </c>
      <c r="AI39" s="358" t="str">
        <f t="shared" si="7"/>
        <v/>
      </c>
      <c r="AJ39" s="272" t="str">
        <f t="shared" si="8"/>
        <v/>
      </c>
      <c r="AK39" s="361" t="str">
        <f t="shared" si="9"/>
        <v/>
      </c>
      <c r="AL39" s="11"/>
      <c r="AM39" s="11"/>
      <c r="AN39" s="11"/>
    </row>
    <row r="40" spans="1:40" ht="14.25">
      <c r="A40" s="787"/>
      <c r="B40" s="31" t="s">
        <v>177</v>
      </c>
      <c r="C40" s="184" t="s">
        <v>123</v>
      </c>
      <c r="D40" s="413" t="s">
        <v>24</v>
      </c>
      <c r="E40" s="49">
        <v>0.59722222222222221</v>
      </c>
      <c r="F40" s="49">
        <v>0.79166666666666663</v>
      </c>
      <c r="G40" s="93">
        <f t="shared" si="0"/>
        <v>0.19444444444444442</v>
      </c>
      <c r="H40" s="555">
        <f t="shared" si="10"/>
        <v>2.0833333333333259E-2</v>
      </c>
      <c r="I40" s="556">
        <f t="shared" si="1"/>
        <v>1</v>
      </c>
      <c r="J40" s="94">
        <f t="shared" si="2"/>
        <v>0</v>
      </c>
      <c r="K40" s="32">
        <f t="shared" si="3"/>
        <v>0</v>
      </c>
      <c r="L40" s="95" t="str">
        <f t="shared" si="4"/>
        <v/>
      </c>
      <c r="M40" s="96">
        <f t="shared" si="5"/>
        <v>0</v>
      </c>
      <c r="N40" s="97">
        <f>IF(M40=0,0,IF(SUM($M$5:M40)&gt;251,1,0))</f>
        <v>0</v>
      </c>
      <c r="O40" s="162">
        <v>40</v>
      </c>
      <c r="P40" s="163">
        <v>1</v>
      </c>
      <c r="Q40" s="98"/>
      <c r="R40" s="415" t="s">
        <v>543</v>
      </c>
      <c r="S40" s="99" t="str">
        <f t="shared" si="34"/>
        <v>放課後児童支援員</v>
      </c>
      <c r="T40" s="100" t="str">
        <f t="shared" si="35"/>
        <v>対象</v>
      </c>
      <c r="U40" s="418" t="s">
        <v>539</v>
      </c>
      <c r="V40" s="99" t="str">
        <f t="shared" si="36"/>
        <v>放課後児童支援員</v>
      </c>
      <c r="W40" s="100" t="str">
        <f t="shared" si="37"/>
        <v>対象</v>
      </c>
      <c r="X40" s="418" t="s">
        <v>546</v>
      </c>
      <c r="Y40" s="99" t="str">
        <f t="shared" si="38"/>
        <v>放課後児童支援員</v>
      </c>
      <c r="Z40" s="100" t="str">
        <f t="shared" si="39"/>
        <v>対象</v>
      </c>
      <c r="AA40" s="418"/>
      <c r="AB40" s="99">
        <f t="shared" si="20"/>
        <v>0</v>
      </c>
      <c r="AC40" s="100">
        <f t="shared" si="14"/>
        <v>0</v>
      </c>
      <c r="AD40" s="418"/>
      <c r="AE40" s="99">
        <f t="shared" si="21"/>
        <v>0</v>
      </c>
      <c r="AF40" s="100">
        <f t="shared" si="15"/>
        <v>0</v>
      </c>
      <c r="AG40" s="351" t="str">
        <f t="shared" si="16"/>
        <v/>
      </c>
      <c r="AH40" s="272" t="str">
        <f t="shared" si="6"/>
        <v/>
      </c>
      <c r="AI40" s="358" t="str">
        <f t="shared" si="7"/>
        <v/>
      </c>
      <c r="AJ40" s="272" t="str">
        <f t="shared" si="8"/>
        <v/>
      </c>
      <c r="AK40" s="361" t="str">
        <f t="shared" si="9"/>
        <v/>
      </c>
      <c r="AL40" s="11"/>
      <c r="AM40" s="11"/>
      <c r="AN40" s="11"/>
    </row>
    <row r="41" spans="1:40" ht="14.25">
      <c r="A41" s="787"/>
      <c r="B41" s="31" t="s">
        <v>178</v>
      </c>
      <c r="C41" s="184" t="s">
        <v>119</v>
      </c>
      <c r="D41" s="413" t="s">
        <v>24</v>
      </c>
      <c r="E41" s="49">
        <v>0.59722222222222221</v>
      </c>
      <c r="F41" s="49">
        <v>0.79166666666666663</v>
      </c>
      <c r="G41" s="93">
        <f t="shared" si="0"/>
        <v>0.19444444444444442</v>
      </c>
      <c r="H41" s="555">
        <f t="shared" si="10"/>
        <v>2.0833333333333259E-2</v>
      </c>
      <c r="I41" s="556">
        <f t="shared" si="1"/>
        <v>1</v>
      </c>
      <c r="J41" s="94">
        <f t="shared" si="2"/>
        <v>0</v>
      </c>
      <c r="K41" s="32">
        <f t="shared" si="3"/>
        <v>0</v>
      </c>
      <c r="L41" s="95" t="str">
        <f t="shared" si="4"/>
        <v/>
      </c>
      <c r="M41" s="96">
        <f t="shared" si="5"/>
        <v>0</v>
      </c>
      <c r="N41" s="97">
        <f>IF(M41=0,0,IF(SUM($M$5:M41)&gt;251,1,0))</f>
        <v>0</v>
      </c>
      <c r="O41" s="162">
        <v>40</v>
      </c>
      <c r="P41" s="163">
        <v>1</v>
      </c>
      <c r="Q41" s="98"/>
      <c r="R41" s="415" t="s">
        <v>543</v>
      </c>
      <c r="S41" s="99" t="str">
        <f t="shared" si="17"/>
        <v>放課後児童支援員</v>
      </c>
      <c r="T41" s="100" t="str">
        <f t="shared" si="11"/>
        <v>対象</v>
      </c>
      <c r="U41" s="418" t="s">
        <v>539</v>
      </c>
      <c r="V41" s="99" t="str">
        <f t="shared" si="18"/>
        <v>放課後児童支援員</v>
      </c>
      <c r="W41" s="100" t="str">
        <f t="shared" si="12"/>
        <v>対象</v>
      </c>
      <c r="X41" s="418" t="s">
        <v>546</v>
      </c>
      <c r="Y41" s="99" t="str">
        <f t="shared" si="19"/>
        <v>放課後児童支援員</v>
      </c>
      <c r="Z41" s="100" t="str">
        <f t="shared" si="13"/>
        <v>対象</v>
      </c>
      <c r="AA41" s="418"/>
      <c r="AB41" s="99">
        <f t="shared" si="20"/>
        <v>0</v>
      </c>
      <c r="AC41" s="100">
        <f t="shared" si="14"/>
        <v>0</v>
      </c>
      <c r="AD41" s="418"/>
      <c r="AE41" s="99">
        <f t="shared" si="21"/>
        <v>0</v>
      </c>
      <c r="AF41" s="100">
        <f t="shared" si="15"/>
        <v>0</v>
      </c>
      <c r="AG41" s="351" t="str">
        <f t="shared" si="16"/>
        <v/>
      </c>
      <c r="AH41" s="272" t="str">
        <f t="shared" si="6"/>
        <v/>
      </c>
      <c r="AI41" s="358" t="str">
        <f t="shared" si="7"/>
        <v/>
      </c>
      <c r="AJ41" s="272" t="str">
        <f t="shared" si="8"/>
        <v/>
      </c>
      <c r="AK41" s="361" t="str">
        <f t="shared" si="9"/>
        <v/>
      </c>
      <c r="AL41" s="11"/>
      <c r="AM41" s="11"/>
      <c r="AN41" s="11"/>
    </row>
    <row r="42" spans="1:40" ht="14.25">
      <c r="A42" s="787"/>
      <c r="B42" s="31" t="s">
        <v>179</v>
      </c>
      <c r="C42" s="184" t="s">
        <v>120</v>
      </c>
      <c r="D42" s="413" t="s">
        <v>24</v>
      </c>
      <c r="E42" s="49">
        <v>0.54861111111111105</v>
      </c>
      <c r="F42" s="49">
        <v>0.79166666666666663</v>
      </c>
      <c r="G42" s="93">
        <f t="shared" si="0"/>
        <v>0.24305555555555558</v>
      </c>
      <c r="H42" s="555">
        <f t="shared" si="10"/>
        <v>2.0833333333333259E-2</v>
      </c>
      <c r="I42" s="556">
        <f t="shared" si="1"/>
        <v>1</v>
      </c>
      <c r="J42" s="94">
        <f t="shared" si="2"/>
        <v>0</v>
      </c>
      <c r="K42" s="32">
        <f t="shared" si="3"/>
        <v>0</v>
      </c>
      <c r="L42" s="95" t="str">
        <f t="shared" si="4"/>
        <v/>
      </c>
      <c r="M42" s="96">
        <f t="shared" si="5"/>
        <v>0</v>
      </c>
      <c r="N42" s="97">
        <f>IF(M42=0,0,IF(SUM($M$5:M42)&gt;251,1,0))</f>
        <v>0</v>
      </c>
      <c r="O42" s="162">
        <v>40</v>
      </c>
      <c r="P42" s="163">
        <v>1</v>
      </c>
      <c r="Q42" s="98"/>
      <c r="R42" s="415" t="s">
        <v>543</v>
      </c>
      <c r="S42" s="99" t="str">
        <f t="shared" si="17"/>
        <v>放課後児童支援員</v>
      </c>
      <c r="T42" s="100" t="str">
        <f t="shared" si="11"/>
        <v>対象</v>
      </c>
      <c r="U42" s="418" t="s">
        <v>539</v>
      </c>
      <c r="V42" s="99" t="str">
        <f t="shared" si="18"/>
        <v>放課後児童支援員</v>
      </c>
      <c r="W42" s="100" t="str">
        <f t="shared" si="12"/>
        <v>対象</v>
      </c>
      <c r="X42" s="418" t="s">
        <v>546</v>
      </c>
      <c r="Y42" s="99" t="str">
        <f t="shared" si="19"/>
        <v>放課後児童支援員</v>
      </c>
      <c r="Z42" s="100" t="str">
        <f t="shared" si="13"/>
        <v>対象</v>
      </c>
      <c r="AA42" s="418"/>
      <c r="AB42" s="99">
        <f t="shared" si="20"/>
        <v>0</v>
      </c>
      <c r="AC42" s="100">
        <f t="shared" si="14"/>
        <v>0</v>
      </c>
      <c r="AD42" s="418"/>
      <c r="AE42" s="99">
        <f t="shared" si="21"/>
        <v>0</v>
      </c>
      <c r="AF42" s="100">
        <f t="shared" si="15"/>
        <v>0</v>
      </c>
      <c r="AG42" s="351" t="str">
        <f t="shared" si="16"/>
        <v/>
      </c>
      <c r="AH42" s="272" t="str">
        <f t="shared" si="6"/>
        <v/>
      </c>
      <c r="AI42" s="358" t="str">
        <f t="shared" si="7"/>
        <v/>
      </c>
      <c r="AJ42" s="272" t="str">
        <f t="shared" si="8"/>
        <v/>
      </c>
      <c r="AK42" s="361" t="str">
        <f t="shared" si="9"/>
        <v/>
      </c>
      <c r="AL42" s="11"/>
      <c r="AM42" s="11"/>
      <c r="AN42" s="11"/>
    </row>
    <row r="43" spans="1:40" ht="14.25">
      <c r="A43" s="787"/>
      <c r="B43" s="31" t="s">
        <v>180</v>
      </c>
      <c r="C43" s="184" t="s">
        <v>121</v>
      </c>
      <c r="D43" s="413" t="s">
        <v>24</v>
      </c>
      <c r="E43" s="49">
        <v>0.59722222222222221</v>
      </c>
      <c r="F43" s="49">
        <v>0.80555555555555547</v>
      </c>
      <c r="G43" s="93">
        <f t="shared" si="0"/>
        <v>0.20833333333333326</v>
      </c>
      <c r="H43" s="555">
        <f t="shared" si="10"/>
        <v>3.4722222222222099E-2</v>
      </c>
      <c r="I43" s="556">
        <f t="shared" si="1"/>
        <v>1</v>
      </c>
      <c r="J43" s="94">
        <f t="shared" si="2"/>
        <v>0</v>
      </c>
      <c r="K43" s="32">
        <f t="shared" si="3"/>
        <v>0</v>
      </c>
      <c r="L43" s="95" t="str">
        <f t="shared" si="4"/>
        <v/>
      </c>
      <c r="M43" s="96">
        <f t="shared" si="5"/>
        <v>0</v>
      </c>
      <c r="N43" s="97">
        <f>IF(M43=0,0,IF(SUM($M$5:M43)&gt;251,1,0))</f>
        <v>0</v>
      </c>
      <c r="O43" s="162">
        <v>40</v>
      </c>
      <c r="P43" s="163">
        <v>1</v>
      </c>
      <c r="Q43" s="98"/>
      <c r="R43" s="415" t="s">
        <v>543</v>
      </c>
      <c r="S43" s="99" t="str">
        <f t="shared" si="17"/>
        <v>放課後児童支援員</v>
      </c>
      <c r="T43" s="100" t="str">
        <f t="shared" si="11"/>
        <v>対象</v>
      </c>
      <c r="U43" s="418" t="s">
        <v>539</v>
      </c>
      <c r="V43" s="99" t="str">
        <f t="shared" si="18"/>
        <v>放課後児童支援員</v>
      </c>
      <c r="W43" s="100" t="str">
        <f t="shared" si="12"/>
        <v>対象</v>
      </c>
      <c r="X43" s="418" t="s">
        <v>546</v>
      </c>
      <c r="Y43" s="99" t="str">
        <f t="shared" si="19"/>
        <v>放課後児童支援員</v>
      </c>
      <c r="Z43" s="100" t="str">
        <f t="shared" si="13"/>
        <v>対象</v>
      </c>
      <c r="AA43" s="418"/>
      <c r="AB43" s="99">
        <f t="shared" si="20"/>
        <v>0</v>
      </c>
      <c r="AC43" s="100">
        <f t="shared" si="14"/>
        <v>0</v>
      </c>
      <c r="AD43" s="418"/>
      <c r="AE43" s="99">
        <f t="shared" si="21"/>
        <v>0</v>
      </c>
      <c r="AF43" s="100">
        <f t="shared" si="15"/>
        <v>0</v>
      </c>
      <c r="AG43" s="351" t="str">
        <f t="shared" si="16"/>
        <v/>
      </c>
      <c r="AH43" s="272" t="str">
        <f t="shared" si="6"/>
        <v/>
      </c>
      <c r="AI43" s="358" t="str">
        <f t="shared" si="7"/>
        <v/>
      </c>
      <c r="AJ43" s="272" t="str">
        <f t="shared" si="8"/>
        <v/>
      </c>
      <c r="AK43" s="361" t="str">
        <f t="shared" si="9"/>
        <v/>
      </c>
      <c r="AL43" s="11"/>
      <c r="AM43" s="11"/>
      <c r="AN43" s="11"/>
    </row>
    <row r="44" spans="1:40" ht="14.25">
      <c r="A44" s="787"/>
      <c r="B44" s="31" t="s">
        <v>181</v>
      </c>
      <c r="C44" s="184" t="s">
        <v>122</v>
      </c>
      <c r="D44" s="413" t="s">
        <v>173</v>
      </c>
      <c r="E44" s="49"/>
      <c r="F44" s="49"/>
      <c r="G44" s="93">
        <f t="shared" si="0"/>
        <v>0</v>
      </c>
      <c r="H44" s="555" t="str">
        <f t="shared" si="10"/>
        <v>0:00</v>
      </c>
      <c r="I44" s="556">
        <f t="shared" si="1"/>
        <v>0</v>
      </c>
      <c r="J44" s="94">
        <f t="shared" si="2"/>
        <v>0</v>
      </c>
      <c r="K44" s="32">
        <f t="shared" si="3"/>
        <v>0</v>
      </c>
      <c r="L44" s="95" t="str">
        <f t="shared" si="4"/>
        <v/>
      </c>
      <c r="M44" s="96">
        <f t="shared" si="5"/>
        <v>0</v>
      </c>
      <c r="N44" s="97">
        <f>IF(M44=0,0,IF(SUM($M$5:M44)&gt;251,1,0))</f>
        <v>0</v>
      </c>
      <c r="O44" s="162"/>
      <c r="P44" s="163"/>
      <c r="Q44" s="98"/>
      <c r="R44" s="415"/>
      <c r="S44" s="99"/>
      <c r="T44" s="100"/>
      <c r="U44" s="418"/>
      <c r="V44" s="99"/>
      <c r="W44" s="100"/>
      <c r="X44" s="418"/>
      <c r="Y44" s="99"/>
      <c r="Z44" s="100"/>
      <c r="AA44" s="418"/>
      <c r="AB44" s="99"/>
      <c r="AC44" s="100"/>
      <c r="AD44" s="418"/>
      <c r="AE44" s="99">
        <f t="shared" si="21"/>
        <v>0</v>
      </c>
      <c r="AF44" s="100">
        <f t="shared" si="15"/>
        <v>0</v>
      </c>
      <c r="AG44" s="351" t="str">
        <f t="shared" si="16"/>
        <v/>
      </c>
      <c r="AH44" s="272" t="str">
        <f t="shared" si="6"/>
        <v/>
      </c>
      <c r="AI44" s="358" t="str">
        <f t="shared" si="7"/>
        <v/>
      </c>
      <c r="AJ44" s="272" t="str">
        <f t="shared" si="8"/>
        <v/>
      </c>
      <c r="AK44" s="361" t="str">
        <f t="shared" si="9"/>
        <v/>
      </c>
      <c r="AL44" s="11"/>
      <c r="AM44" s="11"/>
      <c r="AN44" s="11"/>
    </row>
    <row r="45" spans="1:40" ht="14.25">
      <c r="A45" s="787"/>
      <c r="B45" s="31" t="s">
        <v>182</v>
      </c>
      <c r="C45" s="184" t="s">
        <v>183</v>
      </c>
      <c r="D45" s="413" t="s">
        <v>173</v>
      </c>
      <c r="E45" s="49"/>
      <c r="F45" s="49"/>
      <c r="G45" s="93">
        <f t="shared" si="0"/>
        <v>0</v>
      </c>
      <c r="H45" s="555" t="str">
        <f t="shared" si="10"/>
        <v>0:00</v>
      </c>
      <c r="I45" s="556">
        <f t="shared" si="1"/>
        <v>0</v>
      </c>
      <c r="J45" s="94">
        <f t="shared" si="2"/>
        <v>0</v>
      </c>
      <c r="K45" s="32">
        <f t="shared" si="3"/>
        <v>0</v>
      </c>
      <c r="L45" s="95" t="str">
        <f t="shared" si="4"/>
        <v/>
      </c>
      <c r="M45" s="96">
        <f t="shared" si="5"/>
        <v>0</v>
      </c>
      <c r="N45" s="97">
        <f>IF(M45=0,0,IF(SUM($M$5:M45)&gt;251,1,0))</f>
        <v>0</v>
      </c>
      <c r="O45" s="162"/>
      <c r="P45" s="163"/>
      <c r="Q45" s="98"/>
      <c r="R45" s="415"/>
      <c r="S45" s="99">
        <f t="shared" si="17"/>
        <v>0</v>
      </c>
      <c r="T45" s="100">
        <f t="shared" si="11"/>
        <v>0</v>
      </c>
      <c r="U45" s="418"/>
      <c r="V45" s="99">
        <f t="shared" si="18"/>
        <v>0</v>
      </c>
      <c r="W45" s="100">
        <f t="shared" si="12"/>
        <v>0</v>
      </c>
      <c r="X45" s="418"/>
      <c r="Y45" s="99">
        <f t="shared" si="19"/>
        <v>0</v>
      </c>
      <c r="Z45" s="100">
        <f t="shared" si="13"/>
        <v>0</v>
      </c>
      <c r="AA45" s="418"/>
      <c r="AB45" s="99">
        <f t="shared" si="20"/>
        <v>0</v>
      </c>
      <c r="AC45" s="100">
        <f t="shared" si="14"/>
        <v>0</v>
      </c>
      <c r="AD45" s="418"/>
      <c r="AE45" s="99">
        <f t="shared" si="21"/>
        <v>0</v>
      </c>
      <c r="AF45" s="100">
        <f t="shared" si="15"/>
        <v>0</v>
      </c>
      <c r="AG45" s="351" t="str">
        <f t="shared" si="16"/>
        <v/>
      </c>
      <c r="AH45" s="272" t="str">
        <f t="shared" si="6"/>
        <v/>
      </c>
      <c r="AI45" s="358" t="str">
        <f t="shared" si="7"/>
        <v/>
      </c>
      <c r="AJ45" s="272" t="str">
        <f t="shared" si="8"/>
        <v/>
      </c>
      <c r="AK45" s="361" t="str">
        <f t="shared" si="9"/>
        <v/>
      </c>
      <c r="AL45" s="11"/>
      <c r="AM45" s="11"/>
      <c r="AN45" s="11"/>
    </row>
    <row r="46" spans="1:40" ht="14.25">
      <c r="A46" s="787"/>
      <c r="B46" s="31" t="s">
        <v>184</v>
      </c>
      <c r="C46" s="184" t="s">
        <v>118</v>
      </c>
      <c r="D46" s="413" t="s">
        <v>227</v>
      </c>
      <c r="E46" s="512">
        <v>0.59722222222222221</v>
      </c>
      <c r="F46" s="512">
        <v>0.79166666666666663</v>
      </c>
      <c r="G46" s="93">
        <f t="shared" si="0"/>
        <v>0.19444444444444442</v>
      </c>
      <c r="H46" s="555" t="str">
        <f t="shared" si="10"/>
        <v>0:00</v>
      </c>
      <c r="I46" s="556">
        <f t="shared" si="1"/>
        <v>1</v>
      </c>
      <c r="J46" s="94">
        <f t="shared" si="2"/>
        <v>0</v>
      </c>
      <c r="K46" s="32">
        <f t="shared" si="3"/>
        <v>0</v>
      </c>
      <c r="L46" s="95" t="str">
        <f t="shared" si="4"/>
        <v/>
      </c>
      <c r="M46" s="96">
        <f t="shared" si="5"/>
        <v>0</v>
      </c>
      <c r="N46" s="97">
        <f>IF(M46=0,0,IF(SUM($M$5:M46)&gt;251,1,0))</f>
        <v>0</v>
      </c>
      <c r="O46" s="162"/>
      <c r="P46" s="163"/>
      <c r="Q46" s="98"/>
      <c r="R46" s="415"/>
      <c r="S46" s="99">
        <f t="shared" si="17"/>
        <v>0</v>
      </c>
      <c r="T46" s="100">
        <f t="shared" si="11"/>
        <v>0</v>
      </c>
      <c r="U46" s="418"/>
      <c r="V46" s="99">
        <f t="shared" si="18"/>
        <v>0</v>
      </c>
      <c r="W46" s="100">
        <f t="shared" si="12"/>
        <v>0</v>
      </c>
      <c r="X46" s="418"/>
      <c r="Y46" s="99">
        <f t="shared" si="19"/>
        <v>0</v>
      </c>
      <c r="Z46" s="100">
        <f t="shared" si="13"/>
        <v>0</v>
      </c>
      <c r="AA46" s="418"/>
      <c r="AB46" s="99">
        <f t="shared" si="20"/>
        <v>0</v>
      </c>
      <c r="AC46" s="100">
        <f t="shared" si="14"/>
        <v>0</v>
      </c>
      <c r="AD46" s="418"/>
      <c r="AE46" s="99">
        <f t="shared" si="21"/>
        <v>0</v>
      </c>
      <c r="AF46" s="100">
        <f t="shared" si="15"/>
        <v>0</v>
      </c>
      <c r="AG46" s="351" t="str">
        <f t="shared" si="16"/>
        <v/>
      </c>
      <c r="AH46" s="272" t="str">
        <f t="shared" si="6"/>
        <v/>
      </c>
      <c r="AI46" s="358" t="str">
        <f t="shared" si="7"/>
        <v/>
      </c>
      <c r="AJ46" s="272" t="str">
        <f t="shared" si="8"/>
        <v/>
      </c>
      <c r="AK46" s="361" t="str">
        <f t="shared" si="9"/>
        <v/>
      </c>
      <c r="AL46" s="11"/>
      <c r="AM46" s="11"/>
      <c r="AN46" s="11"/>
    </row>
    <row r="47" spans="1:40" ht="14.25">
      <c r="A47" s="787"/>
      <c r="B47" s="31" t="s">
        <v>185</v>
      </c>
      <c r="C47" s="184" t="s">
        <v>123</v>
      </c>
      <c r="D47" s="413" t="s">
        <v>24</v>
      </c>
      <c r="E47" s="49">
        <v>0.59722222222222221</v>
      </c>
      <c r="F47" s="49">
        <v>0.79166666666666663</v>
      </c>
      <c r="G47" s="93">
        <f t="shared" si="0"/>
        <v>0.19444444444444442</v>
      </c>
      <c r="H47" s="555">
        <f t="shared" si="10"/>
        <v>2.0833333333333259E-2</v>
      </c>
      <c r="I47" s="556">
        <f t="shared" si="1"/>
        <v>1</v>
      </c>
      <c r="J47" s="94">
        <f t="shared" si="2"/>
        <v>0</v>
      </c>
      <c r="K47" s="32">
        <f t="shared" si="3"/>
        <v>0</v>
      </c>
      <c r="L47" s="95" t="str">
        <f t="shared" si="4"/>
        <v/>
      </c>
      <c r="M47" s="96">
        <f t="shared" si="5"/>
        <v>0</v>
      </c>
      <c r="N47" s="97">
        <f>IF(M47=0,0,IF(SUM($M$5:M47)&gt;251,1,0))</f>
        <v>0</v>
      </c>
      <c r="O47" s="162">
        <v>40</v>
      </c>
      <c r="P47" s="163">
        <v>1</v>
      </c>
      <c r="Q47" s="98"/>
      <c r="R47" s="415" t="s">
        <v>543</v>
      </c>
      <c r="S47" s="99" t="str">
        <f t="shared" si="17"/>
        <v>放課後児童支援員</v>
      </c>
      <c r="T47" s="100" t="str">
        <f t="shared" si="11"/>
        <v>対象</v>
      </c>
      <c r="U47" s="418" t="s">
        <v>539</v>
      </c>
      <c r="V47" s="99" t="str">
        <f t="shared" si="18"/>
        <v>放課後児童支援員</v>
      </c>
      <c r="W47" s="100" t="str">
        <f t="shared" si="12"/>
        <v>対象</v>
      </c>
      <c r="X47" s="418" t="s">
        <v>546</v>
      </c>
      <c r="Y47" s="99" t="str">
        <f t="shared" si="19"/>
        <v>放課後児童支援員</v>
      </c>
      <c r="Z47" s="100" t="str">
        <f t="shared" si="13"/>
        <v>対象</v>
      </c>
      <c r="AA47" s="418"/>
      <c r="AB47" s="99">
        <f t="shared" si="20"/>
        <v>0</v>
      </c>
      <c r="AC47" s="100">
        <f t="shared" si="14"/>
        <v>0</v>
      </c>
      <c r="AD47" s="418"/>
      <c r="AE47" s="99">
        <f t="shared" si="21"/>
        <v>0</v>
      </c>
      <c r="AF47" s="100">
        <f t="shared" si="15"/>
        <v>0</v>
      </c>
      <c r="AG47" s="351" t="str">
        <f t="shared" si="16"/>
        <v/>
      </c>
      <c r="AH47" s="272" t="str">
        <f t="shared" si="6"/>
        <v/>
      </c>
      <c r="AI47" s="358" t="str">
        <f t="shared" si="7"/>
        <v/>
      </c>
      <c r="AJ47" s="272" t="str">
        <f t="shared" si="8"/>
        <v/>
      </c>
      <c r="AK47" s="361" t="str">
        <f t="shared" si="9"/>
        <v/>
      </c>
      <c r="AL47" s="11"/>
      <c r="AM47" s="11"/>
      <c r="AN47" s="11"/>
    </row>
    <row r="48" spans="1:40" ht="14.25">
      <c r="A48" s="787"/>
      <c r="B48" s="31" t="s">
        <v>186</v>
      </c>
      <c r="C48" s="184" t="s">
        <v>119</v>
      </c>
      <c r="D48" s="413" t="s">
        <v>24</v>
      </c>
      <c r="E48" s="49">
        <v>0.59722222222222221</v>
      </c>
      <c r="F48" s="49">
        <v>0.79166666666666663</v>
      </c>
      <c r="G48" s="93">
        <f t="shared" si="0"/>
        <v>0.19444444444444442</v>
      </c>
      <c r="H48" s="555">
        <f t="shared" si="10"/>
        <v>2.0833333333333259E-2</v>
      </c>
      <c r="I48" s="556">
        <f t="shared" si="1"/>
        <v>1</v>
      </c>
      <c r="J48" s="94">
        <f t="shared" si="2"/>
        <v>0</v>
      </c>
      <c r="K48" s="32">
        <f t="shared" si="3"/>
        <v>0</v>
      </c>
      <c r="L48" s="95" t="str">
        <f t="shared" si="4"/>
        <v/>
      </c>
      <c r="M48" s="96">
        <f t="shared" si="5"/>
        <v>0</v>
      </c>
      <c r="N48" s="97">
        <f>IF(M48=0,0,IF(SUM($M$5:M48)&gt;251,1,0))</f>
        <v>0</v>
      </c>
      <c r="O48" s="162">
        <v>40</v>
      </c>
      <c r="P48" s="163">
        <v>1</v>
      </c>
      <c r="Q48" s="98"/>
      <c r="R48" s="415" t="s">
        <v>543</v>
      </c>
      <c r="S48" s="99" t="str">
        <f t="shared" si="17"/>
        <v>放課後児童支援員</v>
      </c>
      <c r="T48" s="100" t="str">
        <f t="shared" si="11"/>
        <v>対象</v>
      </c>
      <c r="U48" s="418" t="s">
        <v>539</v>
      </c>
      <c r="V48" s="99" t="str">
        <f t="shared" si="18"/>
        <v>放課後児童支援員</v>
      </c>
      <c r="W48" s="100" t="str">
        <f t="shared" si="12"/>
        <v>対象</v>
      </c>
      <c r="X48" s="418" t="s">
        <v>546</v>
      </c>
      <c r="Y48" s="99" t="str">
        <f t="shared" si="19"/>
        <v>放課後児童支援員</v>
      </c>
      <c r="Z48" s="100" t="str">
        <f t="shared" si="13"/>
        <v>対象</v>
      </c>
      <c r="AA48" s="418"/>
      <c r="AB48" s="99">
        <f t="shared" si="20"/>
        <v>0</v>
      </c>
      <c r="AC48" s="100">
        <f t="shared" si="14"/>
        <v>0</v>
      </c>
      <c r="AD48" s="418"/>
      <c r="AE48" s="99">
        <f t="shared" si="21"/>
        <v>0</v>
      </c>
      <c r="AF48" s="100">
        <f t="shared" si="15"/>
        <v>0</v>
      </c>
      <c r="AG48" s="351" t="str">
        <f t="shared" si="16"/>
        <v/>
      </c>
      <c r="AH48" s="272" t="str">
        <f t="shared" si="6"/>
        <v/>
      </c>
      <c r="AI48" s="358" t="str">
        <f t="shared" si="7"/>
        <v/>
      </c>
      <c r="AJ48" s="272" t="str">
        <f t="shared" si="8"/>
        <v/>
      </c>
      <c r="AK48" s="361" t="str">
        <f t="shared" si="9"/>
        <v/>
      </c>
      <c r="AL48" s="11"/>
      <c r="AM48" s="11"/>
      <c r="AN48" s="11"/>
    </row>
    <row r="49" spans="1:40" ht="14.25">
      <c r="A49" s="787"/>
      <c r="B49" s="31" t="s">
        <v>187</v>
      </c>
      <c r="C49" s="184" t="s">
        <v>120</v>
      </c>
      <c r="D49" s="413" t="s">
        <v>24</v>
      </c>
      <c r="E49" s="49">
        <v>0.54861111111111105</v>
      </c>
      <c r="F49" s="49">
        <v>0.79166666666666663</v>
      </c>
      <c r="G49" s="93">
        <f t="shared" si="0"/>
        <v>0.24305555555555558</v>
      </c>
      <c r="H49" s="555">
        <f t="shared" si="10"/>
        <v>2.0833333333333259E-2</v>
      </c>
      <c r="I49" s="556">
        <f t="shared" si="1"/>
        <v>1</v>
      </c>
      <c r="J49" s="94">
        <f t="shared" si="2"/>
        <v>0</v>
      </c>
      <c r="K49" s="32">
        <f t="shared" si="3"/>
        <v>0</v>
      </c>
      <c r="L49" s="95" t="str">
        <f t="shared" si="4"/>
        <v/>
      </c>
      <c r="M49" s="96">
        <f t="shared" si="5"/>
        <v>0</v>
      </c>
      <c r="N49" s="97">
        <f>IF(M49=0,0,IF(SUM($M$5:M49)&gt;251,1,0))</f>
        <v>0</v>
      </c>
      <c r="O49" s="162">
        <v>40</v>
      </c>
      <c r="P49" s="163">
        <v>1</v>
      </c>
      <c r="Q49" s="98"/>
      <c r="R49" s="415" t="s">
        <v>543</v>
      </c>
      <c r="S49" s="99" t="str">
        <f t="shared" si="17"/>
        <v>放課後児童支援員</v>
      </c>
      <c r="T49" s="100" t="str">
        <f t="shared" si="11"/>
        <v>対象</v>
      </c>
      <c r="U49" s="418" t="s">
        <v>539</v>
      </c>
      <c r="V49" s="99" t="str">
        <f t="shared" si="18"/>
        <v>放課後児童支援員</v>
      </c>
      <c r="W49" s="100" t="str">
        <f t="shared" si="12"/>
        <v>対象</v>
      </c>
      <c r="X49" s="418" t="s">
        <v>546</v>
      </c>
      <c r="Y49" s="99" t="str">
        <f t="shared" si="19"/>
        <v>放課後児童支援員</v>
      </c>
      <c r="Z49" s="100" t="str">
        <f t="shared" si="13"/>
        <v>対象</v>
      </c>
      <c r="AA49" s="418"/>
      <c r="AB49" s="99">
        <f t="shared" si="20"/>
        <v>0</v>
      </c>
      <c r="AC49" s="100">
        <f t="shared" si="14"/>
        <v>0</v>
      </c>
      <c r="AD49" s="418"/>
      <c r="AE49" s="99">
        <f t="shared" si="21"/>
        <v>0</v>
      </c>
      <c r="AF49" s="100">
        <f t="shared" si="15"/>
        <v>0</v>
      </c>
      <c r="AG49" s="351" t="str">
        <f t="shared" si="16"/>
        <v/>
      </c>
      <c r="AH49" s="272" t="str">
        <f t="shared" si="6"/>
        <v/>
      </c>
      <c r="AI49" s="358" t="str">
        <f t="shared" si="7"/>
        <v/>
      </c>
      <c r="AJ49" s="272" t="str">
        <f t="shared" si="8"/>
        <v/>
      </c>
      <c r="AK49" s="361" t="str">
        <f t="shared" si="9"/>
        <v/>
      </c>
      <c r="AL49" s="11"/>
      <c r="AM49" s="11"/>
      <c r="AN49" s="11"/>
    </row>
    <row r="50" spans="1:40" ht="14.25">
      <c r="A50" s="787"/>
      <c r="B50" s="31" t="s">
        <v>188</v>
      </c>
      <c r="C50" s="184" t="s">
        <v>121</v>
      </c>
      <c r="D50" s="413" t="s">
        <v>24</v>
      </c>
      <c r="E50" s="49">
        <v>0.59722222222222221</v>
      </c>
      <c r="F50" s="49">
        <v>0.80555555555555547</v>
      </c>
      <c r="G50" s="93">
        <f t="shared" si="0"/>
        <v>0.20833333333333326</v>
      </c>
      <c r="H50" s="555">
        <f t="shared" si="10"/>
        <v>3.4722222222222099E-2</v>
      </c>
      <c r="I50" s="556">
        <f t="shared" si="1"/>
        <v>1</v>
      </c>
      <c r="J50" s="94">
        <f t="shared" si="2"/>
        <v>0</v>
      </c>
      <c r="K50" s="32">
        <f t="shared" si="3"/>
        <v>0</v>
      </c>
      <c r="L50" s="95" t="str">
        <f t="shared" si="4"/>
        <v/>
      </c>
      <c r="M50" s="96">
        <f t="shared" si="5"/>
        <v>0</v>
      </c>
      <c r="N50" s="97">
        <f>IF(M50=0,0,IF(SUM($M$5:M50)&gt;251,1,0))</f>
        <v>0</v>
      </c>
      <c r="O50" s="162">
        <v>40</v>
      </c>
      <c r="P50" s="163">
        <v>1</v>
      </c>
      <c r="Q50" s="98"/>
      <c r="R50" s="415" t="s">
        <v>543</v>
      </c>
      <c r="S50" s="99" t="str">
        <f t="shared" si="17"/>
        <v>放課後児童支援員</v>
      </c>
      <c r="T50" s="100" t="str">
        <f t="shared" si="11"/>
        <v>対象</v>
      </c>
      <c r="U50" s="418" t="s">
        <v>539</v>
      </c>
      <c r="V50" s="99" t="str">
        <f t="shared" si="18"/>
        <v>放課後児童支援員</v>
      </c>
      <c r="W50" s="100" t="str">
        <f t="shared" si="12"/>
        <v>対象</v>
      </c>
      <c r="X50" s="418" t="s">
        <v>546</v>
      </c>
      <c r="Y50" s="99" t="str">
        <f t="shared" si="19"/>
        <v>放課後児童支援員</v>
      </c>
      <c r="Z50" s="100" t="str">
        <f t="shared" si="13"/>
        <v>対象</v>
      </c>
      <c r="AA50" s="418"/>
      <c r="AB50" s="99">
        <f t="shared" si="20"/>
        <v>0</v>
      </c>
      <c r="AC50" s="100">
        <f t="shared" si="14"/>
        <v>0</v>
      </c>
      <c r="AD50" s="418"/>
      <c r="AE50" s="99">
        <f t="shared" si="21"/>
        <v>0</v>
      </c>
      <c r="AF50" s="100">
        <f t="shared" si="15"/>
        <v>0</v>
      </c>
      <c r="AG50" s="351" t="str">
        <f t="shared" si="16"/>
        <v/>
      </c>
      <c r="AH50" s="272" t="str">
        <f t="shared" si="6"/>
        <v/>
      </c>
      <c r="AI50" s="358" t="str">
        <f t="shared" si="7"/>
        <v/>
      </c>
      <c r="AJ50" s="272" t="str">
        <f t="shared" si="8"/>
        <v/>
      </c>
      <c r="AK50" s="361" t="str">
        <f t="shared" si="9"/>
        <v/>
      </c>
      <c r="AL50" s="11"/>
      <c r="AM50" s="11"/>
      <c r="AN50" s="11"/>
    </row>
    <row r="51" spans="1:40" ht="14.25">
      <c r="A51" s="787"/>
      <c r="B51" s="31" t="s">
        <v>189</v>
      </c>
      <c r="C51" s="184" t="s">
        <v>122</v>
      </c>
      <c r="D51" s="413" t="s">
        <v>171</v>
      </c>
      <c r="E51" s="49">
        <v>0.33333333333333331</v>
      </c>
      <c r="F51" s="49">
        <v>0.6875</v>
      </c>
      <c r="G51" s="93">
        <f t="shared" si="0"/>
        <v>0.35416666666666669</v>
      </c>
      <c r="H51" s="555" t="str">
        <f t="shared" si="10"/>
        <v>0:00</v>
      </c>
      <c r="I51" s="556">
        <f t="shared" si="1"/>
        <v>0</v>
      </c>
      <c r="J51" s="94">
        <f t="shared" si="2"/>
        <v>2.083333333333337E-2</v>
      </c>
      <c r="K51" s="32">
        <f t="shared" si="3"/>
        <v>1</v>
      </c>
      <c r="L51" s="95" t="str">
        <f t="shared" si="4"/>
        <v/>
      </c>
      <c r="M51" s="96">
        <f t="shared" si="5"/>
        <v>1</v>
      </c>
      <c r="N51" s="97">
        <f>IF(M51=0,0,IF(SUM($M$5:M51)&gt;251,1,0))</f>
        <v>0</v>
      </c>
      <c r="O51" s="162">
        <v>5</v>
      </c>
      <c r="P51" s="163">
        <v>0</v>
      </c>
      <c r="Q51" s="98"/>
      <c r="R51" s="415" t="s">
        <v>543</v>
      </c>
      <c r="S51" s="99" t="str">
        <f t="shared" si="17"/>
        <v>放課後児童支援員</v>
      </c>
      <c r="T51" s="100" t="str">
        <f t="shared" si="11"/>
        <v>対象</v>
      </c>
      <c r="U51" s="418" t="s">
        <v>539</v>
      </c>
      <c r="V51" s="99" t="str">
        <f t="shared" si="18"/>
        <v>放課後児童支援員</v>
      </c>
      <c r="W51" s="100" t="str">
        <f t="shared" si="12"/>
        <v>対象</v>
      </c>
      <c r="X51" s="418" t="s">
        <v>546</v>
      </c>
      <c r="Y51" s="99" t="str">
        <f t="shared" si="19"/>
        <v>放課後児童支援員</v>
      </c>
      <c r="Z51" s="100" t="str">
        <f t="shared" si="13"/>
        <v>対象</v>
      </c>
      <c r="AA51" s="418"/>
      <c r="AB51" s="99">
        <f t="shared" si="20"/>
        <v>0</v>
      </c>
      <c r="AC51" s="100">
        <f t="shared" si="14"/>
        <v>0</v>
      </c>
      <c r="AD51" s="418"/>
      <c r="AE51" s="99">
        <f t="shared" si="21"/>
        <v>0</v>
      </c>
      <c r="AF51" s="100">
        <f t="shared" si="15"/>
        <v>0</v>
      </c>
      <c r="AG51" s="351" t="str">
        <f t="shared" si="16"/>
        <v/>
      </c>
      <c r="AH51" s="272" t="str">
        <f t="shared" si="6"/>
        <v/>
      </c>
      <c r="AI51" s="358" t="str">
        <f t="shared" si="7"/>
        <v/>
      </c>
      <c r="AJ51" s="272" t="str">
        <f t="shared" si="8"/>
        <v/>
      </c>
      <c r="AK51" s="361" t="str">
        <f t="shared" si="9"/>
        <v/>
      </c>
      <c r="AL51" s="11"/>
      <c r="AM51" s="11"/>
      <c r="AN51" s="11"/>
    </row>
    <row r="52" spans="1:40" ht="14.25">
      <c r="A52" s="787"/>
      <c r="B52" s="31" t="s">
        <v>190</v>
      </c>
      <c r="C52" s="184" t="s">
        <v>183</v>
      </c>
      <c r="D52" s="413" t="s">
        <v>173</v>
      </c>
      <c r="E52" s="49"/>
      <c r="F52" s="49"/>
      <c r="G52" s="93">
        <f t="shared" si="0"/>
        <v>0</v>
      </c>
      <c r="H52" s="555" t="str">
        <f t="shared" si="10"/>
        <v>0:00</v>
      </c>
      <c r="I52" s="556">
        <f t="shared" si="1"/>
        <v>0</v>
      </c>
      <c r="J52" s="94">
        <f t="shared" si="2"/>
        <v>0</v>
      </c>
      <c r="K52" s="32">
        <f t="shared" si="3"/>
        <v>0</v>
      </c>
      <c r="L52" s="95" t="str">
        <f t="shared" si="4"/>
        <v/>
      </c>
      <c r="M52" s="96">
        <f t="shared" si="5"/>
        <v>0</v>
      </c>
      <c r="N52" s="97">
        <f>IF(M52=0,0,IF(SUM($M$5:M52)&gt;251,1,0))</f>
        <v>0</v>
      </c>
      <c r="O52" s="162"/>
      <c r="P52" s="163"/>
      <c r="Q52" s="98"/>
      <c r="R52" s="415"/>
      <c r="S52" s="99">
        <f t="shared" si="17"/>
        <v>0</v>
      </c>
      <c r="T52" s="100">
        <f t="shared" si="11"/>
        <v>0</v>
      </c>
      <c r="U52" s="418"/>
      <c r="V52" s="99">
        <f t="shared" si="18"/>
        <v>0</v>
      </c>
      <c r="W52" s="100">
        <f t="shared" si="12"/>
        <v>0</v>
      </c>
      <c r="X52" s="418"/>
      <c r="Y52" s="99">
        <f t="shared" si="19"/>
        <v>0</v>
      </c>
      <c r="Z52" s="100">
        <f t="shared" si="13"/>
        <v>0</v>
      </c>
      <c r="AA52" s="418"/>
      <c r="AB52" s="99">
        <f t="shared" si="20"/>
        <v>0</v>
      </c>
      <c r="AC52" s="100">
        <f t="shared" si="14"/>
        <v>0</v>
      </c>
      <c r="AD52" s="418"/>
      <c r="AE52" s="99">
        <f t="shared" si="21"/>
        <v>0</v>
      </c>
      <c r="AF52" s="100">
        <f t="shared" si="15"/>
        <v>0</v>
      </c>
      <c r="AG52" s="351" t="str">
        <f t="shared" si="16"/>
        <v/>
      </c>
      <c r="AH52" s="272" t="str">
        <f t="shared" si="6"/>
        <v/>
      </c>
      <c r="AI52" s="358" t="str">
        <f t="shared" si="7"/>
        <v/>
      </c>
      <c r="AJ52" s="272" t="str">
        <f t="shared" si="8"/>
        <v/>
      </c>
      <c r="AK52" s="361" t="str">
        <f t="shared" si="9"/>
        <v/>
      </c>
      <c r="AL52" s="11"/>
      <c r="AM52" s="11"/>
      <c r="AN52" s="11"/>
    </row>
    <row r="53" spans="1:40" ht="14.25">
      <c r="A53" s="787"/>
      <c r="B53" s="31" t="s">
        <v>191</v>
      </c>
      <c r="C53" s="184" t="s">
        <v>118</v>
      </c>
      <c r="D53" s="413" t="s">
        <v>24</v>
      </c>
      <c r="E53" s="49">
        <v>0.59722222222222221</v>
      </c>
      <c r="F53" s="49">
        <v>0.7715277777777777</v>
      </c>
      <c r="G53" s="93">
        <f t="shared" si="0"/>
        <v>0.17430555555555549</v>
      </c>
      <c r="H53" s="555">
        <f t="shared" si="10"/>
        <v>6.9444444444433095E-4</v>
      </c>
      <c r="I53" s="556">
        <f t="shared" si="1"/>
        <v>1</v>
      </c>
      <c r="J53" s="94">
        <f t="shared" si="2"/>
        <v>0</v>
      </c>
      <c r="K53" s="32">
        <f t="shared" si="3"/>
        <v>0</v>
      </c>
      <c r="L53" s="95" t="str">
        <f t="shared" si="4"/>
        <v/>
      </c>
      <c r="M53" s="96">
        <f t="shared" si="5"/>
        <v>0</v>
      </c>
      <c r="N53" s="97">
        <f>IF(M53=0,0,IF(SUM($M$5:M53)&gt;251,1,0))</f>
        <v>0</v>
      </c>
      <c r="O53" s="162">
        <v>40</v>
      </c>
      <c r="P53" s="163">
        <v>1</v>
      </c>
      <c r="Q53" s="98"/>
      <c r="R53" s="415" t="s">
        <v>543</v>
      </c>
      <c r="S53" s="99" t="str">
        <f t="shared" si="17"/>
        <v>放課後児童支援員</v>
      </c>
      <c r="T53" s="100" t="str">
        <f t="shared" si="11"/>
        <v>対象</v>
      </c>
      <c r="U53" s="418" t="s">
        <v>539</v>
      </c>
      <c r="V53" s="99" t="str">
        <f t="shared" si="18"/>
        <v>放課後児童支援員</v>
      </c>
      <c r="W53" s="100" t="str">
        <f t="shared" si="12"/>
        <v>対象</v>
      </c>
      <c r="X53" s="418"/>
      <c r="Y53" s="99">
        <f t="shared" si="19"/>
        <v>0</v>
      </c>
      <c r="Z53" s="100">
        <f t="shared" si="13"/>
        <v>0</v>
      </c>
      <c r="AA53" s="418"/>
      <c r="AB53" s="99">
        <f t="shared" si="20"/>
        <v>0</v>
      </c>
      <c r="AC53" s="100">
        <f t="shared" si="14"/>
        <v>0</v>
      </c>
      <c r="AD53" s="418"/>
      <c r="AE53" s="99">
        <f t="shared" si="21"/>
        <v>0</v>
      </c>
      <c r="AF53" s="100">
        <f t="shared" si="15"/>
        <v>0</v>
      </c>
      <c r="AG53" s="351" t="str">
        <f t="shared" si="16"/>
        <v/>
      </c>
      <c r="AH53" s="272" t="str">
        <f t="shared" si="6"/>
        <v/>
      </c>
      <c r="AI53" s="358" t="str">
        <f t="shared" si="7"/>
        <v/>
      </c>
      <c r="AJ53" s="272" t="str">
        <f t="shared" si="8"/>
        <v/>
      </c>
      <c r="AK53" s="361" t="str">
        <f t="shared" si="9"/>
        <v/>
      </c>
      <c r="AL53" s="11"/>
      <c r="AM53" s="11"/>
      <c r="AN53" s="11"/>
    </row>
    <row r="54" spans="1:40" ht="14.25">
      <c r="A54" s="787"/>
      <c r="B54" s="31" t="s">
        <v>192</v>
      </c>
      <c r="C54" s="184" t="s">
        <v>123</v>
      </c>
      <c r="D54" s="413" t="s">
        <v>24</v>
      </c>
      <c r="E54" s="49">
        <v>0.59722222222222221</v>
      </c>
      <c r="F54" s="49">
        <v>0.79166666666666663</v>
      </c>
      <c r="G54" s="93">
        <f t="shared" si="0"/>
        <v>0.19444444444444442</v>
      </c>
      <c r="H54" s="555">
        <f t="shared" si="10"/>
        <v>2.0833333333333259E-2</v>
      </c>
      <c r="I54" s="556">
        <f t="shared" si="1"/>
        <v>1</v>
      </c>
      <c r="J54" s="94">
        <f t="shared" si="2"/>
        <v>0</v>
      </c>
      <c r="K54" s="32">
        <f t="shared" si="3"/>
        <v>0</v>
      </c>
      <c r="L54" s="95" t="str">
        <f t="shared" si="4"/>
        <v/>
      </c>
      <c r="M54" s="96">
        <f t="shared" si="5"/>
        <v>0</v>
      </c>
      <c r="N54" s="97">
        <f>IF(M54=0,0,IF(SUM($M$5:M54)&gt;251,1,0))</f>
        <v>0</v>
      </c>
      <c r="O54" s="162">
        <v>40</v>
      </c>
      <c r="P54" s="163">
        <v>1</v>
      </c>
      <c r="Q54" s="98"/>
      <c r="R54" s="415" t="s">
        <v>543</v>
      </c>
      <c r="S54" s="99" t="str">
        <f t="shared" si="17"/>
        <v>放課後児童支援員</v>
      </c>
      <c r="T54" s="100" t="str">
        <f t="shared" si="11"/>
        <v>対象</v>
      </c>
      <c r="U54" s="418" t="s">
        <v>539</v>
      </c>
      <c r="V54" s="99" t="str">
        <f t="shared" si="18"/>
        <v>放課後児童支援員</v>
      </c>
      <c r="W54" s="100" t="str">
        <f t="shared" si="12"/>
        <v>対象</v>
      </c>
      <c r="X54" s="418" t="s">
        <v>546</v>
      </c>
      <c r="Y54" s="99" t="str">
        <f t="shared" si="19"/>
        <v>放課後児童支援員</v>
      </c>
      <c r="Z54" s="100" t="str">
        <f t="shared" si="13"/>
        <v>対象</v>
      </c>
      <c r="AA54" s="418"/>
      <c r="AB54" s="99">
        <f t="shared" si="20"/>
        <v>0</v>
      </c>
      <c r="AC54" s="100">
        <f t="shared" si="14"/>
        <v>0</v>
      </c>
      <c r="AD54" s="418"/>
      <c r="AE54" s="99">
        <f t="shared" si="21"/>
        <v>0</v>
      </c>
      <c r="AF54" s="100">
        <f t="shared" si="15"/>
        <v>0</v>
      </c>
      <c r="AG54" s="351" t="str">
        <f t="shared" si="16"/>
        <v/>
      </c>
      <c r="AH54" s="272" t="str">
        <f t="shared" si="6"/>
        <v/>
      </c>
      <c r="AI54" s="358" t="str">
        <f t="shared" si="7"/>
        <v/>
      </c>
      <c r="AJ54" s="272" t="str">
        <f t="shared" si="8"/>
        <v/>
      </c>
      <c r="AK54" s="361" t="str">
        <f t="shared" si="9"/>
        <v/>
      </c>
      <c r="AL54" s="11"/>
      <c r="AM54" s="11"/>
      <c r="AN54" s="11"/>
    </row>
    <row r="55" spans="1:40" ht="14.25">
      <c r="A55" s="787"/>
      <c r="B55" s="31" t="s">
        <v>193</v>
      </c>
      <c r="C55" s="184" t="s">
        <v>119</v>
      </c>
      <c r="D55" s="413" t="s">
        <v>24</v>
      </c>
      <c r="E55" s="49">
        <v>0.59722222222222221</v>
      </c>
      <c r="F55" s="49">
        <v>0.79166666666666663</v>
      </c>
      <c r="G55" s="93">
        <f t="shared" si="0"/>
        <v>0.19444444444444442</v>
      </c>
      <c r="H55" s="555">
        <f t="shared" si="10"/>
        <v>2.0833333333333259E-2</v>
      </c>
      <c r="I55" s="556">
        <f t="shared" si="1"/>
        <v>1</v>
      </c>
      <c r="J55" s="94">
        <f t="shared" si="2"/>
        <v>0</v>
      </c>
      <c r="K55" s="32">
        <f t="shared" si="3"/>
        <v>0</v>
      </c>
      <c r="L55" s="95" t="str">
        <f t="shared" si="4"/>
        <v/>
      </c>
      <c r="M55" s="96">
        <f t="shared" si="5"/>
        <v>0</v>
      </c>
      <c r="N55" s="97">
        <f>IF(M55=0,0,IF(SUM($M$5:M55)&gt;251,1,0))</f>
        <v>0</v>
      </c>
      <c r="O55" s="162">
        <v>40</v>
      </c>
      <c r="P55" s="163">
        <v>1</v>
      </c>
      <c r="Q55" s="98"/>
      <c r="R55" s="415" t="s">
        <v>543</v>
      </c>
      <c r="S55" s="99" t="str">
        <f t="shared" si="17"/>
        <v>放課後児童支援員</v>
      </c>
      <c r="T55" s="100" t="str">
        <f t="shared" si="11"/>
        <v>対象</v>
      </c>
      <c r="U55" s="418" t="s">
        <v>539</v>
      </c>
      <c r="V55" s="99" t="str">
        <f t="shared" si="18"/>
        <v>放課後児童支援員</v>
      </c>
      <c r="W55" s="100" t="str">
        <f t="shared" si="12"/>
        <v>対象</v>
      </c>
      <c r="X55" s="418" t="s">
        <v>546</v>
      </c>
      <c r="Y55" s="99" t="str">
        <f t="shared" si="19"/>
        <v>放課後児童支援員</v>
      </c>
      <c r="Z55" s="100" t="str">
        <f t="shared" si="13"/>
        <v>対象</v>
      </c>
      <c r="AA55" s="418"/>
      <c r="AB55" s="99">
        <f t="shared" si="20"/>
        <v>0</v>
      </c>
      <c r="AC55" s="100">
        <f t="shared" si="14"/>
        <v>0</v>
      </c>
      <c r="AD55" s="418"/>
      <c r="AE55" s="99">
        <f t="shared" si="21"/>
        <v>0</v>
      </c>
      <c r="AF55" s="100">
        <f t="shared" si="15"/>
        <v>0</v>
      </c>
      <c r="AG55" s="351" t="str">
        <f t="shared" si="16"/>
        <v/>
      </c>
      <c r="AH55" s="272" t="str">
        <f t="shared" si="6"/>
        <v/>
      </c>
      <c r="AI55" s="358" t="str">
        <f t="shared" si="7"/>
        <v/>
      </c>
      <c r="AJ55" s="272" t="str">
        <f t="shared" si="8"/>
        <v/>
      </c>
      <c r="AK55" s="361" t="str">
        <f t="shared" si="9"/>
        <v/>
      </c>
      <c r="AL55" s="11"/>
      <c r="AM55" s="11"/>
      <c r="AN55" s="11"/>
    </row>
    <row r="56" spans="1:40" ht="14.25">
      <c r="A56" s="787"/>
      <c r="B56" s="31" t="s">
        <v>194</v>
      </c>
      <c r="C56" s="184" t="s">
        <v>120</v>
      </c>
      <c r="D56" s="413" t="s">
        <v>24</v>
      </c>
      <c r="E56" s="49">
        <v>0.54861111111111105</v>
      </c>
      <c r="F56" s="49">
        <v>0.79166666666666663</v>
      </c>
      <c r="G56" s="93">
        <f t="shared" si="0"/>
        <v>0.24305555555555558</v>
      </c>
      <c r="H56" s="555">
        <f t="shared" si="10"/>
        <v>2.0833333333333259E-2</v>
      </c>
      <c r="I56" s="556">
        <f t="shared" si="1"/>
        <v>1</v>
      </c>
      <c r="J56" s="94">
        <f t="shared" si="2"/>
        <v>0</v>
      </c>
      <c r="K56" s="32">
        <f t="shared" si="3"/>
        <v>0</v>
      </c>
      <c r="L56" s="95" t="str">
        <f t="shared" si="4"/>
        <v/>
      </c>
      <c r="M56" s="96">
        <f t="shared" si="5"/>
        <v>0</v>
      </c>
      <c r="N56" s="97">
        <f>IF(M56=0,0,IF(SUM($M$5:M56)&gt;251,1,0))</f>
        <v>0</v>
      </c>
      <c r="O56" s="162">
        <v>40</v>
      </c>
      <c r="P56" s="163">
        <v>1</v>
      </c>
      <c r="Q56" s="98"/>
      <c r="R56" s="415" t="s">
        <v>543</v>
      </c>
      <c r="S56" s="99" t="str">
        <f t="shared" si="17"/>
        <v>放課後児童支援員</v>
      </c>
      <c r="T56" s="100" t="str">
        <f t="shared" si="11"/>
        <v>対象</v>
      </c>
      <c r="U56" s="418" t="s">
        <v>539</v>
      </c>
      <c r="V56" s="99" t="str">
        <f t="shared" si="18"/>
        <v>放課後児童支援員</v>
      </c>
      <c r="W56" s="100" t="str">
        <f t="shared" si="12"/>
        <v>対象</v>
      </c>
      <c r="X56" s="418" t="s">
        <v>546</v>
      </c>
      <c r="Y56" s="99" t="str">
        <f t="shared" si="19"/>
        <v>放課後児童支援員</v>
      </c>
      <c r="Z56" s="100" t="str">
        <f t="shared" si="13"/>
        <v>対象</v>
      </c>
      <c r="AA56" s="418"/>
      <c r="AB56" s="99">
        <f t="shared" si="20"/>
        <v>0</v>
      </c>
      <c r="AC56" s="100">
        <f t="shared" si="14"/>
        <v>0</v>
      </c>
      <c r="AD56" s="418"/>
      <c r="AE56" s="99">
        <f t="shared" si="21"/>
        <v>0</v>
      </c>
      <c r="AF56" s="100">
        <f t="shared" si="15"/>
        <v>0</v>
      </c>
      <c r="AG56" s="351" t="str">
        <f t="shared" si="16"/>
        <v/>
      </c>
      <c r="AH56" s="272" t="str">
        <f t="shared" si="6"/>
        <v/>
      </c>
      <c r="AI56" s="358" t="str">
        <f t="shared" si="7"/>
        <v/>
      </c>
      <c r="AJ56" s="272" t="str">
        <f t="shared" si="8"/>
        <v/>
      </c>
      <c r="AK56" s="361" t="str">
        <f t="shared" si="9"/>
        <v/>
      </c>
      <c r="AL56" s="11"/>
      <c r="AM56" s="11"/>
      <c r="AN56" s="11"/>
    </row>
    <row r="57" spans="1:40" ht="14.25">
      <c r="A57" s="787"/>
      <c r="B57" s="31" t="s">
        <v>195</v>
      </c>
      <c r="C57" s="184" t="s">
        <v>121</v>
      </c>
      <c r="D57" s="413" t="s">
        <v>24</v>
      </c>
      <c r="E57" s="49">
        <v>0.59722222222222221</v>
      </c>
      <c r="F57" s="49">
        <v>0.80555555555555547</v>
      </c>
      <c r="G57" s="93">
        <f t="shared" si="0"/>
        <v>0.20833333333333326</v>
      </c>
      <c r="H57" s="555">
        <f t="shared" si="10"/>
        <v>3.4722222222222099E-2</v>
      </c>
      <c r="I57" s="556">
        <f t="shared" si="1"/>
        <v>1</v>
      </c>
      <c r="J57" s="94">
        <f t="shared" si="2"/>
        <v>0</v>
      </c>
      <c r="K57" s="32">
        <f t="shared" si="3"/>
        <v>0</v>
      </c>
      <c r="L57" s="95" t="str">
        <f t="shared" si="4"/>
        <v/>
      </c>
      <c r="M57" s="96">
        <f t="shared" si="5"/>
        <v>0</v>
      </c>
      <c r="N57" s="97">
        <f>IF(M57=0,0,IF(SUM($M$5:M57)&gt;251,1,0))</f>
        <v>0</v>
      </c>
      <c r="O57" s="162">
        <v>40</v>
      </c>
      <c r="P57" s="163">
        <v>1</v>
      </c>
      <c r="Q57" s="98"/>
      <c r="R57" s="415" t="s">
        <v>543</v>
      </c>
      <c r="S57" s="99" t="str">
        <f t="shared" si="17"/>
        <v>放課後児童支援員</v>
      </c>
      <c r="T57" s="100" t="str">
        <f t="shared" si="11"/>
        <v>対象</v>
      </c>
      <c r="U57" s="418" t="s">
        <v>539</v>
      </c>
      <c r="V57" s="99" t="str">
        <f t="shared" si="18"/>
        <v>放課後児童支援員</v>
      </c>
      <c r="W57" s="100" t="str">
        <f t="shared" si="12"/>
        <v>対象</v>
      </c>
      <c r="X57" s="418" t="s">
        <v>546</v>
      </c>
      <c r="Y57" s="99" t="str">
        <f t="shared" si="19"/>
        <v>放課後児童支援員</v>
      </c>
      <c r="Z57" s="100" t="str">
        <f t="shared" si="13"/>
        <v>対象</v>
      </c>
      <c r="AA57" s="418"/>
      <c r="AB57" s="99">
        <f t="shared" si="20"/>
        <v>0</v>
      </c>
      <c r="AC57" s="100">
        <f t="shared" si="14"/>
        <v>0</v>
      </c>
      <c r="AD57" s="418"/>
      <c r="AE57" s="99">
        <f t="shared" si="21"/>
        <v>0</v>
      </c>
      <c r="AF57" s="100">
        <f t="shared" si="15"/>
        <v>0</v>
      </c>
      <c r="AG57" s="351" t="str">
        <f t="shared" si="16"/>
        <v/>
      </c>
      <c r="AH57" s="272" t="str">
        <f t="shared" si="6"/>
        <v/>
      </c>
      <c r="AI57" s="358" t="str">
        <f t="shared" si="7"/>
        <v/>
      </c>
      <c r="AJ57" s="272" t="str">
        <f t="shared" si="8"/>
        <v/>
      </c>
      <c r="AK57" s="361" t="str">
        <f t="shared" si="9"/>
        <v/>
      </c>
      <c r="AL57" s="11"/>
      <c r="AM57" s="11"/>
      <c r="AN57" s="11"/>
    </row>
    <row r="58" spans="1:40" ht="14.25">
      <c r="A58" s="787"/>
      <c r="B58" s="31" t="s">
        <v>196</v>
      </c>
      <c r="C58" s="184" t="s">
        <v>122</v>
      </c>
      <c r="D58" s="413" t="s">
        <v>173</v>
      </c>
      <c r="E58" s="49"/>
      <c r="F58" s="49"/>
      <c r="G58" s="93">
        <f t="shared" si="0"/>
        <v>0</v>
      </c>
      <c r="H58" s="555" t="str">
        <f t="shared" si="10"/>
        <v>0:00</v>
      </c>
      <c r="I58" s="556">
        <f t="shared" si="1"/>
        <v>0</v>
      </c>
      <c r="J58" s="94">
        <f t="shared" si="2"/>
        <v>0</v>
      </c>
      <c r="K58" s="32">
        <f t="shared" si="3"/>
        <v>0</v>
      </c>
      <c r="L58" s="95" t="str">
        <f t="shared" si="4"/>
        <v/>
      </c>
      <c r="M58" s="96">
        <f t="shared" si="5"/>
        <v>0</v>
      </c>
      <c r="N58" s="97">
        <f>IF(M58=0,0,IF(SUM($M$5:M58)&gt;251,1,0))</f>
        <v>0</v>
      </c>
      <c r="O58" s="162"/>
      <c r="P58" s="163"/>
      <c r="Q58" s="98"/>
      <c r="R58" s="415"/>
      <c r="S58" s="99">
        <f t="shared" si="17"/>
        <v>0</v>
      </c>
      <c r="T58" s="100">
        <f t="shared" si="11"/>
        <v>0</v>
      </c>
      <c r="U58" s="418"/>
      <c r="V58" s="99">
        <f t="shared" si="18"/>
        <v>0</v>
      </c>
      <c r="W58" s="100">
        <f t="shared" si="12"/>
        <v>0</v>
      </c>
      <c r="X58" s="418"/>
      <c r="Y58" s="99">
        <f t="shared" si="19"/>
        <v>0</v>
      </c>
      <c r="Z58" s="100">
        <f t="shared" si="13"/>
        <v>0</v>
      </c>
      <c r="AA58" s="418"/>
      <c r="AB58" s="99">
        <f t="shared" si="20"/>
        <v>0</v>
      </c>
      <c r="AC58" s="100">
        <f t="shared" si="14"/>
        <v>0</v>
      </c>
      <c r="AD58" s="418"/>
      <c r="AE58" s="99">
        <f t="shared" si="21"/>
        <v>0</v>
      </c>
      <c r="AF58" s="100">
        <f t="shared" si="15"/>
        <v>0</v>
      </c>
      <c r="AG58" s="351" t="str">
        <f t="shared" si="16"/>
        <v/>
      </c>
      <c r="AH58" s="272" t="str">
        <f t="shared" si="6"/>
        <v/>
      </c>
      <c r="AI58" s="358" t="str">
        <f t="shared" si="7"/>
        <v/>
      </c>
      <c r="AJ58" s="272" t="str">
        <f t="shared" si="8"/>
        <v/>
      </c>
      <c r="AK58" s="361" t="str">
        <f t="shared" si="9"/>
        <v/>
      </c>
      <c r="AL58" s="11"/>
      <c r="AM58" s="11"/>
      <c r="AN58" s="11"/>
    </row>
    <row r="59" spans="1:40" ht="14.25">
      <c r="A59" s="787"/>
      <c r="B59" s="31" t="s">
        <v>197</v>
      </c>
      <c r="C59" s="184" t="s">
        <v>183</v>
      </c>
      <c r="D59" s="413" t="s">
        <v>173</v>
      </c>
      <c r="E59" s="49"/>
      <c r="F59" s="49"/>
      <c r="G59" s="93">
        <f t="shared" si="0"/>
        <v>0</v>
      </c>
      <c r="H59" s="555" t="str">
        <f t="shared" si="10"/>
        <v>0:00</v>
      </c>
      <c r="I59" s="556">
        <f t="shared" si="1"/>
        <v>0</v>
      </c>
      <c r="J59" s="94">
        <f t="shared" si="2"/>
        <v>0</v>
      </c>
      <c r="K59" s="32">
        <f t="shared" si="3"/>
        <v>0</v>
      </c>
      <c r="L59" s="95" t="str">
        <f t="shared" si="4"/>
        <v/>
      </c>
      <c r="M59" s="96">
        <f t="shared" si="5"/>
        <v>0</v>
      </c>
      <c r="N59" s="97">
        <f>IF(M59=0,0,IF(SUM($M$5:M59)&gt;251,1,0))</f>
        <v>0</v>
      </c>
      <c r="O59" s="162"/>
      <c r="P59" s="163"/>
      <c r="Q59" s="98"/>
      <c r="R59" s="415"/>
      <c r="S59" s="99">
        <f t="shared" si="17"/>
        <v>0</v>
      </c>
      <c r="T59" s="100">
        <f t="shared" si="11"/>
        <v>0</v>
      </c>
      <c r="U59" s="418"/>
      <c r="V59" s="99">
        <f t="shared" si="18"/>
        <v>0</v>
      </c>
      <c r="W59" s="100">
        <f t="shared" si="12"/>
        <v>0</v>
      </c>
      <c r="X59" s="418"/>
      <c r="Y59" s="99">
        <f t="shared" si="19"/>
        <v>0</v>
      </c>
      <c r="Z59" s="100">
        <f t="shared" si="13"/>
        <v>0</v>
      </c>
      <c r="AA59" s="418"/>
      <c r="AB59" s="99">
        <f t="shared" si="20"/>
        <v>0</v>
      </c>
      <c r="AC59" s="100">
        <f t="shared" si="14"/>
        <v>0</v>
      </c>
      <c r="AD59" s="418"/>
      <c r="AE59" s="99">
        <f t="shared" si="21"/>
        <v>0</v>
      </c>
      <c r="AF59" s="100">
        <f t="shared" si="15"/>
        <v>0</v>
      </c>
      <c r="AG59" s="351" t="str">
        <f t="shared" si="16"/>
        <v/>
      </c>
      <c r="AH59" s="272" t="str">
        <f t="shared" si="6"/>
        <v/>
      </c>
      <c r="AI59" s="358" t="str">
        <f t="shared" si="7"/>
        <v/>
      </c>
      <c r="AJ59" s="272" t="str">
        <f t="shared" si="8"/>
        <v/>
      </c>
      <c r="AK59" s="361" t="str">
        <f t="shared" si="9"/>
        <v/>
      </c>
      <c r="AL59" s="11"/>
      <c r="AM59" s="11"/>
      <c r="AN59" s="11"/>
    </row>
    <row r="60" spans="1:40" ht="14.25">
      <c r="A60" s="787"/>
      <c r="B60" s="31" t="s">
        <v>198</v>
      </c>
      <c r="C60" s="184" t="s">
        <v>118</v>
      </c>
      <c r="D60" s="413" t="s">
        <v>24</v>
      </c>
      <c r="E60" s="49">
        <v>0.59722222222222221</v>
      </c>
      <c r="F60" s="49">
        <v>0.7715277777777777</v>
      </c>
      <c r="G60" s="93">
        <f t="shared" si="0"/>
        <v>0.17430555555555549</v>
      </c>
      <c r="H60" s="555">
        <f t="shared" si="10"/>
        <v>6.9444444444433095E-4</v>
      </c>
      <c r="I60" s="556">
        <f t="shared" si="1"/>
        <v>1</v>
      </c>
      <c r="J60" s="94">
        <f t="shared" si="2"/>
        <v>0</v>
      </c>
      <c r="K60" s="32">
        <f t="shared" si="3"/>
        <v>0</v>
      </c>
      <c r="L60" s="95" t="str">
        <f t="shared" si="4"/>
        <v/>
      </c>
      <c r="M60" s="96">
        <f t="shared" si="5"/>
        <v>0</v>
      </c>
      <c r="N60" s="97">
        <f>IF(M60=0,0,IF(SUM($M$5:M60)&gt;251,1,0))</f>
        <v>0</v>
      </c>
      <c r="O60" s="162">
        <v>40</v>
      </c>
      <c r="P60" s="163">
        <v>1</v>
      </c>
      <c r="Q60" s="98"/>
      <c r="R60" s="415" t="s">
        <v>543</v>
      </c>
      <c r="S60" s="99" t="str">
        <f t="shared" si="17"/>
        <v>放課後児童支援員</v>
      </c>
      <c r="T60" s="100" t="str">
        <f t="shared" si="11"/>
        <v>対象</v>
      </c>
      <c r="U60" s="418" t="s">
        <v>539</v>
      </c>
      <c r="V60" s="99" t="str">
        <f t="shared" si="18"/>
        <v>放課後児童支援員</v>
      </c>
      <c r="W60" s="100" t="str">
        <f t="shared" si="12"/>
        <v>対象</v>
      </c>
      <c r="X60" s="418"/>
      <c r="Y60" s="99">
        <f t="shared" si="19"/>
        <v>0</v>
      </c>
      <c r="Z60" s="100">
        <f t="shared" si="13"/>
        <v>0</v>
      </c>
      <c r="AA60" s="418"/>
      <c r="AB60" s="99">
        <f t="shared" si="20"/>
        <v>0</v>
      </c>
      <c r="AC60" s="100">
        <f t="shared" si="14"/>
        <v>0</v>
      </c>
      <c r="AD60" s="418"/>
      <c r="AE60" s="99">
        <f t="shared" si="21"/>
        <v>0</v>
      </c>
      <c r="AF60" s="100">
        <f t="shared" si="15"/>
        <v>0</v>
      </c>
      <c r="AG60" s="351" t="str">
        <f t="shared" si="16"/>
        <v/>
      </c>
      <c r="AH60" s="272" t="str">
        <f t="shared" si="6"/>
        <v/>
      </c>
      <c r="AI60" s="358" t="str">
        <f t="shared" si="7"/>
        <v/>
      </c>
      <c r="AJ60" s="272" t="str">
        <f t="shared" si="8"/>
        <v/>
      </c>
      <c r="AK60" s="361" t="str">
        <f t="shared" si="9"/>
        <v/>
      </c>
      <c r="AL60" s="11"/>
      <c r="AM60" s="11"/>
      <c r="AN60" s="11"/>
    </row>
    <row r="61" spans="1:40" ht="14.25">
      <c r="A61" s="787"/>
      <c r="B61" s="31" t="s">
        <v>199</v>
      </c>
      <c r="C61" s="184" t="s">
        <v>123</v>
      </c>
      <c r="D61" s="413" t="s">
        <v>24</v>
      </c>
      <c r="E61" s="49">
        <v>0.59722222222222221</v>
      </c>
      <c r="F61" s="49">
        <v>0.79166666666666663</v>
      </c>
      <c r="G61" s="93">
        <f t="shared" si="0"/>
        <v>0.19444444444444442</v>
      </c>
      <c r="H61" s="555">
        <f t="shared" si="10"/>
        <v>2.0833333333333259E-2</v>
      </c>
      <c r="I61" s="556">
        <f t="shared" si="1"/>
        <v>1</v>
      </c>
      <c r="J61" s="94">
        <f t="shared" si="2"/>
        <v>0</v>
      </c>
      <c r="K61" s="32">
        <f t="shared" si="3"/>
        <v>0</v>
      </c>
      <c r="L61" s="95" t="str">
        <f t="shared" si="4"/>
        <v/>
      </c>
      <c r="M61" s="96">
        <f t="shared" si="5"/>
        <v>0</v>
      </c>
      <c r="N61" s="97">
        <f>IF(M61=0,0,IF(SUM($M$5:M61)&gt;251,1,0))</f>
        <v>0</v>
      </c>
      <c r="O61" s="162">
        <v>40</v>
      </c>
      <c r="P61" s="163">
        <v>1</v>
      </c>
      <c r="Q61" s="98"/>
      <c r="R61" s="415" t="s">
        <v>543</v>
      </c>
      <c r="S61" s="99" t="str">
        <f t="shared" si="17"/>
        <v>放課後児童支援員</v>
      </c>
      <c r="T61" s="100" t="str">
        <f t="shared" si="11"/>
        <v>対象</v>
      </c>
      <c r="U61" s="418" t="s">
        <v>539</v>
      </c>
      <c r="V61" s="99" t="str">
        <f t="shared" si="18"/>
        <v>放課後児童支援員</v>
      </c>
      <c r="W61" s="100" t="str">
        <f t="shared" si="12"/>
        <v>対象</v>
      </c>
      <c r="X61" s="418" t="s">
        <v>546</v>
      </c>
      <c r="Y61" s="99" t="str">
        <f t="shared" si="19"/>
        <v>放課後児童支援員</v>
      </c>
      <c r="Z61" s="100" t="str">
        <f t="shared" si="13"/>
        <v>対象</v>
      </c>
      <c r="AA61" s="418"/>
      <c r="AB61" s="99">
        <f t="shared" si="20"/>
        <v>0</v>
      </c>
      <c r="AC61" s="100">
        <f t="shared" si="14"/>
        <v>0</v>
      </c>
      <c r="AD61" s="418"/>
      <c r="AE61" s="99">
        <f t="shared" si="21"/>
        <v>0</v>
      </c>
      <c r="AF61" s="100">
        <f t="shared" si="15"/>
        <v>0</v>
      </c>
      <c r="AG61" s="351" t="str">
        <f t="shared" si="16"/>
        <v/>
      </c>
      <c r="AH61" s="272" t="str">
        <f t="shared" si="6"/>
        <v/>
      </c>
      <c r="AI61" s="358" t="str">
        <f t="shared" si="7"/>
        <v/>
      </c>
      <c r="AJ61" s="272" t="str">
        <f t="shared" si="8"/>
        <v/>
      </c>
      <c r="AK61" s="361" t="str">
        <f t="shared" si="9"/>
        <v/>
      </c>
      <c r="AL61" s="11"/>
      <c r="AM61" s="11"/>
      <c r="AN61" s="11"/>
    </row>
    <row r="62" spans="1:40" ht="14.25">
      <c r="A62" s="787"/>
      <c r="B62" s="31" t="s">
        <v>200</v>
      </c>
      <c r="C62" s="184" t="s">
        <v>119</v>
      </c>
      <c r="D62" s="413" t="s">
        <v>24</v>
      </c>
      <c r="E62" s="49">
        <v>0.59722222222222221</v>
      </c>
      <c r="F62" s="49">
        <v>0.79166666666666663</v>
      </c>
      <c r="G62" s="93">
        <f t="shared" si="0"/>
        <v>0.19444444444444442</v>
      </c>
      <c r="H62" s="555">
        <f t="shared" si="10"/>
        <v>2.0833333333333259E-2</v>
      </c>
      <c r="I62" s="556">
        <f t="shared" si="1"/>
        <v>1</v>
      </c>
      <c r="J62" s="94">
        <f t="shared" si="2"/>
        <v>0</v>
      </c>
      <c r="K62" s="32">
        <f t="shared" si="3"/>
        <v>0</v>
      </c>
      <c r="L62" s="95" t="str">
        <f t="shared" si="4"/>
        <v/>
      </c>
      <c r="M62" s="96">
        <f t="shared" si="5"/>
        <v>0</v>
      </c>
      <c r="N62" s="97">
        <f>IF(M62=0,0,IF(SUM($M$5:M62)&gt;251,1,0))</f>
        <v>0</v>
      </c>
      <c r="O62" s="162">
        <v>40</v>
      </c>
      <c r="P62" s="163">
        <v>1</v>
      </c>
      <c r="Q62" s="98"/>
      <c r="R62" s="415" t="s">
        <v>543</v>
      </c>
      <c r="S62" s="99" t="str">
        <f t="shared" si="17"/>
        <v>放課後児童支援員</v>
      </c>
      <c r="T62" s="100" t="str">
        <f t="shared" si="11"/>
        <v>対象</v>
      </c>
      <c r="U62" s="418" t="s">
        <v>539</v>
      </c>
      <c r="V62" s="99" t="str">
        <f t="shared" si="18"/>
        <v>放課後児童支援員</v>
      </c>
      <c r="W62" s="100" t="str">
        <f t="shared" si="12"/>
        <v>対象</v>
      </c>
      <c r="X62" s="418" t="s">
        <v>546</v>
      </c>
      <c r="Y62" s="99" t="str">
        <f t="shared" si="19"/>
        <v>放課後児童支援員</v>
      </c>
      <c r="Z62" s="100" t="str">
        <f t="shared" si="13"/>
        <v>対象</v>
      </c>
      <c r="AA62" s="418"/>
      <c r="AB62" s="99">
        <f t="shared" si="20"/>
        <v>0</v>
      </c>
      <c r="AC62" s="100">
        <f t="shared" si="14"/>
        <v>0</v>
      </c>
      <c r="AD62" s="418"/>
      <c r="AE62" s="99">
        <f t="shared" si="21"/>
        <v>0</v>
      </c>
      <c r="AF62" s="100">
        <f t="shared" si="15"/>
        <v>0</v>
      </c>
      <c r="AG62" s="351" t="str">
        <f t="shared" si="16"/>
        <v/>
      </c>
      <c r="AH62" s="272" t="str">
        <f t="shared" si="6"/>
        <v/>
      </c>
      <c r="AI62" s="358" t="str">
        <f t="shared" si="7"/>
        <v/>
      </c>
      <c r="AJ62" s="272" t="str">
        <f t="shared" si="8"/>
        <v/>
      </c>
      <c r="AK62" s="361" t="str">
        <f t="shared" si="9"/>
        <v/>
      </c>
      <c r="AL62" s="11"/>
      <c r="AM62" s="11"/>
      <c r="AN62" s="11"/>
    </row>
    <row r="63" spans="1:40" ht="14.25">
      <c r="A63" s="787"/>
      <c r="B63" s="31" t="s">
        <v>201</v>
      </c>
      <c r="C63" s="184" t="s">
        <v>120</v>
      </c>
      <c r="D63" s="413" t="s">
        <v>24</v>
      </c>
      <c r="E63" s="49">
        <v>0.54861111111111105</v>
      </c>
      <c r="F63" s="49">
        <v>0.79166666666666663</v>
      </c>
      <c r="G63" s="93">
        <f t="shared" si="0"/>
        <v>0.24305555555555558</v>
      </c>
      <c r="H63" s="555">
        <f t="shared" si="10"/>
        <v>2.0833333333333259E-2</v>
      </c>
      <c r="I63" s="556">
        <f t="shared" si="1"/>
        <v>1</v>
      </c>
      <c r="J63" s="94">
        <f t="shared" si="2"/>
        <v>0</v>
      </c>
      <c r="K63" s="32">
        <f t="shared" si="3"/>
        <v>0</v>
      </c>
      <c r="L63" s="95" t="str">
        <f t="shared" si="4"/>
        <v/>
      </c>
      <c r="M63" s="96">
        <f t="shared" si="5"/>
        <v>0</v>
      </c>
      <c r="N63" s="97">
        <f>IF(M63=0,0,IF(SUM($M$5:M63)&gt;251,1,0))</f>
        <v>0</v>
      </c>
      <c r="O63" s="162">
        <v>40</v>
      </c>
      <c r="P63" s="163">
        <v>1</v>
      </c>
      <c r="Q63" s="98"/>
      <c r="R63" s="415" t="s">
        <v>543</v>
      </c>
      <c r="S63" s="99" t="str">
        <f t="shared" si="17"/>
        <v>放課後児童支援員</v>
      </c>
      <c r="T63" s="100" t="str">
        <f t="shared" si="11"/>
        <v>対象</v>
      </c>
      <c r="U63" s="418" t="s">
        <v>539</v>
      </c>
      <c r="V63" s="99" t="str">
        <f t="shared" si="18"/>
        <v>放課後児童支援員</v>
      </c>
      <c r="W63" s="100" t="str">
        <f t="shared" si="12"/>
        <v>対象</v>
      </c>
      <c r="X63" s="418" t="s">
        <v>546</v>
      </c>
      <c r="Y63" s="99" t="str">
        <f t="shared" si="19"/>
        <v>放課後児童支援員</v>
      </c>
      <c r="Z63" s="100" t="str">
        <f t="shared" si="13"/>
        <v>対象</v>
      </c>
      <c r="AA63" s="418"/>
      <c r="AB63" s="99">
        <f t="shared" si="20"/>
        <v>0</v>
      </c>
      <c r="AC63" s="100">
        <f t="shared" si="14"/>
        <v>0</v>
      </c>
      <c r="AD63" s="418"/>
      <c r="AE63" s="99">
        <f t="shared" si="21"/>
        <v>0</v>
      </c>
      <c r="AF63" s="100">
        <f t="shared" si="15"/>
        <v>0</v>
      </c>
      <c r="AG63" s="351" t="str">
        <f t="shared" si="16"/>
        <v/>
      </c>
      <c r="AH63" s="272" t="str">
        <f t="shared" si="6"/>
        <v/>
      </c>
      <c r="AI63" s="358" t="str">
        <f t="shared" si="7"/>
        <v/>
      </c>
      <c r="AJ63" s="272" t="str">
        <f t="shared" si="8"/>
        <v/>
      </c>
      <c r="AK63" s="361" t="str">
        <f t="shared" si="9"/>
        <v/>
      </c>
      <c r="AL63" s="11"/>
      <c r="AM63" s="11"/>
      <c r="AN63" s="11"/>
    </row>
    <row r="64" spans="1:40" ht="14.25">
      <c r="A64" s="787"/>
      <c r="B64" s="31" t="s">
        <v>202</v>
      </c>
      <c r="C64" s="184" t="s">
        <v>121</v>
      </c>
      <c r="D64" s="413" t="s">
        <v>24</v>
      </c>
      <c r="E64" s="49">
        <v>0.59722222222222221</v>
      </c>
      <c r="F64" s="49">
        <v>0.80555555555555547</v>
      </c>
      <c r="G64" s="93">
        <f t="shared" si="0"/>
        <v>0.20833333333333326</v>
      </c>
      <c r="H64" s="555">
        <f t="shared" si="10"/>
        <v>3.4722222222222099E-2</v>
      </c>
      <c r="I64" s="556">
        <f t="shared" si="1"/>
        <v>1</v>
      </c>
      <c r="J64" s="94">
        <f t="shared" si="2"/>
        <v>0</v>
      </c>
      <c r="K64" s="32">
        <f t="shared" si="3"/>
        <v>0</v>
      </c>
      <c r="L64" s="95" t="str">
        <f t="shared" si="4"/>
        <v/>
      </c>
      <c r="M64" s="96">
        <f t="shared" si="5"/>
        <v>0</v>
      </c>
      <c r="N64" s="97">
        <f>IF(M64=0,0,IF(SUM($M$5:M64)&gt;251,1,0))</f>
        <v>0</v>
      </c>
      <c r="O64" s="162">
        <v>40</v>
      </c>
      <c r="P64" s="163">
        <v>1</v>
      </c>
      <c r="Q64" s="98"/>
      <c r="R64" s="415" t="s">
        <v>543</v>
      </c>
      <c r="S64" s="99" t="str">
        <f t="shared" si="17"/>
        <v>放課後児童支援員</v>
      </c>
      <c r="T64" s="100" t="str">
        <f t="shared" si="11"/>
        <v>対象</v>
      </c>
      <c r="U64" s="418" t="s">
        <v>539</v>
      </c>
      <c r="V64" s="99" t="str">
        <f t="shared" si="18"/>
        <v>放課後児童支援員</v>
      </c>
      <c r="W64" s="100" t="str">
        <f t="shared" si="12"/>
        <v>対象</v>
      </c>
      <c r="X64" s="418" t="s">
        <v>546</v>
      </c>
      <c r="Y64" s="99" t="str">
        <f t="shared" si="19"/>
        <v>放課後児童支援員</v>
      </c>
      <c r="Z64" s="100" t="str">
        <f t="shared" si="13"/>
        <v>対象</v>
      </c>
      <c r="AA64" s="418"/>
      <c r="AB64" s="99">
        <f t="shared" si="20"/>
        <v>0</v>
      </c>
      <c r="AC64" s="100">
        <f t="shared" si="14"/>
        <v>0</v>
      </c>
      <c r="AD64" s="418"/>
      <c r="AE64" s="99">
        <f t="shared" si="21"/>
        <v>0</v>
      </c>
      <c r="AF64" s="100">
        <f t="shared" si="15"/>
        <v>0</v>
      </c>
      <c r="AG64" s="351" t="str">
        <f t="shared" si="16"/>
        <v/>
      </c>
      <c r="AH64" s="272" t="str">
        <f t="shared" si="6"/>
        <v/>
      </c>
      <c r="AI64" s="358" t="str">
        <f t="shared" si="7"/>
        <v/>
      </c>
      <c r="AJ64" s="272" t="str">
        <f t="shared" si="8"/>
        <v/>
      </c>
      <c r="AK64" s="361" t="str">
        <f t="shared" si="9"/>
        <v/>
      </c>
      <c r="AL64" s="11"/>
      <c r="AM64" s="11"/>
      <c r="AN64" s="11"/>
    </row>
    <row r="65" spans="1:40" ht="15" thickBot="1">
      <c r="A65" s="788"/>
      <c r="B65" s="33" t="s">
        <v>213</v>
      </c>
      <c r="C65" s="184" t="s">
        <v>122</v>
      </c>
      <c r="D65" s="413" t="s">
        <v>171</v>
      </c>
      <c r="E65" s="49">
        <v>0.33333333333333331</v>
      </c>
      <c r="F65" s="49">
        <v>0.6875</v>
      </c>
      <c r="G65" s="101">
        <f t="shared" si="0"/>
        <v>0.35416666666666669</v>
      </c>
      <c r="H65" s="555" t="str">
        <f t="shared" si="10"/>
        <v>0:00</v>
      </c>
      <c r="I65" s="557">
        <f t="shared" si="1"/>
        <v>0</v>
      </c>
      <c r="J65" s="102">
        <f t="shared" si="2"/>
        <v>2.083333333333337E-2</v>
      </c>
      <c r="K65" s="34">
        <f t="shared" si="3"/>
        <v>1</v>
      </c>
      <c r="L65" s="103" t="str">
        <f t="shared" si="4"/>
        <v/>
      </c>
      <c r="M65" s="104">
        <f t="shared" si="5"/>
        <v>1</v>
      </c>
      <c r="N65" s="105">
        <f>IF(M65=0,0,IF(SUM($M$5:M65)&gt;251,1,0))</f>
        <v>0</v>
      </c>
      <c r="O65" s="162">
        <v>5</v>
      </c>
      <c r="P65" s="163">
        <v>0</v>
      </c>
      <c r="Q65" s="108">
        <f>SUM(O35:O65)</f>
        <v>855</v>
      </c>
      <c r="R65" s="416" t="s">
        <v>543</v>
      </c>
      <c r="S65" s="185" t="str">
        <f t="shared" si="17"/>
        <v>放課後児童支援員</v>
      </c>
      <c r="T65" s="107" t="str">
        <f t="shared" si="11"/>
        <v>対象</v>
      </c>
      <c r="U65" s="419" t="s">
        <v>539</v>
      </c>
      <c r="V65" s="185" t="str">
        <f t="shared" si="18"/>
        <v>放課後児童支援員</v>
      </c>
      <c r="W65" s="107" t="str">
        <f t="shared" si="12"/>
        <v>対象</v>
      </c>
      <c r="X65" s="419" t="s">
        <v>546</v>
      </c>
      <c r="Y65" s="185" t="str">
        <f t="shared" si="19"/>
        <v>放課後児童支援員</v>
      </c>
      <c r="Z65" s="107" t="str">
        <f t="shared" si="13"/>
        <v>対象</v>
      </c>
      <c r="AA65" s="419"/>
      <c r="AB65" s="185">
        <f t="shared" si="20"/>
        <v>0</v>
      </c>
      <c r="AC65" s="107">
        <f t="shared" si="14"/>
        <v>0</v>
      </c>
      <c r="AD65" s="419"/>
      <c r="AE65" s="185">
        <f t="shared" si="21"/>
        <v>0</v>
      </c>
      <c r="AF65" s="107">
        <f t="shared" si="15"/>
        <v>0</v>
      </c>
      <c r="AG65" s="182" t="str">
        <f t="shared" si="16"/>
        <v/>
      </c>
      <c r="AH65" s="273" t="str">
        <f t="shared" si="6"/>
        <v/>
      </c>
      <c r="AI65" s="464" t="str">
        <f t="shared" si="7"/>
        <v/>
      </c>
      <c r="AJ65" s="273" t="str">
        <f t="shared" si="8"/>
        <v/>
      </c>
      <c r="AK65" s="362" t="str">
        <f t="shared" si="9"/>
        <v/>
      </c>
      <c r="AL65" s="11"/>
      <c r="AM65" s="11"/>
      <c r="AN65" s="11"/>
    </row>
    <row r="66" spans="1:40" ht="14.25">
      <c r="A66" s="786" t="s">
        <v>203</v>
      </c>
      <c r="B66" s="27" t="s">
        <v>170</v>
      </c>
      <c r="C66" s="184" t="s">
        <v>183</v>
      </c>
      <c r="D66" s="413" t="s">
        <v>173</v>
      </c>
      <c r="E66" s="48"/>
      <c r="F66" s="48"/>
      <c r="G66" s="85">
        <f t="shared" si="0"/>
        <v>0</v>
      </c>
      <c r="H66" s="555" t="str">
        <f t="shared" si="10"/>
        <v>0:00</v>
      </c>
      <c r="I66" s="558">
        <f t="shared" si="1"/>
        <v>0</v>
      </c>
      <c r="J66" s="86">
        <f t="shared" si="2"/>
        <v>0</v>
      </c>
      <c r="K66" s="29">
        <f t="shared" si="3"/>
        <v>0</v>
      </c>
      <c r="L66" s="87" t="str">
        <f t="shared" si="4"/>
        <v/>
      </c>
      <c r="M66" s="88">
        <f t="shared" si="5"/>
        <v>0</v>
      </c>
      <c r="N66" s="89">
        <f>IF(M66=0,0,IF(SUM($M$5:M66)&gt;251,1,0))</f>
        <v>0</v>
      </c>
      <c r="O66" s="160"/>
      <c r="P66" s="161"/>
      <c r="Q66" s="90"/>
      <c r="R66" s="414"/>
      <c r="S66" s="91">
        <f t="shared" si="17"/>
        <v>0</v>
      </c>
      <c r="T66" s="92">
        <f t="shared" si="11"/>
        <v>0</v>
      </c>
      <c r="U66" s="417"/>
      <c r="V66" s="91">
        <f t="shared" si="18"/>
        <v>0</v>
      </c>
      <c r="W66" s="92">
        <f t="shared" si="12"/>
        <v>0</v>
      </c>
      <c r="X66" s="417"/>
      <c r="Y66" s="91">
        <f t="shared" si="19"/>
        <v>0</v>
      </c>
      <c r="Z66" s="92">
        <f t="shared" si="13"/>
        <v>0</v>
      </c>
      <c r="AA66" s="417"/>
      <c r="AB66" s="91">
        <f t="shared" si="20"/>
        <v>0</v>
      </c>
      <c r="AC66" s="92">
        <f t="shared" si="14"/>
        <v>0</v>
      </c>
      <c r="AD66" s="417"/>
      <c r="AE66" s="91">
        <f t="shared" si="21"/>
        <v>0</v>
      </c>
      <c r="AF66" s="92">
        <f t="shared" si="15"/>
        <v>0</v>
      </c>
      <c r="AG66" s="363" t="str">
        <f t="shared" si="16"/>
        <v/>
      </c>
      <c r="AH66" s="359" t="str">
        <f t="shared" si="6"/>
        <v/>
      </c>
      <c r="AI66" s="359" t="str">
        <f t="shared" si="7"/>
        <v/>
      </c>
      <c r="AJ66" s="359" t="str">
        <f t="shared" si="8"/>
        <v/>
      </c>
      <c r="AK66" s="360" t="str">
        <f t="shared" si="9"/>
        <v/>
      </c>
      <c r="AL66" s="11"/>
      <c r="AM66" s="11"/>
      <c r="AN66" s="11"/>
    </row>
    <row r="67" spans="1:40" ht="14.25">
      <c r="A67" s="787"/>
      <c r="B67" s="31" t="s">
        <v>172</v>
      </c>
      <c r="C67" s="184" t="s">
        <v>118</v>
      </c>
      <c r="D67" s="413" t="s">
        <v>24</v>
      </c>
      <c r="E67" s="49">
        <v>0.59722222222222221</v>
      </c>
      <c r="F67" s="49">
        <v>0.7715277777777777</v>
      </c>
      <c r="G67" s="93">
        <f t="shared" si="0"/>
        <v>0.17430555555555549</v>
      </c>
      <c r="H67" s="555">
        <f t="shared" si="10"/>
        <v>6.9444444444433095E-4</v>
      </c>
      <c r="I67" s="556">
        <f t="shared" si="1"/>
        <v>1</v>
      </c>
      <c r="J67" s="94">
        <f t="shared" si="2"/>
        <v>0</v>
      </c>
      <c r="K67" s="32">
        <f t="shared" si="3"/>
        <v>0</v>
      </c>
      <c r="L67" s="95" t="str">
        <f t="shared" si="4"/>
        <v/>
      </c>
      <c r="M67" s="96">
        <f t="shared" si="5"/>
        <v>0</v>
      </c>
      <c r="N67" s="97">
        <f>IF(M67=0,0,IF(SUM($M$5:M67)&gt;251,1,0))</f>
        <v>0</v>
      </c>
      <c r="O67" s="162">
        <v>40</v>
      </c>
      <c r="P67" s="163">
        <v>1</v>
      </c>
      <c r="Q67" s="98"/>
      <c r="R67" s="415" t="s">
        <v>543</v>
      </c>
      <c r="S67" s="99" t="str">
        <f t="shared" si="17"/>
        <v>放課後児童支援員</v>
      </c>
      <c r="T67" s="100" t="str">
        <f t="shared" si="11"/>
        <v>対象</v>
      </c>
      <c r="U67" s="418" t="s">
        <v>539</v>
      </c>
      <c r="V67" s="99" t="str">
        <f t="shared" si="18"/>
        <v>放課後児童支援員</v>
      </c>
      <c r="W67" s="100" t="str">
        <f t="shared" si="12"/>
        <v>対象</v>
      </c>
      <c r="X67" s="418"/>
      <c r="Y67" s="99">
        <f t="shared" si="19"/>
        <v>0</v>
      </c>
      <c r="Z67" s="100">
        <f t="shared" si="13"/>
        <v>0</v>
      </c>
      <c r="AA67" s="418"/>
      <c r="AB67" s="99">
        <f t="shared" si="20"/>
        <v>0</v>
      </c>
      <c r="AC67" s="100">
        <f t="shared" si="14"/>
        <v>0</v>
      </c>
      <c r="AD67" s="418"/>
      <c r="AE67" s="99">
        <f t="shared" si="21"/>
        <v>0</v>
      </c>
      <c r="AF67" s="100">
        <f t="shared" si="15"/>
        <v>0</v>
      </c>
      <c r="AG67" s="351" t="str">
        <f t="shared" si="16"/>
        <v/>
      </c>
      <c r="AH67" s="272" t="str">
        <f t="shared" si="6"/>
        <v/>
      </c>
      <c r="AI67" s="358" t="str">
        <f t="shared" si="7"/>
        <v/>
      </c>
      <c r="AJ67" s="272" t="str">
        <f t="shared" si="8"/>
        <v/>
      </c>
      <c r="AK67" s="361" t="str">
        <f t="shared" si="9"/>
        <v/>
      </c>
      <c r="AL67" s="11"/>
      <c r="AM67" s="11"/>
      <c r="AN67" s="11"/>
    </row>
    <row r="68" spans="1:40" ht="14.25">
      <c r="A68" s="787"/>
      <c r="B68" s="31" t="s">
        <v>174</v>
      </c>
      <c r="C68" s="184" t="s">
        <v>123</v>
      </c>
      <c r="D68" s="413" t="s">
        <v>24</v>
      </c>
      <c r="E68" s="49">
        <v>0.59722222222222221</v>
      </c>
      <c r="F68" s="49">
        <v>0.79166666666666663</v>
      </c>
      <c r="G68" s="93">
        <f t="shared" si="0"/>
        <v>0.19444444444444442</v>
      </c>
      <c r="H68" s="555">
        <f t="shared" si="10"/>
        <v>2.0833333333333259E-2</v>
      </c>
      <c r="I68" s="556">
        <f t="shared" si="1"/>
        <v>1</v>
      </c>
      <c r="J68" s="94">
        <f t="shared" si="2"/>
        <v>0</v>
      </c>
      <c r="K68" s="32">
        <f t="shared" si="3"/>
        <v>0</v>
      </c>
      <c r="L68" s="95" t="str">
        <f t="shared" si="4"/>
        <v/>
      </c>
      <c r="M68" s="96">
        <f t="shared" si="5"/>
        <v>0</v>
      </c>
      <c r="N68" s="97">
        <f>IF(M68=0,0,IF(SUM($M$5:M68)&gt;251,1,0))</f>
        <v>0</v>
      </c>
      <c r="O68" s="162">
        <v>40</v>
      </c>
      <c r="P68" s="163">
        <v>1</v>
      </c>
      <c r="Q68" s="98"/>
      <c r="R68" s="415" t="s">
        <v>543</v>
      </c>
      <c r="S68" s="99" t="str">
        <f t="shared" si="17"/>
        <v>放課後児童支援員</v>
      </c>
      <c r="T68" s="100" t="str">
        <f t="shared" si="11"/>
        <v>対象</v>
      </c>
      <c r="U68" s="418" t="s">
        <v>539</v>
      </c>
      <c r="V68" s="99" t="str">
        <f t="shared" si="18"/>
        <v>放課後児童支援員</v>
      </c>
      <c r="W68" s="100" t="str">
        <f t="shared" si="12"/>
        <v>対象</v>
      </c>
      <c r="X68" s="418" t="s">
        <v>546</v>
      </c>
      <c r="Y68" s="99" t="str">
        <f t="shared" si="19"/>
        <v>放課後児童支援員</v>
      </c>
      <c r="Z68" s="100" t="str">
        <f t="shared" si="13"/>
        <v>対象</v>
      </c>
      <c r="AA68" s="418"/>
      <c r="AB68" s="99">
        <f t="shared" si="20"/>
        <v>0</v>
      </c>
      <c r="AC68" s="100">
        <f t="shared" si="14"/>
        <v>0</v>
      </c>
      <c r="AD68" s="418"/>
      <c r="AE68" s="99">
        <f t="shared" si="21"/>
        <v>0</v>
      </c>
      <c r="AF68" s="100">
        <f t="shared" si="15"/>
        <v>0</v>
      </c>
      <c r="AG68" s="351" t="str">
        <f t="shared" si="16"/>
        <v/>
      </c>
      <c r="AH68" s="272" t="str">
        <f t="shared" si="6"/>
        <v/>
      </c>
      <c r="AI68" s="358" t="str">
        <f t="shared" si="7"/>
        <v/>
      </c>
      <c r="AJ68" s="272" t="str">
        <f t="shared" si="8"/>
        <v/>
      </c>
      <c r="AK68" s="361" t="str">
        <f t="shared" si="9"/>
        <v/>
      </c>
      <c r="AL68" s="11"/>
      <c r="AM68" s="11"/>
      <c r="AN68" s="11"/>
    </row>
    <row r="69" spans="1:40" ht="14.25">
      <c r="A69" s="787"/>
      <c r="B69" s="31" t="s">
        <v>175</v>
      </c>
      <c r="C69" s="184" t="s">
        <v>119</v>
      </c>
      <c r="D69" s="413" t="s">
        <v>24</v>
      </c>
      <c r="E69" s="49">
        <v>0.59722222222222221</v>
      </c>
      <c r="F69" s="49">
        <v>0.79166666666666663</v>
      </c>
      <c r="G69" s="93">
        <f t="shared" ref="G69:G132" si="40">F69-E69</f>
        <v>0.19444444444444442</v>
      </c>
      <c r="H69" s="555">
        <f t="shared" si="10"/>
        <v>2.0833333333333259E-2</v>
      </c>
      <c r="I69" s="556">
        <f t="shared" ref="I69:I132" si="41">IF(ISNUMBER(SEARCH("平日", D69)), 1, 0)</f>
        <v>1</v>
      </c>
      <c r="J69" s="94">
        <f t="shared" ref="J69:J132" si="42">IF(D69="土・日・祝・長期休暇",MAX(G69-TIME(8,0,0),0),0)</f>
        <v>0</v>
      </c>
      <c r="K69" s="32">
        <f t="shared" ref="K69:K132" si="43">IF(ISNUMBER(SEARCH("長期", D69)), 1, 0)</f>
        <v>0</v>
      </c>
      <c r="L69" s="95" t="str">
        <f t="shared" ref="L69:L132" si="44">IF(D69="休所",IF(E69&lt;&gt;"","入力にエラーがあります",""),"")</f>
        <v/>
      </c>
      <c r="M69" s="96">
        <f t="shared" ref="M69:M132" si="45">IF(OR(D69="休所",D69="",D69="平日：開所とみなす閉所"),0,IF(OR(G69-TIME(7,59,59)&gt;0,D69="土日祝長期：開所とみなす閉所"),1,0))</f>
        <v>0</v>
      </c>
      <c r="N69" s="97">
        <f>IF(M69=0,0,IF(SUM($M$5:M69)&gt;251,1,0))</f>
        <v>0</v>
      </c>
      <c r="O69" s="162">
        <v>40</v>
      </c>
      <c r="P69" s="163">
        <v>1</v>
      </c>
      <c r="Q69" s="98"/>
      <c r="R69" s="415" t="s">
        <v>543</v>
      </c>
      <c r="S69" s="99" t="str">
        <f t="shared" si="17"/>
        <v>放課後児童支援員</v>
      </c>
      <c r="T69" s="100" t="str">
        <f t="shared" si="11"/>
        <v>対象</v>
      </c>
      <c r="U69" s="418" t="s">
        <v>539</v>
      </c>
      <c r="V69" s="99" t="str">
        <f t="shared" si="18"/>
        <v>放課後児童支援員</v>
      </c>
      <c r="W69" s="100" t="str">
        <f t="shared" si="12"/>
        <v>対象</v>
      </c>
      <c r="X69" s="418" t="s">
        <v>546</v>
      </c>
      <c r="Y69" s="99" t="str">
        <f t="shared" si="19"/>
        <v>放課後児童支援員</v>
      </c>
      <c r="Z69" s="100" t="str">
        <f t="shared" si="13"/>
        <v>対象</v>
      </c>
      <c r="AA69" s="418"/>
      <c r="AB69" s="99">
        <f t="shared" si="20"/>
        <v>0</v>
      </c>
      <c r="AC69" s="100">
        <f t="shared" si="14"/>
        <v>0</v>
      </c>
      <c r="AD69" s="418"/>
      <c r="AE69" s="99">
        <f t="shared" si="21"/>
        <v>0</v>
      </c>
      <c r="AF69" s="100">
        <f t="shared" si="15"/>
        <v>0</v>
      </c>
      <c r="AG69" s="351" t="str">
        <f t="shared" si="16"/>
        <v/>
      </c>
      <c r="AH69" s="272" t="str">
        <f t="shared" ref="AH69:AH132" si="46">IF(OR(D69=$AL$6,D69=$AL$7,D69=$AL$8),"",IF(P69&gt;0,IF(COUNTIF(R69:AF69,"対象")&gt;0,"","障害児加配対象職員がいません"),""))</f>
        <v/>
      </c>
      <c r="AI69" s="358" t="str">
        <f t="shared" ref="AI69:AI132" si="47">IF(OR(D69=$AL$6, D69=$AL$7, D69=$AL$8), "", IF(P69&gt;2, IF(COUNTIF(R69:AF69, "対象")&lt;=1, IF(AA69&lt;&gt;"", "", "障害児が３名以上いますが、職員の配置が３名以下です(強化加算対象外)"), IF(AA69&lt;&gt;"", "", "障害児が３名以上いますが、職員の配置が３名以下です(強化加算対象外)")), ""))</f>
        <v/>
      </c>
      <c r="AJ69" s="272" t="str">
        <f t="shared" ref="AJ69:AJ132" si="48">IF(AND(D69="平日", G69*24&lt;3), "平日は3時間以上開所", IF(AND(D69="土・日・祝・長期休暇", G69*24&lt;8), "学校の休業日は8時間以上開所", ""))</f>
        <v/>
      </c>
      <c r="AK69" s="361" t="str">
        <f t="shared" ref="AK69:AK132" si="49">IF(AND(OR(D69="平日", D69="土・日・祝・長期休暇"), OR(O69="")), "児童数が入力されていません！", "")</f>
        <v/>
      </c>
      <c r="AL69" s="11"/>
      <c r="AM69" s="11"/>
      <c r="AN69" s="11"/>
    </row>
    <row r="70" spans="1:40" ht="14.25">
      <c r="A70" s="787"/>
      <c r="B70" s="31" t="s">
        <v>176</v>
      </c>
      <c r="C70" s="184" t="s">
        <v>120</v>
      </c>
      <c r="D70" s="413" t="s">
        <v>24</v>
      </c>
      <c r="E70" s="49">
        <v>0.54861111111111105</v>
      </c>
      <c r="F70" s="49">
        <v>0.79166666666666663</v>
      </c>
      <c r="G70" s="93">
        <f t="shared" si="40"/>
        <v>0.24305555555555558</v>
      </c>
      <c r="H70" s="555">
        <f t="shared" ref="H70:H133" si="50">IF(AND(D70="平日", F70&gt;TIME(18,30,0)), (F70-TIME(18,30,0))*1440/1440, "0:00")</f>
        <v>2.0833333333333259E-2</v>
      </c>
      <c r="I70" s="556">
        <f t="shared" si="41"/>
        <v>1</v>
      </c>
      <c r="J70" s="94">
        <f t="shared" si="42"/>
        <v>0</v>
      </c>
      <c r="K70" s="32">
        <f t="shared" si="43"/>
        <v>0</v>
      </c>
      <c r="L70" s="95" t="str">
        <f t="shared" si="44"/>
        <v/>
      </c>
      <c r="M70" s="96">
        <f t="shared" si="45"/>
        <v>0</v>
      </c>
      <c r="N70" s="97">
        <f>IF(M70=0,0,IF(SUM($M$5:M70)&gt;251,1,0))</f>
        <v>0</v>
      </c>
      <c r="O70" s="162">
        <v>40</v>
      </c>
      <c r="P70" s="163">
        <v>1</v>
      </c>
      <c r="Q70" s="98"/>
      <c r="R70" s="415" t="s">
        <v>543</v>
      </c>
      <c r="S70" s="99" t="str">
        <f t="shared" si="17"/>
        <v>放課後児童支援員</v>
      </c>
      <c r="T70" s="100" t="str">
        <f t="shared" ref="T70:T133" si="51">VLOOKUP(R70,$AM$12:$AO$31,3,FALSE)</f>
        <v>対象</v>
      </c>
      <c r="U70" s="418" t="s">
        <v>539</v>
      </c>
      <c r="V70" s="99" t="str">
        <f t="shared" si="18"/>
        <v>放課後児童支援員</v>
      </c>
      <c r="W70" s="100" t="str">
        <f t="shared" ref="W70:W133" si="52">VLOOKUP(U70,$AM$12:$AO$31,3,FALSE)</f>
        <v>対象</v>
      </c>
      <c r="X70" s="418" t="s">
        <v>546</v>
      </c>
      <c r="Y70" s="99" t="str">
        <f t="shared" si="19"/>
        <v>放課後児童支援員</v>
      </c>
      <c r="Z70" s="100" t="str">
        <f t="shared" ref="Z70:Z133" si="53">VLOOKUP(X70,$AM$12:$AO$31,3,FALSE)</f>
        <v>対象</v>
      </c>
      <c r="AA70" s="418"/>
      <c r="AB70" s="99">
        <f t="shared" si="20"/>
        <v>0</v>
      </c>
      <c r="AC70" s="100">
        <f t="shared" ref="AC70:AC133" si="54">VLOOKUP(AA70,$AM$12:$AO$31,3,FALSE)</f>
        <v>0</v>
      </c>
      <c r="AD70" s="418"/>
      <c r="AE70" s="99">
        <f t="shared" si="21"/>
        <v>0</v>
      </c>
      <c r="AF70" s="100">
        <f t="shared" ref="AF70:AF133" si="55">VLOOKUP(AD70,$AM$12:$AO$31,3,FALSE)</f>
        <v>0</v>
      </c>
      <c r="AG70" s="351" t="str">
        <f t="shared" ref="AG70:AG133" si="56">IF(OR(D70=$AL$6,D70=$AL$7,D70=$AL$8,D70=""),"",IF(COUNTIF(R70:AF70,"*支援員*")&gt;0,"","支援員がいません！"))</f>
        <v/>
      </c>
      <c r="AH70" s="272" t="str">
        <f t="shared" si="46"/>
        <v/>
      </c>
      <c r="AI70" s="358" t="str">
        <f t="shared" si="47"/>
        <v/>
      </c>
      <c r="AJ70" s="272" t="str">
        <f t="shared" si="48"/>
        <v/>
      </c>
      <c r="AK70" s="361" t="str">
        <f t="shared" si="49"/>
        <v/>
      </c>
      <c r="AL70" s="11"/>
      <c r="AM70" s="11"/>
      <c r="AN70" s="11"/>
    </row>
    <row r="71" spans="1:40" ht="14.25">
      <c r="A71" s="787"/>
      <c r="B71" s="31" t="s">
        <v>177</v>
      </c>
      <c r="C71" s="184" t="s">
        <v>121</v>
      </c>
      <c r="D71" s="413" t="s">
        <v>24</v>
      </c>
      <c r="E71" s="49">
        <v>0.59722222222222221</v>
      </c>
      <c r="F71" s="49">
        <v>0.80555555555555547</v>
      </c>
      <c r="G71" s="93">
        <f t="shared" si="40"/>
        <v>0.20833333333333326</v>
      </c>
      <c r="H71" s="555">
        <f t="shared" si="50"/>
        <v>3.4722222222222099E-2</v>
      </c>
      <c r="I71" s="556">
        <f t="shared" si="41"/>
        <v>1</v>
      </c>
      <c r="J71" s="94">
        <f t="shared" si="42"/>
        <v>0</v>
      </c>
      <c r="K71" s="32">
        <f t="shared" si="43"/>
        <v>0</v>
      </c>
      <c r="L71" s="95" t="str">
        <f t="shared" si="44"/>
        <v/>
      </c>
      <c r="M71" s="96">
        <f t="shared" si="45"/>
        <v>0</v>
      </c>
      <c r="N71" s="97">
        <f>IF(M71=0,0,IF(SUM($M$5:M71)&gt;251,1,0))</f>
        <v>0</v>
      </c>
      <c r="O71" s="162">
        <v>40</v>
      </c>
      <c r="P71" s="163">
        <v>1</v>
      </c>
      <c r="Q71" s="98"/>
      <c r="R71" s="415" t="s">
        <v>543</v>
      </c>
      <c r="S71" s="99" t="str">
        <f t="shared" ref="S71:S134" si="57">VLOOKUP(R71,$AM$12:$AN$31,2,FALSE)</f>
        <v>放課後児童支援員</v>
      </c>
      <c r="T71" s="100" t="str">
        <f t="shared" si="51"/>
        <v>対象</v>
      </c>
      <c r="U71" s="418" t="s">
        <v>539</v>
      </c>
      <c r="V71" s="99" t="str">
        <f t="shared" ref="V71:V134" si="58">VLOOKUP(U71,$AM$12:$AN$31,2,FALSE)</f>
        <v>放課後児童支援員</v>
      </c>
      <c r="W71" s="100" t="str">
        <f t="shared" si="52"/>
        <v>対象</v>
      </c>
      <c r="X71" s="418" t="s">
        <v>546</v>
      </c>
      <c r="Y71" s="99" t="str">
        <f t="shared" ref="Y71:Y134" si="59">VLOOKUP(X71,$AM$12:$AN$31,2,FALSE)</f>
        <v>放課後児童支援員</v>
      </c>
      <c r="Z71" s="100" t="str">
        <f t="shared" si="53"/>
        <v>対象</v>
      </c>
      <c r="AA71" s="418"/>
      <c r="AB71" s="99">
        <f t="shared" ref="AB71:AB134" si="60">VLOOKUP(AA71,$AM$12:$AN$31,2,FALSE)</f>
        <v>0</v>
      </c>
      <c r="AC71" s="100">
        <f t="shared" si="54"/>
        <v>0</v>
      </c>
      <c r="AD71" s="418"/>
      <c r="AE71" s="99">
        <f t="shared" ref="AE71:AE134" si="61">VLOOKUP(AD71,$AM$12:$AN$31,2,FALSE)</f>
        <v>0</v>
      </c>
      <c r="AF71" s="100">
        <f t="shared" si="55"/>
        <v>0</v>
      </c>
      <c r="AG71" s="351" t="str">
        <f t="shared" si="56"/>
        <v/>
      </c>
      <c r="AH71" s="272" t="str">
        <f t="shared" si="46"/>
        <v/>
      </c>
      <c r="AI71" s="358" t="str">
        <f t="shared" si="47"/>
        <v/>
      </c>
      <c r="AJ71" s="272" t="str">
        <f t="shared" si="48"/>
        <v/>
      </c>
      <c r="AK71" s="361" t="str">
        <f t="shared" si="49"/>
        <v/>
      </c>
      <c r="AL71" s="11"/>
      <c r="AM71" s="11"/>
      <c r="AN71" s="11"/>
    </row>
    <row r="72" spans="1:40" ht="14.25">
      <c r="A72" s="787"/>
      <c r="B72" s="31" t="s">
        <v>178</v>
      </c>
      <c r="C72" s="184" t="s">
        <v>122</v>
      </c>
      <c r="D72" s="413" t="s">
        <v>171</v>
      </c>
      <c r="E72" s="49">
        <v>0.33333333333333331</v>
      </c>
      <c r="F72" s="49">
        <v>0.6875</v>
      </c>
      <c r="G72" s="93">
        <f t="shared" si="40"/>
        <v>0.35416666666666669</v>
      </c>
      <c r="H72" s="555" t="str">
        <f t="shared" si="50"/>
        <v>0:00</v>
      </c>
      <c r="I72" s="556">
        <f t="shared" si="41"/>
        <v>0</v>
      </c>
      <c r="J72" s="94">
        <f t="shared" si="42"/>
        <v>2.083333333333337E-2</v>
      </c>
      <c r="K72" s="32">
        <f t="shared" si="43"/>
        <v>1</v>
      </c>
      <c r="L72" s="95" t="str">
        <f t="shared" si="44"/>
        <v/>
      </c>
      <c r="M72" s="96">
        <f t="shared" si="45"/>
        <v>1</v>
      </c>
      <c r="N72" s="97">
        <f>IF(M72=0,0,IF(SUM($M$5:M72)&gt;251,1,0))</f>
        <v>0</v>
      </c>
      <c r="O72" s="162">
        <v>5</v>
      </c>
      <c r="P72" s="163">
        <v>0</v>
      </c>
      <c r="Q72" s="98"/>
      <c r="R72" s="415" t="s">
        <v>543</v>
      </c>
      <c r="S72" s="99" t="str">
        <f t="shared" si="57"/>
        <v>放課後児童支援員</v>
      </c>
      <c r="T72" s="100" t="str">
        <f t="shared" si="51"/>
        <v>対象</v>
      </c>
      <c r="U72" s="418" t="s">
        <v>539</v>
      </c>
      <c r="V72" s="99" t="str">
        <f t="shared" si="58"/>
        <v>放課後児童支援員</v>
      </c>
      <c r="W72" s="100" t="str">
        <f t="shared" si="52"/>
        <v>対象</v>
      </c>
      <c r="X72" s="418" t="s">
        <v>546</v>
      </c>
      <c r="Y72" s="99" t="str">
        <f t="shared" si="59"/>
        <v>放課後児童支援員</v>
      </c>
      <c r="Z72" s="100" t="str">
        <f t="shared" si="53"/>
        <v>対象</v>
      </c>
      <c r="AA72" s="418"/>
      <c r="AB72" s="99">
        <f t="shared" si="60"/>
        <v>0</v>
      </c>
      <c r="AC72" s="100">
        <f t="shared" si="54"/>
        <v>0</v>
      </c>
      <c r="AD72" s="418"/>
      <c r="AE72" s="99">
        <f t="shared" si="61"/>
        <v>0</v>
      </c>
      <c r="AF72" s="100">
        <f t="shared" si="55"/>
        <v>0</v>
      </c>
      <c r="AG72" s="351" t="str">
        <f t="shared" si="56"/>
        <v/>
      </c>
      <c r="AH72" s="272" t="str">
        <f t="shared" si="46"/>
        <v/>
      </c>
      <c r="AI72" s="358" t="str">
        <f t="shared" si="47"/>
        <v/>
      </c>
      <c r="AJ72" s="272" t="str">
        <f t="shared" si="48"/>
        <v/>
      </c>
      <c r="AK72" s="361" t="str">
        <f t="shared" si="49"/>
        <v/>
      </c>
      <c r="AL72" s="11"/>
      <c r="AM72" s="11"/>
      <c r="AN72" s="11"/>
    </row>
    <row r="73" spans="1:40" ht="14.25">
      <c r="A73" s="787"/>
      <c r="B73" s="31" t="s">
        <v>179</v>
      </c>
      <c r="C73" s="184" t="s">
        <v>183</v>
      </c>
      <c r="D73" s="413" t="s">
        <v>173</v>
      </c>
      <c r="E73" s="49"/>
      <c r="F73" s="49"/>
      <c r="G73" s="93">
        <f t="shared" si="40"/>
        <v>0</v>
      </c>
      <c r="H73" s="555" t="str">
        <f t="shared" si="50"/>
        <v>0:00</v>
      </c>
      <c r="I73" s="556">
        <f t="shared" si="41"/>
        <v>0</v>
      </c>
      <c r="J73" s="94">
        <f t="shared" si="42"/>
        <v>0</v>
      </c>
      <c r="K73" s="32">
        <f t="shared" si="43"/>
        <v>0</v>
      </c>
      <c r="L73" s="95" t="str">
        <f t="shared" si="44"/>
        <v/>
      </c>
      <c r="M73" s="96">
        <f t="shared" si="45"/>
        <v>0</v>
      </c>
      <c r="N73" s="97">
        <f>IF(M73=0,0,IF(SUM($M$5:M73)&gt;251,1,0))</f>
        <v>0</v>
      </c>
      <c r="O73" s="162"/>
      <c r="P73" s="163"/>
      <c r="Q73" s="98"/>
      <c r="R73" s="415"/>
      <c r="S73" s="99">
        <f t="shared" si="57"/>
        <v>0</v>
      </c>
      <c r="T73" s="100">
        <f t="shared" si="51"/>
        <v>0</v>
      </c>
      <c r="U73" s="418"/>
      <c r="V73" s="99">
        <f t="shared" si="58"/>
        <v>0</v>
      </c>
      <c r="W73" s="100">
        <f t="shared" si="52"/>
        <v>0</v>
      </c>
      <c r="X73" s="418"/>
      <c r="Y73" s="99">
        <f t="shared" si="59"/>
        <v>0</v>
      </c>
      <c r="Z73" s="100">
        <f t="shared" si="53"/>
        <v>0</v>
      </c>
      <c r="AA73" s="418"/>
      <c r="AB73" s="99">
        <f t="shared" si="60"/>
        <v>0</v>
      </c>
      <c r="AC73" s="100">
        <f t="shared" si="54"/>
        <v>0</v>
      </c>
      <c r="AD73" s="418"/>
      <c r="AE73" s="99">
        <f t="shared" si="61"/>
        <v>0</v>
      </c>
      <c r="AF73" s="100">
        <f t="shared" si="55"/>
        <v>0</v>
      </c>
      <c r="AG73" s="351" t="str">
        <f t="shared" si="56"/>
        <v/>
      </c>
      <c r="AH73" s="272" t="str">
        <f t="shared" si="46"/>
        <v/>
      </c>
      <c r="AI73" s="358" t="str">
        <f t="shared" si="47"/>
        <v/>
      </c>
      <c r="AJ73" s="272" t="str">
        <f t="shared" si="48"/>
        <v/>
      </c>
      <c r="AK73" s="361" t="str">
        <f t="shared" si="49"/>
        <v/>
      </c>
      <c r="AL73" s="11"/>
      <c r="AM73" s="11"/>
      <c r="AN73" s="11"/>
    </row>
    <row r="74" spans="1:40" ht="14.25">
      <c r="A74" s="787"/>
      <c r="B74" s="31" t="s">
        <v>180</v>
      </c>
      <c r="C74" s="184" t="s">
        <v>118</v>
      </c>
      <c r="D74" s="413" t="s">
        <v>24</v>
      </c>
      <c r="E74" s="49">
        <v>0.59722222222222221</v>
      </c>
      <c r="F74" s="49">
        <v>0.7715277777777777</v>
      </c>
      <c r="G74" s="93">
        <f t="shared" si="40"/>
        <v>0.17430555555555549</v>
      </c>
      <c r="H74" s="555">
        <f t="shared" si="50"/>
        <v>6.9444444444433095E-4</v>
      </c>
      <c r="I74" s="556">
        <f t="shared" si="41"/>
        <v>1</v>
      </c>
      <c r="J74" s="94">
        <f t="shared" si="42"/>
        <v>0</v>
      </c>
      <c r="K74" s="32">
        <f t="shared" si="43"/>
        <v>0</v>
      </c>
      <c r="L74" s="95" t="str">
        <f t="shared" si="44"/>
        <v/>
      </c>
      <c r="M74" s="96">
        <f t="shared" si="45"/>
        <v>0</v>
      </c>
      <c r="N74" s="97">
        <f>IF(M74=0,0,IF(SUM($M$5:M74)&gt;251,1,0))</f>
        <v>0</v>
      </c>
      <c r="O74" s="162">
        <v>40</v>
      </c>
      <c r="P74" s="163">
        <v>1</v>
      </c>
      <c r="Q74" s="98"/>
      <c r="R74" s="415" t="s">
        <v>543</v>
      </c>
      <c r="S74" s="99" t="str">
        <f t="shared" si="57"/>
        <v>放課後児童支援員</v>
      </c>
      <c r="T74" s="100" t="str">
        <f t="shared" si="51"/>
        <v>対象</v>
      </c>
      <c r="U74" s="418" t="s">
        <v>539</v>
      </c>
      <c r="V74" s="99" t="str">
        <f t="shared" si="58"/>
        <v>放課後児童支援員</v>
      </c>
      <c r="W74" s="100" t="str">
        <f t="shared" si="52"/>
        <v>対象</v>
      </c>
      <c r="X74" s="418"/>
      <c r="Y74" s="99">
        <f t="shared" si="59"/>
        <v>0</v>
      </c>
      <c r="Z74" s="100">
        <f t="shared" si="53"/>
        <v>0</v>
      </c>
      <c r="AA74" s="418"/>
      <c r="AB74" s="99">
        <f t="shared" si="60"/>
        <v>0</v>
      </c>
      <c r="AC74" s="100">
        <f t="shared" si="54"/>
        <v>0</v>
      </c>
      <c r="AD74" s="418"/>
      <c r="AE74" s="99">
        <f t="shared" si="61"/>
        <v>0</v>
      </c>
      <c r="AF74" s="100">
        <f t="shared" si="55"/>
        <v>0</v>
      </c>
      <c r="AG74" s="351" t="str">
        <f t="shared" si="56"/>
        <v/>
      </c>
      <c r="AH74" s="272" t="str">
        <f t="shared" si="46"/>
        <v/>
      </c>
      <c r="AI74" s="358" t="str">
        <f t="shared" si="47"/>
        <v/>
      </c>
      <c r="AJ74" s="272" t="str">
        <f t="shared" si="48"/>
        <v/>
      </c>
      <c r="AK74" s="361" t="str">
        <f t="shared" si="49"/>
        <v/>
      </c>
      <c r="AL74" s="11"/>
      <c r="AM74" s="11"/>
      <c r="AN74" s="11"/>
    </row>
    <row r="75" spans="1:40" ht="14.25">
      <c r="A75" s="787"/>
      <c r="B75" s="31" t="s">
        <v>181</v>
      </c>
      <c r="C75" s="184" t="s">
        <v>123</v>
      </c>
      <c r="D75" s="413" t="s">
        <v>24</v>
      </c>
      <c r="E75" s="49">
        <v>0.59722222222222221</v>
      </c>
      <c r="F75" s="49">
        <v>0.79166666666666663</v>
      </c>
      <c r="G75" s="93">
        <f t="shared" si="40"/>
        <v>0.19444444444444442</v>
      </c>
      <c r="H75" s="555">
        <f t="shared" si="50"/>
        <v>2.0833333333333259E-2</v>
      </c>
      <c r="I75" s="556">
        <f t="shared" si="41"/>
        <v>1</v>
      </c>
      <c r="J75" s="94">
        <f t="shared" si="42"/>
        <v>0</v>
      </c>
      <c r="K75" s="32">
        <f t="shared" si="43"/>
        <v>0</v>
      </c>
      <c r="L75" s="95" t="str">
        <f t="shared" si="44"/>
        <v/>
      </c>
      <c r="M75" s="96">
        <f t="shared" si="45"/>
        <v>0</v>
      </c>
      <c r="N75" s="97">
        <f>IF(M75=0,0,IF(SUM($M$5:M75)&gt;251,1,0))</f>
        <v>0</v>
      </c>
      <c r="O75" s="162">
        <v>40</v>
      </c>
      <c r="P75" s="163">
        <v>1</v>
      </c>
      <c r="Q75" s="98"/>
      <c r="R75" s="415" t="s">
        <v>543</v>
      </c>
      <c r="S75" s="99" t="str">
        <f t="shared" si="57"/>
        <v>放課後児童支援員</v>
      </c>
      <c r="T75" s="100" t="str">
        <f t="shared" si="51"/>
        <v>対象</v>
      </c>
      <c r="U75" s="418" t="s">
        <v>539</v>
      </c>
      <c r="V75" s="99" t="str">
        <f t="shared" si="58"/>
        <v>放課後児童支援員</v>
      </c>
      <c r="W75" s="100" t="str">
        <f t="shared" si="52"/>
        <v>対象</v>
      </c>
      <c r="X75" s="418" t="s">
        <v>546</v>
      </c>
      <c r="Y75" s="99" t="str">
        <f t="shared" si="59"/>
        <v>放課後児童支援員</v>
      </c>
      <c r="Z75" s="100" t="str">
        <f t="shared" si="53"/>
        <v>対象</v>
      </c>
      <c r="AA75" s="418"/>
      <c r="AB75" s="99">
        <f t="shared" si="60"/>
        <v>0</v>
      </c>
      <c r="AC75" s="100">
        <f t="shared" si="54"/>
        <v>0</v>
      </c>
      <c r="AD75" s="418"/>
      <c r="AE75" s="99">
        <f t="shared" si="61"/>
        <v>0</v>
      </c>
      <c r="AF75" s="100">
        <f t="shared" si="55"/>
        <v>0</v>
      </c>
      <c r="AG75" s="351" t="str">
        <f t="shared" si="56"/>
        <v/>
      </c>
      <c r="AH75" s="272" t="str">
        <f t="shared" si="46"/>
        <v/>
      </c>
      <c r="AI75" s="358" t="str">
        <f t="shared" si="47"/>
        <v/>
      </c>
      <c r="AJ75" s="272" t="str">
        <f t="shared" si="48"/>
        <v/>
      </c>
      <c r="AK75" s="361" t="str">
        <f t="shared" si="49"/>
        <v/>
      </c>
      <c r="AL75" s="11"/>
      <c r="AM75" s="11"/>
      <c r="AN75" s="11"/>
    </row>
    <row r="76" spans="1:40" ht="14.25">
      <c r="A76" s="787"/>
      <c r="B76" s="31" t="s">
        <v>182</v>
      </c>
      <c r="C76" s="184" t="s">
        <v>119</v>
      </c>
      <c r="D76" s="413" t="s">
        <v>24</v>
      </c>
      <c r="E76" s="49">
        <v>0.59722222222222221</v>
      </c>
      <c r="F76" s="49">
        <v>0.79166666666666663</v>
      </c>
      <c r="G76" s="93">
        <f t="shared" si="40"/>
        <v>0.19444444444444442</v>
      </c>
      <c r="H76" s="555">
        <f t="shared" si="50"/>
        <v>2.0833333333333259E-2</v>
      </c>
      <c r="I76" s="556">
        <f t="shared" si="41"/>
        <v>1</v>
      </c>
      <c r="J76" s="94">
        <f t="shared" si="42"/>
        <v>0</v>
      </c>
      <c r="K76" s="32">
        <f t="shared" si="43"/>
        <v>0</v>
      </c>
      <c r="L76" s="95" t="str">
        <f t="shared" si="44"/>
        <v/>
      </c>
      <c r="M76" s="96">
        <f t="shared" si="45"/>
        <v>0</v>
      </c>
      <c r="N76" s="97">
        <f>IF(M76=0,0,IF(SUM($M$5:M76)&gt;251,1,0))</f>
        <v>0</v>
      </c>
      <c r="O76" s="162">
        <v>40</v>
      </c>
      <c r="P76" s="163">
        <v>1</v>
      </c>
      <c r="Q76" s="98"/>
      <c r="R76" s="415" t="s">
        <v>543</v>
      </c>
      <c r="S76" s="99" t="str">
        <f t="shared" si="57"/>
        <v>放課後児童支援員</v>
      </c>
      <c r="T76" s="100" t="str">
        <f t="shared" si="51"/>
        <v>対象</v>
      </c>
      <c r="U76" s="418" t="s">
        <v>539</v>
      </c>
      <c r="V76" s="99" t="str">
        <f t="shared" si="58"/>
        <v>放課後児童支援員</v>
      </c>
      <c r="W76" s="100" t="str">
        <f t="shared" si="52"/>
        <v>対象</v>
      </c>
      <c r="X76" s="418" t="s">
        <v>546</v>
      </c>
      <c r="Y76" s="99" t="str">
        <f t="shared" si="59"/>
        <v>放課後児童支援員</v>
      </c>
      <c r="Z76" s="100" t="str">
        <f t="shared" si="53"/>
        <v>対象</v>
      </c>
      <c r="AA76" s="418"/>
      <c r="AB76" s="99">
        <f t="shared" si="60"/>
        <v>0</v>
      </c>
      <c r="AC76" s="100">
        <f t="shared" si="54"/>
        <v>0</v>
      </c>
      <c r="AD76" s="418"/>
      <c r="AE76" s="99">
        <f t="shared" si="61"/>
        <v>0</v>
      </c>
      <c r="AF76" s="100">
        <f t="shared" si="55"/>
        <v>0</v>
      </c>
      <c r="AG76" s="351" t="str">
        <f t="shared" si="56"/>
        <v/>
      </c>
      <c r="AH76" s="272" t="str">
        <f t="shared" si="46"/>
        <v/>
      </c>
      <c r="AI76" s="358" t="str">
        <f t="shared" si="47"/>
        <v/>
      </c>
      <c r="AJ76" s="272" t="str">
        <f t="shared" si="48"/>
        <v/>
      </c>
      <c r="AK76" s="361" t="str">
        <f t="shared" si="49"/>
        <v/>
      </c>
      <c r="AL76" s="11"/>
      <c r="AM76" s="11"/>
      <c r="AN76" s="11"/>
    </row>
    <row r="77" spans="1:40" ht="14.25">
      <c r="A77" s="787"/>
      <c r="B77" s="31" t="s">
        <v>184</v>
      </c>
      <c r="C77" s="184" t="s">
        <v>120</v>
      </c>
      <c r="D77" s="413" t="s">
        <v>24</v>
      </c>
      <c r="E77" s="49">
        <v>0.54861111111111105</v>
      </c>
      <c r="F77" s="49">
        <v>0.79166666666666663</v>
      </c>
      <c r="G77" s="93">
        <f t="shared" si="40"/>
        <v>0.24305555555555558</v>
      </c>
      <c r="H77" s="555">
        <f t="shared" si="50"/>
        <v>2.0833333333333259E-2</v>
      </c>
      <c r="I77" s="556">
        <f t="shared" si="41"/>
        <v>1</v>
      </c>
      <c r="J77" s="94">
        <f t="shared" si="42"/>
        <v>0</v>
      </c>
      <c r="K77" s="32">
        <f t="shared" si="43"/>
        <v>0</v>
      </c>
      <c r="L77" s="95" t="str">
        <f t="shared" si="44"/>
        <v/>
      </c>
      <c r="M77" s="96">
        <f t="shared" si="45"/>
        <v>0</v>
      </c>
      <c r="N77" s="97">
        <f>IF(M77=0,0,IF(SUM($M$5:M77)&gt;251,1,0))</f>
        <v>0</v>
      </c>
      <c r="O77" s="162">
        <v>40</v>
      </c>
      <c r="P77" s="163">
        <v>1</v>
      </c>
      <c r="Q77" s="98"/>
      <c r="R77" s="415" t="s">
        <v>543</v>
      </c>
      <c r="S77" s="99" t="str">
        <f t="shared" si="57"/>
        <v>放課後児童支援員</v>
      </c>
      <c r="T77" s="100" t="str">
        <f t="shared" si="51"/>
        <v>対象</v>
      </c>
      <c r="U77" s="418" t="s">
        <v>539</v>
      </c>
      <c r="V77" s="99" t="str">
        <f t="shared" si="58"/>
        <v>放課後児童支援員</v>
      </c>
      <c r="W77" s="100" t="str">
        <f t="shared" si="52"/>
        <v>対象</v>
      </c>
      <c r="X77" s="418" t="s">
        <v>546</v>
      </c>
      <c r="Y77" s="99" t="str">
        <f t="shared" si="59"/>
        <v>放課後児童支援員</v>
      </c>
      <c r="Z77" s="100" t="str">
        <f t="shared" si="53"/>
        <v>対象</v>
      </c>
      <c r="AA77" s="418"/>
      <c r="AB77" s="99">
        <f t="shared" si="60"/>
        <v>0</v>
      </c>
      <c r="AC77" s="100">
        <f t="shared" si="54"/>
        <v>0</v>
      </c>
      <c r="AD77" s="418"/>
      <c r="AE77" s="99">
        <f t="shared" si="61"/>
        <v>0</v>
      </c>
      <c r="AF77" s="100">
        <f t="shared" si="55"/>
        <v>0</v>
      </c>
      <c r="AG77" s="351" t="str">
        <f t="shared" si="56"/>
        <v/>
      </c>
      <c r="AH77" s="272" t="str">
        <f t="shared" si="46"/>
        <v/>
      </c>
      <c r="AI77" s="358" t="str">
        <f t="shared" si="47"/>
        <v/>
      </c>
      <c r="AJ77" s="272" t="str">
        <f t="shared" si="48"/>
        <v/>
      </c>
      <c r="AK77" s="361" t="str">
        <f t="shared" si="49"/>
        <v/>
      </c>
      <c r="AL77" s="11"/>
      <c r="AM77" s="11"/>
      <c r="AN77" s="11"/>
    </row>
    <row r="78" spans="1:40" ht="14.25">
      <c r="A78" s="787"/>
      <c r="B78" s="31" t="s">
        <v>185</v>
      </c>
      <c r="C78" s="184" t="s">
        <v>121</v>
      </c>
      <c r="D78" s="413" t="s">
        <v>24</v>
      </c>
      <c r="E78" s="49">
        <v>0.59722222222222221</v>
      </c>
      <c r="F78" s="49">
        <v>0.80555555555555547</v>
      </c>
      <c r="G78" s="93">
        <f t="shared" si="40"/>
        <v>0.20833333333333326</v>
      </c>
      <c r="H78" s="555">
        <f t="shared" si="50"/>
        <v>3.4722222222222099E-2</v>
      </c>
      <c r="I78" s="556">
        <f t="shared" si="41"/>
        <v>1</v>
      </c>
      <c r="J78" s="94">
        <f t="shared" si="42"/>
        <v>0</v>
      </c>
      <c r="K78" s="32">
        <f t="shared" si="43"/>
        <v>0</v>
      </c>
      <c r="L78" s="95" t="str">
        <f t="shared" si="44"/>
        <v/>
      </c>
      <c r="M78" s="96">
        <f t="shared" si="45"/>
        <v>0</v>
      </c>
      <c r="N78" s="97">
        <f>IF(M78=0,0,IF(SUM($M$5:M78)&gt;251,1,0))</f>
        <v>0</v>
      </c>
      <c r="O78" s="162">
        <v>40</v>
      </c>
      <c r="P78" s="163">
        <v>1</v>
      </c>
      <c r="Q78" s="98"/>
      <c r="R78" s="415" t="s">
        <v>543</v>
      </c>
      <c r="S78" s="99" t="str">
        <f t="shared" si="57"/>
        <v>放課後児童支援員</v>
      </c>
      <c r="T78" s="100" t="str">
        <f t="shared" si="51"/>
        <v>対象</v>
      </c>
      <c r="U78" s="418" t="s">
        <v>539</v>
      </c>
      <c r="V78" s="99" t="str">
        <f t="shared" si="58"/>
        <v>放課後児童支援員</v>
      </c>
      <c r="W78" s="100" t="str">
        <f t="shared" si="52"/>
        <v>対象</v>
      </c>
      <c r="X78" s="418" t="s">
        <v>546</v>
      </c>
      <c r="Y78" s="99" t="str">
        <f t="shared" si="59"/>
        <v>放課後児童支援員</v>
      </c>
      <c r="Z78" s="100" t="str">
        <f t="shared" si="53"/>
        <v>対象</v>
      </c>
      <c r="AA78" s="418"/>
      <c r="AB78" s="99">
        <f t="shared" si="60"/>
        <v>0</v>
      </c>
      <c r="AC78" s="100">
        <f t="shared" si="54"/>
        <v>0</v>
      </c>
      <c r="AD78" s="418"/>
      <c r="AE78" s="99">
        <f t="shared" si="61"/>
        <v>0</v>
      </c>
      <c r="AF78" s="100">
        <f t="shared" si="55"/>
        <v>0</v>
      </c>
      <c r="AG78" s="351" t="str">
        <f t="shared" si="56"/>
        <v/>
      </c>
      <c r="AH78" s="272" t="str">
        <f t="shared" si="46"/>
        <v/>
      </c>
      <c r="AI78" s="358" t="str">
        <f t="shared" si="47"/>
        <v/>
      </c>
      <c r="AJ78" s="272" t="str">
        <f t="shared" si="48"/>
        <v/>
      </c>
      <c r="AK78" s="361" t="str">
        <f t="shared" si="49"/>
        <v/>
      </c>
      <c r="AL78" s="11"/>
      <c r="AM78" s="11"/>
      <c r="AN78" s="11"/>
    </row>
    <row r="79" spans="1:40" ht="14.25">
      <c r="A79" s="787"/>
      <c r="B79" s="31" t="s">
        <v>186</v>
      </c>
      <c r="C79" s="184" t="s">
        <v>122</v>
      </c>
      <c r="D79" s="413" t="s">
        <v>173</v>
      </c>
      <c r="E79" s="49"/>
      <c r="F79" s="49"/>
      <c r="G79" s="93">
        <f t="shared" si="40"/>
        <v>0</v>
      </c>
      <c r="H79" s="555" t="str">
        <f t="shared" si="50"/>
        <v>0:00</v>
      </c>
      <c r="I79" s="556">
        <f t="shared" si="41"/>
        <v>0</v>
      </c>
      <c r="J79" s="94">
        <f t="shared" si="42"/>
        <v>0</v>
      </c>
      <c r="K79" s="32">
        <f t="shared" si="43"/>
        <v>0</v>
      </c>
      <c r="L79" s="95" t="str">
        <f t="shared" si="44"/>
        <v/>
      </c>
      <c r="M79" s="96">
        <f t="shared" si="45"/>
        <v>0</v>
      </c>
      <c r="N79" s="97">
        <f>IF(M79=0,0,IF(SUM($M$5:M79)&gt;251,1,0))</f>
        <v>0</v>
      </c>
      <c r="O79" s="162"/>
      <c r="P79" s="163"/>
      <c r="Q79" s="98"/>
      <c r="R79" s="415"/>
      <c r="S79" s="99">
        <f t="shared" si="57"/>
        <v>0</v>
      </c>
      <c r="T79" s="100">
        <f t="shared" si="51"/>
        <v>0</v>
      </c>
      <c r="U79" s="418"/>
      <c r="V79" s="99">
        <f t="shared" si="58"/>
        <v>0</v>
      </c>
      <c r="W79" s="100">
        <f t="shared" si="52"/>
        <v>0</v>
      </c>
      <c r="X79" s="418"/>
      <c r="Y79" s="99">
        <f t="shared" si="59"/>
        <v>0</v>
      </c>
      <c r="Z79" s="100">
        <f t="shared" si="53"/>
        <v>0</v>
      </c>
      <c r="AA79" s="418"/>
      <c r="AB79" s="99">
        <f t="shared" si="60"/>
        <v>0</v>
      </c>
      <c r="AC79" s="100">
        <f t="shared" si="54"/>
        <v>0</v>
      </c>
      <c r="AD79" s="418"/>
      <c r="AE79" s="99">
        <f t="shared" si="61"/>
        <v>0</v>
      </c>
      <c r="AF79" s="100">
        <f t="shared" si="55"/>
        <v>0</v>
      </c>
      <c r="AG79" s="351" t="str">
        <f t="shared" si="56"/>
        <v/>
      </c>
      <c r="AH79" s="272" t="str">
        <f t="shared" si="46"/>
        <v/>
      </c>
      <c r="AI79" s="358" t="str">
        <f t="shared" si="47"/>
        <v/>
      </c>
      <c r="AJ79" s="272" t="str">
        <f t="shared" si="48"/>
        <v/>
      </c>
      <c r="AK79" s="361" t="str">
        <f t="shared" si="49"/>
        <v/>
      </c>
      <c r="AL79" s="11"/>
      <c r="AM79" s="11"/>
      <c r="AN79" s="11"/>
    </row>
    <row r="80" spans="1:40" ht="14.25">
      <c r="A80" s="787"/>
      <c r="B80" s="31" t="s">
        <v>187</v>
      </c>
      <c r="C80" s="184" t="s">
        <v>183</v>
      </c>
      <c r="D80" s="413" t="s">
        <v>173</v>
      </c>
      <c r="E80" s="49"/>
      <c r="F80" s="49"/>
      <c r="G80" s="93">
        <f t="shared" si="40"/>
        <v>0</v>
      </c>
      <c r="H80" s="555" t="str">
        <f t="shared" si="50"/>
        <v>0:00</v>
      </c>
      <c r="I80" s="556">
        <f t="shared" si="41"/>
        <v>0</v>
      </c>
      <c r="J80" s="94">
        <f t="shared" si="42"/>
        <v>0</v>
      </c>
      <c r="K80" s="32">
        <f t="shared" si="43"/>
        <v>0</v>
      </c>
      <c r="L80" s="95" t="str">
        <f t="shared" si="44"/>
        <v/>
      </c>
      <c r="M80" s="96">
        <f t="shared" si="45"/>
        <v>0</v>
      </c>
      <c r="N80" s="97">
        <f>IF(M80=0,0,IF(SUM($M$5:M80)&gt;251,1,0))</f>
        <v>0</v>
      </c>
      <c r="O80" s="162"/>
      <c r="P80" s="163"/>
      <c r="Q80" s="98"/>
      <c r="R80" s="415"/>
      <c r="S80" s="99">
        <f t="shared" si="57"/>
        <v>0</v>
      </c>
      <c r="T80" s="100">
        <f t="shared" si="51"/>
        <v>0</v>
      </c>
      <c r="U80" s="418"/>
      <c r="V80" s="99">
        <f t="shared" si="58"/>
        <v>0</v>
      </c>
      <c r="W80" s="100">
        <f t="shared" si="52"/>
        <v>0</v>
      </c>
      <c r="X80" s="418"/>
      <c r="Y80" s="99">
        <f t="shared" si="59"/>
        <v>0</v>
      </c>
      <c r="Z80" s="100">
        <f t="shared" si="53"/>
        <v>0</v>
      </c>
      <c r="AA80" s="418"/>
      <c r="AB80" s="99">
        <f t="shared" si="60"/>
        <v>0</v>
      </c>
      <c r="AC80" s="100">
        <f t="shared" si="54"/>
        <v>0</v>
      </c>
      <c r="AD80" s="418"/>
      <c r="AE80" s="99">
        <f t="shared" si="61"/>
        <v>0</v>
      </c>
      <c r="AF80" s="100">
        <f t="shared" si="55"/>
        <v>0</v>
      </c>
      <c r="AG80" s="351" t="str">
        <f t="shared" si="56"/>
        <v/>
      </c>
      <c r="AH80" s="272" t="str">
        <f t="shared" si="46"/>
        <v/>
      </c>
      <c r="AI80" s="358" t="str">
        <f t="shared" si="47"/>
        <v/>
      </c>
      <c r="AJ80" s="272" t="str">
        <f t="shared" si="48"/>
        <v/>
      </c>
      <c r="AK80" s="361" t="str">
        <f t="shared" si="49"/>
        <v/>
      </c>
      <c r="AL80" s="11"/>
      <c r="AM80" s="11"/>
      <c r="AN80" s="11"/>
    </row>
    <row r="81" spans="1:40" ht="14.25">
      <c r="A81" s="787"/>
      <c r="B81" s="31" t="s">
        <v>188</v>
      </c>
      <c r="C81" s="184" t="s">
        <v>118</v>
      </c>
      <c r="D81" s="413" t="s">
        <v>24</v>
      </c>
      <c r="E81" s="49">
        <v>0.59722222222222221</v>
      </c>
      <c r="F81" s="49">
        <v>0.7715277777777777</v>
      </c>
      <c r="G81" s="93">
        <f t="shared" si="40"/>
        <v>0.17430555555555549</v>
      </c>
      <c r="H81" s="555">
        <f t="shared" si="50"/>
        <v>6.9444444444433095E-4</v>
      </c>
      <c r="I81" s="556">
        <f t="shared" si="41"/>
        <v>1</v>
      </c>
      <c r="J81" s="94">
        <f t="shared" si="42"/>
        <v>0</v>
      </c>
      <c r="K81" s="32">
        <f t="shared" si="43"/>
        <v>0</v>
      </c>
      <c r="L81" s="95" t="str">
        <f t="shared" si="44"/>
        <v/>
      </c>
      <c r="M81" s="96">
        <f t="shared" si="45"/>
        <v>0</v>
      </c>
      <c r="N81" s="97">
        <f>IF(M81=0,0,IF(SUM($M$5:M81)&gt;251,1,0))</f>
        <v>0</v>
      </c>
      <c r="O81" s="162">
        <v>40</v>
      </c>
      <c r="P81" s="163">
        <v>1</v>
      </c>
      <c r="Q81" s="98"/>
      <c r="R81" s="415" t="s">
        <v>543</v>
      </c>
      <c r="S81" s="99" t="str">
        <f t="shared" si="57"/>
        <v>放課後児童支援員</v>
      </c>
      <c r="T81" s="100" t="str">
        <f t="shared" si="51"/>
        <v>対象</v>
      </c>
      <c r="U81" s="418" t="s">
        <v>539</v>
      </c>
      <c r="V81" s="99" t="str">
        <f t="shared" si="58"/>
        <v>放課後児童支援員</v>
      </c>
      <c r="W81" s="100" t="str">
        <f t="shared" si="52"/>
        <v>対象</v>
      </c>
      <c r="X81" s="418"/>
      <c r="Y81" s="99">
        <f t="shared" si="59"/>
        <v>0</v>
      </c>
      <c r="Z81" s="100">
        <f t="shared" si="53"/>
        <v>0</v>
      </c>
      <c r="AA81" s="418"/>
      <c r="AB81" s="99">
        <f t="shared" si="60"/>
        <v>0</v>
      </c>
      <c r="AC81" s="100">
        <f t="shared" si="54"/>
        <v>0</v>
      </c>
      <c r="AD81" s="418"/>
      <c r="AE81" s="99">
        <f t="shared" si="61"/>
        <v>0</v>
      </c>
      <c r="AF81" s="100">
        <f t="shared" si="55"/>
        <v>0</v>
      </c>
      <c r="AG81" s="351" t="str">
        <f t="shared" si="56"/>
        <v/>
      </c>
      <c r="AH81" s="272" t="str">
        <f t="shared" si="46"/>
        <v/>
      </c>
      <c r="AI81" s="358" t="str">
        <f t="shared" si="47"/>
        <v/>
      </c>
      <c r="AJ81" s="272" t="str">
        <f t="shared" si="48"/>
        <v/>
      </c>
      <c r="AK81" s="361" t="str">
        <f t="shared" si="49"/>
        <v/>
      </c>
      <c r="AL81" s="11"/>
      <c r="AM81" s="11"/>
      <c r="AN81" s="11"/>
    </row>
    <row r="82" spans="1:40" ht="14.25">
      <c r="A82" s="787"/>
      <c r="B82" s="31" t="s">
        <v>189</v>
      </c>
      <c r="C82" s="184" t="s">
        <v>123</v>
      </c>
      <c r="D82" s="413" t="s">
        <v>24</v>
      </c>
      <c r="E82" s="49">
        <v>0.59722222222222221</v>
      </c>
      <c r="F82" s="49">
        <v>0.79166666666666663</v>
      </c>
      <c r="G82" s="93">
        <f t="shared" si="40"/>
        <v>0.19444444444444442</v>
      </c>
      <c r="H82" s="555">
        <f t="shared" si="50"/>
        <v>2.0833333333333259E-2</v>
      </c>
      <c r="I82" s="556">
        <f t="shared" si="41"/>
        <v>1</v>
      </c>
      <c r="J82" s="94">
        <f t="shared" si="42"/>
        <v>0</v>
      </c>
      <c r="K82" s="32">
        <f t="shared" si="43"/>
        <v>0</v>
      </c>
      <c r="L82" s="95" t="str">
        <f t="shared" si="44"/>
        <v/>
      </c>
      <c r="M82" s="96">
        <f t="shared" si="45"/>
        <v>0</v>
      </c>
      <c r="N82" s="97">
        <f>IF(M82=0,0,IF(SUM($M$5:M82)&gt;251,1,0))</f>
        <v>0</v>
      </c>
      <c r="O82" s="162">
        <v>40</v>
      </c>
      <c r="P82" s="163">
        <v>1</v>
      </c>
      <c r="Q82" s="98"/>
      <c r="R82" s="415" t="s">
        <v>543</v>
      </c>
      <c r="S82" s="99" t="str">
        <f t="shared" si="57"/>
        <v>放課後児童支援員</v>
      </c>
      <c r="T82" s="100" t="str">
        <f t="shared" si="51"/>
        <v>対象</v>
      </c>
      <c r="U82" s="418" t="s">
        <v>539</v>
      </c>
      <c r="V82" s="99" t="str">
        <f t="shared" si="58"/>
        <v>放課後児童支援員</v>
      </c>
      <c r="W82" s="100" t="str">
        <f t="shared" si="52"/>
        <v>対象</v>
      </c>
      <c r="X82" s="418" t="s">
        <v>546</v>
      </c>
      <c r="Y82" s="99" t="str">
        <f t="shared" si="59"/>
        <v>放課後児童支援員</v>
      </c>
      <c r="Z82" s="100" t="str">
        <f t="shared" si="53"/>
        <v>対象</v>
      </c>
      <c r="AA82" s="418"/>
      <c r="AB82" s="99">
        <f t="shared" si="60"/>
        <v>0</v>
      </c>
      <c r="AC82" s="100">
        <f t="shared" si="54"/>
        <v>0</v>
      </c>
      <c r="AD82" s="418"/>
      <c r="AE82" s="99">
        <f t="shared" si="61"/>
        <v>0</v>
      </c>
      <c r="AF82" s="100">
        <f t="shared" si="55"/>
        <v>0</v>
      </c>
      <c r="AG82" s="351" t="str">
        <f t="shared" si="56"/>
        <v/>
      </c>
      <c r="AH82" s="272" t="str">
        <f t="shared" si="46"/>
        <v/>
      </c>
      <c r="AI82" s="358" t="str">
        <f t="shared" si="47"/>
        <v/>
      </c>
      <c r="AJ82" s="272" t="str">
        <f t="shared" si="48"/>
        <v/>
      </c>
      <c r="AK82" s="361" t="str">
        <f t="shared" si="49"/>
        <v/>
      </c>
      <c r="AL82" s="11"/>
      <c r="AM82" s="11"/>
      <c r="AN82" s="11"/>
    </row>
    <row r="83" spans="1:40" ht="14.25">
      <c r="A83" s="787"/>
      <c r="B83" s="31" t="s">
        <v>190</v>
      </c>
      <c r="C83" s="184" t="s">
        <v>119</v>
      </c>
      <c r="D83" s="413" t="s">
        <v>24</v>
      </c>
      <c r="E83" s="49">
        <v>0.59722222222222221</v>
      </c>
      <c r="F83" s="49">
        <v>0.79166666666666663</v>
      </c>
      <c r="G83" s="93">
        <f t="shared" si="40"/>
        <v>0.19444444444444442</v>
      </c>
      <c r="H83" s="555">
        <f t="shared" si="50"/>
        <v>2.0833333333333259E-2</v>
      </c>
      <c r="I83" s="556">
        <f t="shared" si="41"/>
        <v>1</v>
      </c>
      <c r="J83" s="94">
        <f t="shared" si="42"/>
        <v>0</v>
      </c>
      <c r="K83" s="32">
        <f t="shared" si="43"/>
        <v>0</v>
      </c>
      <c r="L83" s="95" t="str">
        <f t="shared" si="44"/>
        <v/>
      </c>
      <c r="M83" s="96">
        <f t="shared" si="45"/>
        <v>0</v>
      </c>
      <c r="N83" s="97">
        <f>IF(M83=0,0,IF(SUM($M$5:M83)&gt;251,1,0))</f>
        <v>0</v>
      </c>
      <c r="O83" s="162">
        <v>40</v>
      </c>
      <c r="P83" s="163">
        <v>1</v>
      </c>
      <c r="Q83" s="98"/>
      <c r="R83" s="415" t="s">
        <v>543</v>
      </c>
      <c r="S83" s="99" t="str">
        <f t="shared" si="57"/>
        <v>放課後児童支援員</v>
      </c>
      <c r="T83" s="100" t="str">
        <f t="shared" si="51"/>
        <v>対象</v>
      </c>
      <c r="U83" s="418" t="s">
        <v>539</v>
      </c>
      <c r="V83" s="99" t="str">
        <f t="shared" si="58"/>
        <v>放課後児童支援員</v>
      </c>
      <c r="W83" s="100" t="str">
        <f t="shared" si="52"/>
        <v>対象</v>
      </c>
      <c r="X83" s="418" t="s">
        <v>546</v>
      </c>
      <c r="Y83" s="99" t="str">
        <f t="shared" si="59"/>
        <v>放課後児童支援員</v>
      </c>
      <c r="Z83" s="100" t="str">
        <f t="shared" si="53"/>
        <v>対象</v>
      </c>
      <c r="AA83" s="418"/>
      <c r="AB83" s="99">
        <f t="shared" si="60"/>
        <v>0</v>
      </c>
      <c r="AC83" s="100">
        <f t="shared" si="54"/>
        <v>0</v>
      </c>
      <c r="AD83" s="418"/>
      <c r="AE83" s="99">
        <f t="shared" si="61"/>
        <v>0</v>
      </c>
      <c r="AF83" s="100">
        <f t="shared" si="55"/>
        <v>0</v>
      </c>
      <c r="AG83" s="351" t="str">
        <f t="shared" si="56"/>
        <v/>
      </c>
      <c r="AH83" s="272" t="str">
        <f t="shared" si="46"/>
        <v/>
      </c>
      <c r="AI83" s="358" t="str">
        <f t="shared" si="47"/>
        <v/>
      </c>
      <c r="AJ83" s="272" t="str">
        <f t="shared" si="48"/>
        <v/>
      </c>
      <c r="AK83" s="361" t="str">
        <f t="shared" si="49"/>
        <v/>
      </c>
      <c r="AL83" s="11"/>
      <c r="AM83" s="11"/>
      <c r="AN83" s="11"/>
    </row>
    <row r="84" spans="1:40" ht="14.25">
      <c r="A84" s="787"/>
      <c r="B84" s="31" t="s">
        <v>191</v>
      </c>
      <c r="C84" s="184" t="s">
        <v>120</v>
      </c>
      <c r="D84" s="413" t="s">
        <v>24</v>
      </c>
      <c r="E84" s="49">
        <v>0.54861111111111105</v>
      </c>
      <c r="F84" s="49">
        <v>0.79166666666666663</v>
      </c>
      <c r="G84" s="93">
        <f t="shared" si="40"/>
        <v>0.24305555555555558</v>
      </c>
      <c r="H84" s="555">
        <f t="shared" si="50"/>
        <v>2.0833333333333259E-2</v>
      </c>
      <c r="I84" s="556">
        <f t="shared" si="41"/>
        <v>1</v>
      </c>
      <c r="J84" s="94">
        <f t="shared" si="42"/>
        <v>0</v>
      </c>
      <c r="K84" s="32">
        <f t="shared" si="43"/>
        <v>0</v>
      </c>
      <c r="L84" s="95" t="str">
        <f t="shared" si="44"/>
        <v/>
      </c>
      <c r="M84" s="96">
        <f t="shared" si="45"/>
        <v>0</v>
      </c>
      <c r="N84" s="97">
        <f>IF(M84=0,0,IF(SUM($M$5:M84)&gt;251,1,0))</f>
        <v>0</v>
      </c>
      <c r="O84" s="162">
        <v>40</v>
      </c>
      <c r="P84" s="163">
        <v>1</v>
      </c>
      <c r="Q84" s="98"/>
      <c r="R84" s="415" t="s">
        <v>543</v>
      </c>
      <c r="S84" s="99" t="str">
        <f t="shared" si="57"/>
        <v>放課後児童支援員</v>
      </c>
      <c r="T84" s="100" t="str">
        <f t="shared" si="51"/>
        <v>対象</v>
      </c>
      <c r="U84" s="418" t="s">
        <v>539</v>
      </c>
      <c r="V84" s="99" t="str">
        <f t="shared" si="58"/>
        <v>放課後児童支援員</v>
      </c>
      <c r="W84" s="100" t="str">
        <f t="shared" si="52"/>
        <v>対象</v>
      </c>
      <c r="X84" s="418" t="s">
        <v>546</v>
      </c>
      <c r="Y84" s="99" t="str">
        <f t="shared" si="59"/>
        <v>放課後児童支援員</v>
      </c>
      <c r="Z84" s="100" t="str">
        <f t="shared" si="53"/>
        <v>対象</v>
      </c>
      <c r="AA84" s="418"/>
      <c r="AB84" s="99">
        <f t="shared" si="60"/>
        <v>0</v>
      </c>
      <c r="AC84" s="100">
        <f t="shared" si="54"/>
        <v>0</v>
      </c>
      <c r="AD84" s="418"/>
      <c r="AE84" s="99">
        <f t="shared" si="61"/>
        <v>0</v>
      </c>
      <c r="AF84" s="100">
        <f t="shared" si="55"/>
        <v>0</v>
      </c>
      <c r="AG84" s="351" t="str">
        <f t="shared" si="56"/>
        <v/>
      </c>
      <c r="AH84" s="272" t="str">
        <f t="shared" si="46"/>
        <v/>
      </c>
      <c r="AI84" s="358" t="str">
        <f t="shared" si="47"/>
        <v/>
      </c>
      <c r="AJ84" s="272" t="str">
        <f t="shared" si="48"/>
        <v/>
      </c>
      <c r="AK84" s="361" t="str">
        <f t="shared" si="49"/>
        <v/>
      </c>
      <c r="AL84" s="11"/>
      <c r="AM84" s="11"/>
      <c r="AN84" s="11"/>
    </row>
    <row r="85" spans="1:40" ht="14.25">
      <c r="A85" s="787"/>
      <c r="B85" s="31" t="s">
        <v>192</v>
      </c>
      <c r="C85" s="184" t="s">
        <v>121</v>
      </c>
      <c r="D85" s="413" t="s">
        <v>24</v>
      </c>
      <c r="E85" s="49">
        <v>0.59722222222222221</v>
      </c>
      <c r="F85" s="49">
        <v>0.80555555555555547</v>
      </c>
      <c r="G85" s="93">
        <f t="shared" si="40"/>
        <v>0.20833333333333326</v>
      </c>
      <c r="H85" s="555">
        <f t="shared" si="50"/>
        <v>3.4722222222222099E-2</v>
      </c>
      <c r="I85" s="556">
        <f t="shared" si="41"/>
        <v>1</v>
      </c>
      <c r="J85" s="94">
        <f t="shared" si="42"/>
        <v>0</v>
      </c>
      <c r="K85" s="32">
        <f t="shared" si="43"/>
        <v>0</v>
      </c>
      <c r="L85" s="95" t="str">
        <f t="shared" si="44"/>
        <v/>
      </c>
      <c r="M85" s="96">
        <f t="shared" si="45"/>
        <v>0</v>
      </c>
      <c r="N85" s="97">
        <f>IF(M85=0,0,IF(SUM($M$5:M85)&gt;251,1,0))</f>
        <v>0</v>
      </c>
      <c r="O85" s="162">
        <v>40</v>
      </c>
      <c r="P85" s="163">
        <v>1</v>
      </c>
      <c r="Q85" s="98"/>
      <c r="R85" s="415" t="s">
        <v>543</v>
      </c>
      <c r="S85" s="99" t="str">
        <f t="shared" si="57"/>
        <v>放課後児童支援員</v>
      </c>
      <c r="T85" s="100" t="str">
        <f t="shared" si="51"/>
        <v>対象</v>
      </c>
      <c r="U85" s="418" t="s">
        <v>539</v>
      </c>
      <c r="V85" s="99" t="str">
        <f t="shared" si="58"/>
        <v>放課後児童支援員</v>
      </c>
      <c r="W85" s="100" t="str">
        <f t="shared" si="52"/>
        <v>対象</v>
      </c>
      <c r="X85" s="418" t="s">
        <v>546</v>
      </c>
      <c r="Y85" s="99" t="str">
        <f t="shared" si="59"/>
        <v>放課後児童支援員</v>
      </c>
      <c r="Z85" s="100" t="str">
        <f t="shared" si="53"/>
        <v>対象</v>
      </c>
      <c r="AA85" s="418"/>
      <c r="AB85" s="99">
        <f t="shared" si="60"/>
        <v>0</v>
      </c>
      <c r="AC85" s="100">
        <f t="shared" si="54"/>
        <v>0</v>
      </c>
      <c r="AD85" s="418"/>
      <c r="AE85" s="99">
        <f t="shared" si="61"/>
        <v>0</v>
      </c>
      <c r="AF85" s="100">
        <f t="shared" si="55"/>
        <v>0</v>
      </c>
      <c r="AG85" s="351" t="str">
        <f t="shared" si="56"/>
        <v/>
      </c>
      <c r="AH85" s="272" t="str">
        <f t="shared" si="46"/>
        <v/>
      </c>
      <c r="AI85" s="358" t="str">
        <f t="shared" si="47"/>
        <v/>
      </c>
      <c r="AJ85" s="272" t="str">
        <f t="shared" si="48"/>
        <v/>
      </c>
      <c r="AK85" s="361" t="str">
        <f t="shared" si="49"/>
        <v/>
      </c>
      <c r="AL85" s="11"/>
      <c r="AM85" s="11"/>
      <c r="AN85" s="11"/>
    </row>
    <row r="86" spans="1:40" ht="14.25">
      <c r="A86" s="787"/>
      <c r="B86" s="31" t="s">
        <v>193</v>
      </c>
      <c r="C86" s="184" t="s">
        <v>122</v>
      </c>
      <c r="D86" s="413" t="s">
        <v>171</v>
      </c>
      <c r="E86" s="49">
        <v>0.33333333333333331</v>
      </c>
      <c r="F86" s="49">
        <v>0.6875</v>
      </c>
      <c r="G86" s="93">
        <f t="shared" si="40"/>
        <v>0.35416666666666669</v>
      </c>
      <c r="H86" s="555" t="str">
        <f t="shared" si="50"/>
        <v>0:00</v>
      </c>
      <c r="I86" s="556">
        <f t="shared" si="41"/>
        <v>0</v>
      </c>
      <c r="J86" s="94">
        <f t="shared" si="42"/>
        <v>2.083333333333337E-2</v>
      </c>
      <c r="K86" s="32">
        <f t="shared" si="43"/>
        <v>1</v>
      </c>
      <c r="L86" s="95" t="str">
        <f t="shared" si="44"/>
        <v/>
      </c>
      <c r="M86" s="96">
        <f t="shared" si="45"/>
        <v>1</v>
      </c>
      <c r="N86" s="97">
        <f>IF(M86=0,0,IF(SUM($M$5:M86)&gt;251,1,0))</f>
        <v>0</v>
      </c>
      <c r="O86" s="162">
        <v>5</v>
      </c>
      <c r="P86" s="163">
        <v>0</v>
      </c>
      <c r="Q86" s="98"/>
      <c r="R86" s="415" t="s">
        <v>543</v>
      </c>
      <c r="S86" s="99" t="str">
        <f t="shared" si="57"/>
        <v>放課後児童支援員</v>
      </c>
      <c r="T86" s="100" t="str">
        <f t="shared" si="51"/>
        <v>対象</v>
      </c>
      <c r="U86" s="418" t="s">
        <v>539</v>
      </c>
      <c r="V86" s="99" t="str">
        <f t="shared" si="58"/>
        <v>放課後児童支援員</v>
      </c>
      <c r="W86" s="100" t="str">
        <f t="shared" si="52"/>
        <v>対象</v>
      </c>
      <c r="X86" s="418" t="s">
        <v>546</v>
      </c>
      <c r="Y86" s="99" t="str">
        <f t="shared" si="59"/>
        <v>放課後児童支援員</v>
      </c>
      <c r="Z86" s="100" t="str">
        <f t="shared" si="53"/>
        <v>対象</v>
      </c>
      <c r="AA86" s="418"/>
      <c r="AB86" s="99">
        <f t="shared" si="60"/>
        <v>0</v>
      </c>
      <c r="AC86" s="100">
        <f t="shared" si="54"/>
        <v>0</v>
      </c>
      <c r="AD86" s="418"/>
      <c r="AE86" s="99">
        <f t="shared" si="61"/>
        <v>0</v>
      </c>
      <c r="AF86" s="100">
        <f t="shared" si="55"/>
        <v>0</v>
      </c>
      <c r="AG86" s="351" t="str">
        <f t="shared" si="56"/>
        <v/>
      </c>
      <c r="AH86" s="272" t="str">
        <f t="shared" si="46"/>
        <v/>
      </c>
      <c r="AI86" s="358" t="str">
        <f t="shared" si="47"/>
        <v/>
      </c>
      <c r="AJ86" s="272" t="str">
        <f t="shared" si="48"/>
        <v/>
      </c>
      <c r="AK86" s="361" t="str">
        <f t="shared" si="49"/>
        <v/>
      </c>
      <c r="AL86" s="11"/>
      <c r="AM86" s="11"/>
      <c r="AN86" s="11"/>
    </row>
    <row r="87" spans="1:40" ht="14.25">
      <c r="A87" s="787"/>
      <c r="B87" s="31" t="s">
        <v>194</v>
      </c>
      <c r="C87" s="184" t="s">
        <v>183</v>
      </c>
      <c r="D87" s="413" t="s">
        <v>173</v>
      </c>
      <c r="E87" s="49"/>
      <c r="F87" s="49"/>
      <c r="G87" s="93">
        <f t="shared" si="40"/>
        <v>0</v>
      </c>
      <c r="H87" s="555" t="str">
        <f t="shared" si="50"/>
        <v>0:00</v>
      </c>
      <c r="I87" s="556">
        <f t="shared" si="41"/>
        <v>0</v>
      </c>
      <c r="J87" s="94">
        <f t="shared" si="42"/>
        <v>0</v>
      </c>
      <c r="K87" s="32">
        <f t="shared" si="43"/>
        <v>0</v>
      </c>
      <c r="L87" s="95" t="str">
        <f t="shared" si="44"/>
        <v/>
      </c>
      <c r="M87" s="96">
        <f t="shared" si="45"/>
        <v>0</v>
      </c>
      <c r="N87" s="97">
        <f>IF(M87=0,0,IF(SUM($M$5:M87)&gt;251,1,0))</f>
        <v>0</v>
      </c>
      <c r="O87" s="162"/>
      <c r="P87" s="163"/>
      <c r="Q87" s="98"/>
      <c r="R87" s="415"/>
      <c r="S87" s="99">
        <f t="shared" si="57"/>
        <v>0</v>
      </c>
      <c r="T87" s="100">
        <f t="shared" si="51"/>
        <v>0</v>
      </c>
      <c r="U87" s="418"/>
      <c r="V87" s="99">
        <f t="shared" si="58"/>
        <v>0</v>
      </c>
      <c r="W87" s="100">
        <f t="shared" si="52"/>
        <v>0</v>
      </c>
      <c r="X87" s="418"/>
      <c r="Y87" s="99">
        <f t="shared" si="59"/>
        <v>0</v>
      </c>
      <c r="Z87" s="100">
        <f t="shared" si="53"/>
        <v>0</v>
      </c>
      <c r="AA87" s="418"/>
      <c r="AB87" s="99">
        <f t="shared" si="60"/>
        <v>0</v>
      </c>
      <c r="AC87" s="100">
        <f t="shared" si="54"/>
        <v>0</v>
      </c>
      <c r="AD87" s="418"/>
      <c r="AE87" s="99">
        <f t="shared" si="61"/>
        <v>0</v>
      </c>
      <c r="AF87" s="100">
        <f t="shared" si="55"/>
        <v>0</v>
      </c>
      <c r="AG87" s="351" t="str">
        <f t="shared" si="56"/>
        <v/>
      </c>
      <c r="AH87" s="272" t="str">
        <f t="shared" si="46"/>
        <v/>
      </c>
      <c r="AI87" s="358" t="str">
        <f t="shared" si="47"/>
        <v/>
      </c>
      <c r="AJ87" s="272" t="str">
        <f t="shared" si="48"/>
        <v/>
      </c>
      <c r="AK87" s="361" t="str">
        <f t="shared" si="49"/>
        <v/>
      </c>
      <c r="AL87" s="11"/>
      <c r="AM87" s="11"/>
      <c r="AN87" s="11"/>
    </row>
    <row r="88" spans="1:40" ht="14.25">
      <c r="A88" s="787"/>
      <c r="B88" s="31" t="s">
        <v>195</v>
      </c>
      <c r="C88" s="184" t="s">
        <v>118</v>
      </c>
      <c r="D88" s="413" t="s">
        <v>24</v>
      </c>
      <c r="E88" s="49">
        <v>0.59722222222222221</v>
      </c>
      <c r="F88" s="49">
        <v>0.7715277777777777</v>
      </c>
      <c r="G88" s="93">
        <f t="shared" si="40"/>
        <v>0.17430555555555549</v>
      </c>
      <c r="H88" s="555">
        <f t="shared" si="50"/>
        <v>6.9444444444433095E-4</v>
      </c>
      <c r="I88" s="556">
        <f t="shared" si="41"/>
        <v>1</v>
      </c>
      <c r="J88" s="94">
        <f t="shared" si="42"/>
        <v>0</v>
      </c>
      <c r="K88" s="32">
        <f t="shared" si="43"/>
        <v>0</v>
      </c>
      <c r="L88" s="95" t="str">
        <f t="shared" si="44"/>
        <v/>
      </c>
      <c r="M88" s="96">
        <f t="shared" si="45"/>
        <v>0</v>
      </c>
      <c r="N88" s="97">
        <f>IF(M88=0,0,IF(SUM($M$5:M88)&gt;251,1,0))</f>
        <v>0</v>
      </c>
      <c r="O88" s="162">
        <v>40</v>
      </c>
      <c r="P88" s="163">
        <v>1</v>
      </c>
      <c r="Q88" s="98"/>
      <c r="R88" s="415" t="s">
        <v>543</v>
      </c>
      <c r="S88" s="99" t="str">
        <f t="shared" si="57"/>
        <v>放課後児童支援員</v>
      </c>
      <c r="T88" s="100" t="str">
        <f t="shared" si="51"/>
        <v>対象</v>
      </c>
      <c r="U88" s="418" t="s">
        <v>539</v>
      </c>
      <c r="V88" s="99" t="str">
        <f t="shared" si="58"/>
        <v>放課後児童支援員</v>
      </c>
      <c r="W88" s="100" t="str">
        <f t="shared" si="52"/>
        <v>対象</v>
      </c>
      <c r="X88" s="418"/>
      <c r="Y88" s="99">
        <f t="shared" si="59"/>
        <v>0</v>
      </c>
      <c r="Z88" s="100">
        <f t="shared" si="53"/>
        <v>0</v>
      </c>
      <c r="AA88" s="418"/>
      <c r="AB88" s="99">
        <f t="shared" si="60"/>
        <v>0</v>
      </c>
      <c r="AC88" s="100">
        <f t="shared" si="54"/>
        <v>0</v>
      </c>
      <c r="AD88" s="418"/>
      <c r="AE88" s="99">
        <f t="shared" si="61"/>
        <v>0</v>
      </c>
      <c r="AF88" s="100">
        <f t="shared" si="55"/>
        <v>0</v>
      </c>
      <c r="AG88" s="351" t="str">
        <f t="shared" si="56"/>
        <v/>
      </c>
      <c r="AH88" s="272" t="str">
        <f t="shared" si="46"/>
        <v/>
      </c>
      <c r="AI88" s="358" t="str">
        <f t="shared" si="47"/>
        <v/>
      </c>
      <c r="AJ88" s="272" t="str">
        <f t="shared" si="48"/>
        <v/>
      </c>
      <c r="AK88" s="361" t="str">
        <f t="shared" si="49"/>
        <v/>
      </c>
      <c r="AL88" s="11"/>
      <c r="AM88" s="11"/>
      <c r="AN88" s="11"/>
    </row>
    <row r="89" spans="1:40" ht="14.25">
      <c r="A89" s="787"/>
      <c r="B89" s="31" t="s">
        <v>196</v>
      </c>
      <c r="C89" s="184" t="s">
        <v>123</v>
      </c>
      <c r="D89" s="413" t="s">
        <v>24</v>
      </c>
      <c r="E89" s="49">
        <v>0.59722222222222221</v>
      </c>
      <c r="F89" s="49">
        <v>0.79166666666666663</v>
      </c>
      <c r="G89" s="93">
        <f t="shared" si="40"/>
        <v>0.19444444444444442</v>
      </c>
      <c r="H89" s="555">
        <f t="shared" si="50"/>
        <v>2.0833333333333259E-2</v>
      </c>
      <c r="I89" s="556">
        <f t="shared" si="41"/>
        <v>1</v>
      </c>
      <c r="J89" s="94">
        <f t="shared" si="42"/>
        <v>0</v>
      </c>
      <c r="K89" s="32">
        <f t="shared" si="43"/>
        <v>0</v>
      </c>
      <c r="L89" s="95" t="str">
        <f t="shared" si="44"/>
        <v/>
      </c>
      <c r="M89" s="96">
        <f t="shared" si="45"/>
        <v>0</v>
      </c>
      <c r="N89" s="97">
        <f>IF(M89=0,0,IF(SUM($M$5:M89)&gt;251,1,0))</f>
        <v>0</v>
      </c>
      <c r="O89" s="162">
        <v>40</v>
      </c>
      <c r="P89" s="163">
        <v>1</v>
      </c>
      <c r="Q89" s="98"/>
      <c r="R89" s="415" t="s">
        <v>543</v>
      </c>
      <c r="S89" s="99" t="str">
        <f t="shared" si="57"/>
        <v>放課後児童支援員</v>
      </c>
      <c r="T89" s="100" t="str">
        <f t="shared" si="51"/>
        <v>対象</v>
      </c>
      <c r="U89" s="418" t="s">
        <v>539</v>
      </c>
      <c r="V89" s="99" t="str">
        <f t="shared" si="58"/>
        <v>放課後児童支援員</v>
      </c>
      <c r="W89" s="100" t="str">
        <f t="shared" si="52"/>
        <v>対象</v>
      </c>
      <c r="X89" s="418" t="s">
        <v>546</v>
      </c>
      <c r="Y89" s="99" t="str">
        <f t="shared" si="59"/>
        <v>放課後児童支援員</v>
      </c>
      <c r="Z89" s="100" t="str">
        <f t="shared" si="53"/>
        <v>対象</v>
      </c>
      <c r="AA89" s="418"/>
      <c r="AB89" s="99">
        <f t="shared" si="60"/>
        <v>0</v>
      </c>
      <c r="AC89" s="100">
        <f t="shared" si="54"/>
        <v>0</v>
      </c>
      <c r="AD89" s="418"/>
      <c r="AE89" s="99">
        <f t="shared" si="61"/>
        <v>0</v>
      </c>
      <c r="AF89" s="100">
        <f t="shared" si="55"/>
        <v>0</v>
      </c>
      <c r="AG89" s="351" t="str">
        <f t="shared" si="56"/>
        <v/>
      </c>
      <c r="AH89" s="272" t="str">
        <f t="shared" si="46"/>
        <v/>
      </c>
      <c r="AI89" s="358" t="str">
        <f t="shared" si="47"/>
        <v/>
      </c>
      <c r="AJ89" s="272" t="str">
        <f t="shared" si="48"/>
        <v/>
      </c>
      <c r="AK89" s="361" t="str">
        <f t="shared" si="49"/>
        <v/>
      </c>
      <c r="AL89" s="11"/>
      <c r="AM89" s="11"/>
      <c r="AN89" s="11"/>
    </row>
    <row r="90" spans="1:40" ht="14.25">
      <c r="A90" s="787"/>
      <c r="B90" s="31" t="s">
        <v>197</v>
      </c>
      <c r="C90" s="184" t="s">
        <v>119</v>
      </c>
      <c r="D90" s="413" t="s">
        <v>24</v>
      </c>
      <c r="E90" s="49">
        <v>0.59722222222222221</v>
      </c>
      <c r="F90" s="49">
        <v>0.79166666666666663</v>
      </c>
      <c r="G90" s="93">
        <f t="shared" si="40"/>
        <v>0.19444444444444442</v>
      </c>
      <c r="H90" s="555">
        <f t="shared" si="50"/>
        <v>2.0833333333333259E-2</v>
      </c>
      <c r="I90" s="556">
        <f t="shared" si="41"/>
        <v>1</v>
      </c>
      <c r="J90" s="94">
        <f t="shared" si="42"/>
        <v>0</v>
      </c>
      <c r="K90" s="32">
        <f t="shared" si="43"/>
        <v>0</v>
      </c>
      <c r="L90" s="95" t="str">
        <f t="shared" si="44"/>
        <v/>
      </c>
      <c r="M90" s="96">
        <f t="shared" si="45"/>
        <v>0</v>
      </c>
      <c r="N90" s="97">
        <f>IF(M90=0,0,IF(SUM($M$5:M90)&gt;251,1,0))</f>
        <v>0</v>
      </c>
      <c r="O90" s="162">
        <v>40</v>
      </c>
      <c r="P90" s="163">
        <v>1</v>
      </c>
      <c r="Q90" s="98"/>
      <c r="R90" s="415" t="s">
        <v>543</v>
      </c>
      <c r="S90" s="99" t="str">
        <f t="shared" si="57"/>
        <v>放課後児童支援員</v>
      </c>
      <c r="T90" s="100" t="str">
        <f t="shared" si="51"/>
        <v>対象</v>
      </c>
      <c r="U90" s="418" t="s">
        <v>539</v>
      </c>
      <c r="V90" s="99" t="str">
        <f t="shared" si="58"/>
        <v>放課後児童支援員</v>
      </c>
      <c r="W90" s="100" t="str">
        <f t="shared" si="52"/>
        <v>対象</v>
      </c>
      <c r="X90" s="418" t="s">
        <v>546</v>
      </c>
      <c r="Y90" s="99" t="str">
        <f t="shared" si="59"/>
        <v>放課後児童支援員</v>
      </c>
      <c r="Z90" s="100" t="str">
        <f t="shared" si="53"/>
        <v>対象</v>
      </c>
      <c r="AA90" s="418"/>
      <c r="AB90" s="99">
        <f t="shared" si="60"/>
        <v>0</v>
      </c>
      <c r="AC90" s="100">
        <f t="shared" si="54"/>
        <v>0</v>
      </c>
      <c r="AD90" s="418"/>
      <c r="AE90" s="99">
        <f t="shared" si="61"/>
        <v>0</v>
      </c>
      <c r="AF90" s="100">
        <f t="shared" si="55"/>
        <v>0</v>
      </c>
      <c r="AG90" s="351" t="str">
        <f t="shared" si="56"/>
        <v/>
      </c>
      <c r="AH90" s="272" t="str">
        <f t="shared" si="46"/>
        <v/>
      </c>
      <c r="AI90" s="358" t="str">
        <f t="shared" si="47"/>
        <v/>
      </c>
      <c r="AJ90" s="272" t="str">
        <f t="shared" si="48"/>
        <v/>
      </c>
      <c r="AK90" s="361" t="str">
        <f t="shared" si="49"/>
        <v/>
      </c>
      <c r="AL90" s="11"/>
      <c r="AM90" s="11"/>
      <c r="AN90" s="11"/>
    </row>
    <row r="91" spans="1:40" ht="14.25">
      <c r="A91" s="787"/>
      <c r="B91" s="31" t="s">
        <v>198</v>
      </c>
      <c r="C91" s="184" t="s">
        <v>120</v>
      </c>
      <c r="D91" s="413" t="s">
        <v>24</v>
      </c>
      <c r="E91" s="49">
        <v>0.54861111111111105</v>
      </c>
      <c r="F91" s="49">
        <v>0.79166666666666663</v>
      </c>
      <c r="G91" s="93">
        <f t="shared" si="40"/>
        <v>0.24305555555555558</v>
      </c>
      <c r="H91" s="555">
        <f t="shared" si="50"/>
        <v>2.0833333333333259E-2</v>
      </c>
      <c r="I91" s="556">
        <f t="shared" si="41"/>
        <v>1</v>
      </c>
      <c r="J91" s="94">
        <f t="shared" si="42"/>
        <v>0</v>
      </c>
      <c r="K91" s="32">
        <f t="shared" si="43"/>
        <v>0</v>
      </c>
      <c r="L91" s="95" t="str">
        <f t="shared" si="44"/>
        <v/>
      </c>
      <c r="M91" s="96">
        <f t="shared" si="45"/>
        <v>0</v>
      </c>
      <c r="N91" s="97">
        <f>IF(M91=0,0,IF(SUM($M$5:M91)&gt;251,1,0))</f>
        <v>0</v>
      </c>
      <c r="O91" s="162">
        <v>40</v>
      </c>
      <c r="P91" s="163">
        <v>1</v>
      </c>
      <c r="Q91" s="98"/>
      <c r="R91" s="415" t="s">
        <v>543</v>
      </c>
      <c r="S91" s="99" t="str">
        <f t="shared" si="57"/>
        <v>放課後児童支援員</v>
      </c>
      <c r="T91" s="100" t="str">
        <f t="shared" si="51"/>
        <v>対象</v>
      </c>
      <c r="U91" s="418" t="s">
        <v>539</v>
      </c>
      <c r="V91" s="99" t="str">
        <f t="shared" si="58"/>
        <v>放課後児童支援員</v>
      </c>
      <c r="W91" s="100" t="str">
        <f t="shared" si="52"/>
        <v>対象</v>
      </c>
      <c r="X91" s="418" t="s">
        <v>546</v>
      </c>
      <c r="Y91" s="99" t="str">
        <f t="shared" si="59"/>
        <v>放課後児童支援員</v>
      </c>
      <c r="Z91" s="100" t="str">
        <f t="shared" si="53"/>
        <v>対象</v>
      </c>
      <c r="AA91" s="418"/>
      <c r="AB91" s="99">
        <f t="shared" si="60"/>
        <v>0</v>
      </c>
      <c r="AC91" s="100">
        <f t="shared" si="54"/>
        <v>0</v>
      </c>
      <c r="AD91" s="418"/>
      <c r="AE91" s="99">
        <f t="shared" si="61"/>
        <v>0</v>
      </c>
      <c r="AF91" s="100">
        <f t="shared" si="55"/>
        <v>0</v>
      </c>
      <c r="AG91" s="351" t="str">
        <f t="shared" si="56"/>
        <v/>
      </c>
      <c r="AH91" s="272" t="str">
        <f t="shared" si="46"/>
        <v/>
      </c>
      <c r="AI91" s="358" t="str">
        <f t="shared" si="47"/>
        <v/>
      </c>
      <c r="AJ91" s="272" t="str">
        <f t="shared" si="48"/>
        <v/>
      </c>
      <c r="AK91" s="361" t="str">
        <f t="shared" si="49"/>
        <v/>
      </c>
      <c r="AL91" s="11"/>
      <c r="AM91" s="11"/>
      <c r="AN91" s="11"/>
    </row>
    <row r="92" spans="1:40" ht="14.25">
      <c r="A92" s="787"/>
      <c r="B92" s="31" t="s">
        <v>199</v>
      </c>
      <c r="C92" s="184" t="s">
        <v>121</v>
      </c>
      <c r="D92" s="413" t="s">
        <v>24</v>
      </c>
      <c r="E92" s="49">
        <v>0.59722222222222221</v>
      </c>
      <c r="F92" s="49">
        <v>0.80555555555555547</v>
      </c>
      <c r="G92" s="93">
        <f t="shared" si="40"/>
        <v>0.20833333333333326</v>
      </c>
      <c r="H92" s="555">
        <f t="shared" si="50"/>
        <v>3.4722222222222099E-2</v>
      </c>
      <c r="I92" s="556">
        <f t="shared" si="41"/>
        <v>1</v>
      </c>
      <c r="J92" s="94">
        <f t="shared" si="42"/>
        <v>0</v>
      </c>
      <c r="K92" s="32">
        <f t="shared" si="43"/>
        <v>0</v>
      </c>
      <c r="L92" s="95" t="str">
        <f t="shared" si="44"/>
        <v/>
      </c>
      <c r="M92" s="96">
        <f t="shared" si="45"/>
        <v>0</v>
      </c>
      <c r="N92" s="97">
        <f>IF(M92=0,0,IF(SUM($M$5:M92)&gt;251,1,0))</f>
        <v>0</v>
      </c>
      <c r="O92" s="162">
        <v>40</v>
      </c>
      <c r="P92" s="163">
        <v>1</v>
      </c>
      <c r="Q92" s="98"/>
      <c r="R92" s="415" t="s">
        <v>543</v>
      </c>
      <c r="S92" s="99" t="str">
        <f t="shared" si="57"/>
        <v>放課後児童支援員</v>
      </c>
      <c r="T92" s="100" t="str">
        <f t="shared" si="51"/>
        <v>対象</v>
      </c>
      <c r="U92" s="418" t="s">
        <v>539</v>
      </c>
      <c r="V92" s="99" t="str">
        <f t="shared" si="58"/>
        <v>放課後児童支援員</v>
      </c>
      <c r="W92" s="100" t="str">
        <f t="shared" si="52"/>
        <v>対象</v>
      </c>
      <c r="X92" s="418" t="s">
        <v>546</v>
      </c>
      <c r="Y92" s="99" t="str">
        <f t="shared" si="59"/>
        <v>放課後児童支援員</v>
      </c>
      <c r="Z92" s="100" t="str">
        <f t="shared" si="53"/>
        <v>対象</v>
      </c>
      <c r="AA92" s="418"/>
      <c r="AB92" s="99">
        <f t="shared" si="60"/>
        <v>0</v>
      </c>
      <c r="AC92" s="100">
        <f t="shared" si="54"/>
        <v>0</v>
      </c>
      <c r="AD92" s="418"/>
      <c r="AE92" s="99">
        <f t="shared" si="61"/>
        <v>0</v>
      </c>
      <c r="AF92" s="100">
        <f t="shared" si="55"/>
        <v>0</v>
      </c>
      <c r="AG92" s="351" t="str">
        <f t="shared" si="56"/>
        <v/>
      </c>
      <c r="AH92" s="272" t="str">
        <f t="shared" si="46"/>
        <v/>
      </c>
      <c r="AI92" s="358" t="str">
        <f t="shared" si="47"/>
        <v/>
      </c>
      <c r="AJ92" s="272" t="str">
        <f t="shared" si="48"/>
        <v/>
      </c>
      <c r="AK92" s="361" t="str">
        <f t="shared" si="49"/>
        <v/>
      </c>
      <c r="AL92" s="11"/>
      <c r="AM92" s="11"/>
      <c r="AN92" s="11"/>
    </row>
    <row r="93" spans="1:40" ht="14.25">
      <c r="A93" s="787"/>
      <c r="B93" s="31" t="s">
        <v>200</v>
      </c>
      <c r="C93" s="184" t="s">
        <v>122</v>
      </c>
      <c r="D93" s="413" t="s">
        <v>173</v>
      </c>
      <c r="E93" s="49"/>
      <c r="F93" s="49"/>
      <c r="G93" s="93">
        <f t="shared" si="40"/>
        <v>0</v>
      </c>
      <c r="H93" s="555" t="str">
        <f t="shared" si="50"/>
        <v>0:00</v>
      </c>
      <c r="I93" s="556">
        <f t="shared" si="41"/>
        <v>0</v>
      </c>
      <c r="J93" s="94">
        <f t="shared" si="42"/>
        <v>0</v>
      </c>
      <c r="K93" s="32">
        <f t="shared" si="43"/>
        <v>0</v>
      </c>
      <c r="L93" s="95" t="str">
        <f t="shared" si="44"/>
        <v/>
      </c>
      <c r="M93" s="96">
        <f t="shared" si="45"/>
        <v>0</v>
      </c>
      <c r="N93" s="97">
        <f>IF(M93=0,0,IF(SUM($M$5:M93)&gt;251,1,0))</f>
        <v>0</v>
      </c>
      <c r="O93" s="162"/>
      <c r="P93" s="163"/>
      <c r="Q93" s="98"/>
      <c r="R93" s="415"/>
      <c r="S93" s="99">
        <f t="shared" si="57"/>
        <v>0</v>
      </c>
      <c r="T93" s="100">
        <f t="shared" si="51"/>
        <v>0</v>
      </c>
      <c r="U93" s="418"/>
      <c r="V93" s="99">
        <f t="shared" si="58"/>
        <v>0</v>
      </c>
      <c r="W93" s="100">
        <f t="shared" si="52"/>
        <v>0</v>
      </c>
      <c r="X93" s="418"/>
      <c r="Y93" s="99">
        <f t="shared" si="59"/>
        <v>0</v>
      </c>
      <c r="Z93" s="100">
        <f t="shared" si="53"/>
        <v>0</v>
      </c>
      <c r="AA93" s="418"/>
      <c r="AB93" s="99">
        <f t="shared" si="60"/>
        <v>0</v>
      </c>
      <c r="AC93" s="100">
        <f t="shared" si="54"/>
        <v>0</v>
      </c>
      <c r="AD93" s="418"/>
      <c r="AE93" s="99">
        <f t="shared" si="61"/>
        <v>0</v>
      </c>
      <c r="AF93" s="100">
        <f t="shared" si="55"/>
        <v>0</v>
      </c>
      <c r="AG93" s="351" t="str">
        <f t="shared" si="56"/>
        <v/>
      </c>
      <c r="AH93" s="272" t="str">
        <f t="shared" si="46"/>
        <v/>
      </c>
      <c r="AI93" s="358" t="str">
        <f t="shared" si="47"/>
        <v/>
      </c>
      <c r="AJ93" s="272" t="str">
        <f t="shared" si="48"/>
        <v/>
      </c>
      <c r="AK93" s="361" t="str">
        <f t="shared" si="49"/>
        <v/>
      </c>
      <c r="AL93" s="11"/>
      <c r="AM93" s="11"/>
      <c r="AN93" s="11"/>
    </row>
    <row r="94" spans="1:40" ht="14.25">
      <c r="A94" s="787"/>
      <c r="B94" s="31" t="s">
        <v>201</v>
      </c>
      <c r="C94" s="184" t="s">
        <v>183</v>
      </c>
      <c r="D94" s="413" t="s">
        <v>173</v>
      </c>
      <c r="E94" s="49"/>
      <c r="F94" s="49"/>
      <c r="G94" s="93">
        <f t="shared" si="40"/>
        <v>0</v>
      </c>
      <c r="H94" s="555" t="str">
        <f t="shared" si="50"/>
        <v>0:00</v>
      </c>
      <c r="I94" s="556">
        <f t="shared" si="41"/>
        <v>0</v>
      </c>
      <c r="J94" s="94">
        <f t="shared" si="42"/>
        <v>0</v>
      </c>
      <c r="K94" s="32">
        <f t="shared" si="43"/>
        <v>0</v>
      </c>
      <c r="L94" s="95" t="str">
        <f t="shared" si="44"/>
        <v/>
      </c>
      <c r="M94" s="96">
        <f t="shared" si="45"/>
        <v>0</v>
      </c>
      <c r="N94" s="97">
        <f>IF(M94=0,0,IF(SUM($M$5:M94)&gt;251,1,0))</f>
        <v>0</v>
      </c>
      <c r="O94" s="162"/>
      <c r="P94" s="163"/>
      <c r="Q94" s="98"/>
      <c r="R94" s="415"/>
      <c r="S94" s="99">
        <f t="shared" si="57"/>
        <v>0</v>
      </c>
      <c r="T94" s="100">
        <f t="shared" si="51"/>
        <v>0</v>
      </c>
      <c r="U94" s="418"/>
      <c r="V94" s="99">
        <f t="shared" si="58"/>
        <v>0</v>
      </c>
      <c r="W94" s="100">
        <f t="shared" si="52"/>
        <v>0</v>
      </c>
      <c r="X94" s="418"/>
      <c r="Y94" s="99">
        <f t="shared" si="59"/>
        <v>0</v>
      </c>
      <c r="Z94" s="100">
        <f t="shared" si="53"/>
        <v>0</v>
      </c>
      <c r="AA94" s="418"/>
      <c r="AB94" s="99">
        <f t="shared" si="60"/>
        <v>0</v>
      </c>
      <c r="AC94" s="100">
        <f t="shared" si="54"/>
        <v>0</v>
      </c>
      <c r="AD94" s="418"/>
      <c r="AE94" s="99">
        <f t="shared" si="61"/>
        <v>0</v>
      </c>
      <c r="AF94" s="100">
        <f t="shared" si="55"/>
        <v>0</v>
      </c>
      <c r="AG94" s="351" t="str">
        <f t="shared" si="56"/>
        <v/>
      </c>
      <c r="AH94" s="272" t="str">
        <f t="shared" si="46"/>
        <v/>
      </c>
      <c r="AI94" s="358" t="str">
        <f t="shared" si="47"/>
        <v/>
      </c>
      <c r="AJ94" s="272" t="str">
        <f t="shared" si="48"/>
        <v/>
      </c>
      <c r="AK94" s="361" t="str">
        <f t="shared" si="49"/>
        <v/>
      </c>
      <c r="AL94" s="11"/>
      <c r="AM94" s="11"/>
      <c r="AN94" s="11"/>
    </row>
    <row r="95" spans="1:40" ht="15" thickBot="1">
      <c r="A95" s="788"/>
      <c r="B95" s="33" t="s">
        <v>202</v>
      </c>
      <c r="C95" s="184" t="s">
        <v>118</v>
      </c>
      <c r="D95" s="413" t="s">
        <v>24</v>
      </c>
      <c r="E95" s="49">
        <v>0.59722222222222221</v>
      </c>
      <c r="F95" s="49">
        <v>0.7715277777777777</v>
      </c>
      <c r="G95" s="101">
        <f t="shared" si="40"/>
        <v>0.17430555555555549</v>
      </c>
      <c r="H95" s="555">
        <f t="shared" si="50"/>
        <v>6.9444444444433095E-4</v>
      </c>
      <c r="I95" s="557">
        <f t="shared" si="41"/>
        <v>1</v>
      </c>
      <c r="J95" s="102">
        <f t="shared" si="42"/>
        <v>0</v>
      </c>
      <c r="K95" s="34">
        <f t="shared" si="43"/>
        <v>0</v>
      </c>
      <c r="L95" s="103" t="str">
        <f t="shared" si="44"/>
        <v/>
      </c>
      <c r="M95" s="104">
        <f t="shared" si="45"/>
        <v>0</v>
      </c>
      <c r="N95" s="105">
        <f>IF(M95=0,0,IF(SUM($M$5:M95)&gt;251,1,0))</f>
        <v>0</v>
      </c>
      <c r="O95" s="162">
        <v>40</v>
      </c>
      <c r="P95" s="163">
        <v>1</v>
      </c>
      <c r="Q95" s="108">
        <f>SUM(O66:O95)</f>
        <v>850</v>
      </c>
      <c r="R95" s="415" t="s">
        <v>543</v>
      </c>
      <c r="S95" s="185" t="str">
        <f t="shared" si="57"/>
        <v>放課後児童支援員</v>
      </c>
      <c r="T95" s="107" t="str">
        <f t="shared" si="51"/>
        <v>対象</v>
      </c>
      <c r="U95" s="418" t="s">
        <v>539</v>
      </c>
      <c r="V95" s="185" t="str">
        <f t="shared" si="58"/>
        <v>放課後児童支援員</v>
      </c>
      <c r="W95" s="107" t="str">
        <f t="shared" si="52"/>
        <v>対象</v>
      </c>
      <c r="X95" s="419"/>
      <c r="Y95" s="185">
        <f t="shared" si="59"/>
        <v>0</v>
      </c>
      <c r="Z95" s="107">
        <f t="shared" si="53"/>
        <v>0</v>
      </c>
      <c r="AA95" s="419"/>
      <c r="AB95" s="185">
        <f t="shared" si="60"/>
        <v>0</v>
      </c>
      <c r="AC95" s="107">
        <f t="shared" si="54"/>
        <v>0</v>
      </c>
      <c r="AD95" s="419"/>
      <c r="AE95" s="185">
        <f t="shared" si="61"/>
        <v>0</v>
      </c>
      <c r="AF95" s="107">
        <f t="shared" si="55"/>
        <v>0</v>
      </c>
      <c r="AG95" s="182" t="str">
        <f t="shared" si="56"/>
        <v/>
      </c>
      <c r="AH95" s="273" t="str">
        <f t="shared" si="46"/>
        <v/>
      </c>
      <c r="AI95" s="464" t="str">
        <f t="shared" si="47"/>
        <v/>
      </c>
      <c r="AJ95" s="273" t="str">
        <f t="shared" si="48"/>
        <v/>
      </c>
      <c r="AK95" s="362" t="str">
        <f t="shared" si="49"/>
        <v/>
      </c>
      <c r="AL95" s="11"/>
      <c r="AM95" s="11"/>
      <c r="AN95" s="11"/>
    </row>
    <row r="96" spans="1:40" ht="14.25">
      <c r="A96" s="786" t="s">
        <v>204</v>
      </c>
      <c r="B96" s="27" t="s">
        <v>170</v>
      </c>
      <c r="C96" s="184" t="s">
        <v>123</v>
      </c>
      <c r="D96" s="413" t="s">
        <v>24</v>
      </c>
      <c r="E96" s="49">
        <v>0.59722222222222221</v>
      </c>
      <c r="F96" s="49">
        <v>0.79166666666666663</v>
      </c>
      <c r="G96" s="85">
        <f t="shared" si="40"/>
        <v>0.19444444444444442</v>
      </c>
      <c r="H96" s="555">
        <f t="shared" si="50"/>
        <v>2.0833333333333259E-2</v>
      </c>
      <c r="I96" s="558">
        <f t="shared" si="41"/>
        <v>1</v>
      </c>
      <c r="J96" s="86">
        <f t="shared" si="42"/>
        <v>0</v>
      </c>
      <c r="K96" s="29">
        <f t="shared" si="43"/>
        <v>0</v>
      </c>
      <c r="L96" s="87" t="str">
        <f t="shared" si="44"/>
        <v/>
      </c>
      <c r="M96" s="88">
        <f t="shared" si="45"/>
        <v>0</v>
      </c>
      <c r="N96" s="89">
        <f>IF(M96=0,0,IF(SUM($M$5:M96)&gt;251,1,0))</f>
        <v>0</v>
      </c>
      <c r="O96" s="162">
        <v>40</v>
      </c>
      <c r="P96" s="163">
        <v>1</v>
      </c>
      <c r="Q96" s="90"/>
      <c r="R96" s="415" t="s">
        <v>543</v>
      </c>
      <c r="S96" s="91" t="str">
        <f t="shared" si="57"/>
        <v>放課後児童支援員</v>
      </c>
      <c r="T96" s="92" t="str">
        <f t="shared" si="51"/>
        <v>対象</v>
      </c>
      <c r="U96" s="418" t="s">
        <v>539</v>
      </c>
      <c r="V96" s="91" t="str">
        <f t="shared" si="58"/>
        <v>放課後児童支援員</v>
      </c>
      <c r="W96" s="92" t="str">
        <f t="shared" si="52"/>
        <v>対象</v>
      </c>
      <c r="X96" s="417" t="s">
        <v>546</v>
      </c>
      <c r="Y96" s="91" t="str">
        <f t="shared" si="59"/>
        <v>放課後児童支援員</v>
      </c>
      <c r="Z96" s="92" t="str">
        <f t="shared" si="53"/>
        <v>対象</v>
      </c>
      <c r="AA96" s="417"/>
      <c r="AB96" s="91">
        <f t="shared" si="60"/>
        <v>0</v>
      </c>
      <c r="AC96" s="92">
        <f t="shared" si="54"/>
        <v>0</v>
      </c>
      <c r="AD96" s="417"/>
      <c r="AE96" s="91">
        <f t="shared" si="61"/>
        <v>0</v>
      </c>
      <c r="AF96" s="92">
        <f t="shared" si="55"/>
        <v>0</v>
      </c>
      <c r="AG96" s="363" t="str">
        <f t="shared" si="56"/>
        <v/>
      </c>
      <c r="AH96" s="359" t="str">
        <f t="shared" si="46"/>
        <v/>
      </c>
      <c r="AI96" s="359" t="str">
        <f t="shared" si="47"/>
        <v/>
      </c>
      <c r="AJ96" s="359" t="str">
        <f t="shared" si="48"/>
        <v/>
      </c>
      <c r="AK96" s="360" t="str">
        <f t="shared" si="49"/>
        <v/>
      </c>
      <c r="AL96" s="11"/>
      <c r="AM96" s="11"/>
      <c r="AN96" s="11"/>
    </row>
    <row r="97" spans="1:40" ht="14.25">
      <c r="A97" s="787"/>
      <c r="B97" s="31" t="s">
        <v>172</v>
      </c>
      <c r="C97" s="184" t="s">
        <v>119</v>
      </c>
      <c r="D97" s="413" t="s">
        <v>24</v>
      </c>
      <c r="E97" s="49">
        <v>0.59722222222222221</v>
      </c>
      <c r="F97" s="49">
        <v>0.79166666666666663</v>
      </c>
      <c r="G97" s="93">
        <f t="shared" si="40"/>
        <v>0.19444444444444442</v>
      </c>
      <c r="H97" s="555">
        <f t="shared" si="50"/>
        <v>2.0833333333333259E-2</v>
      </c>
      <c r="I97" s="556">
        <f t="shared" si="41"/>
        <v>1</v>
      </c>
      <c r="J97" s="94">
        <f t="shared" si="42"/>
        <v>0</v>
      </c>
      <c r="K97" s="32">
        <f t="shared" si="43"/>
        <v>0</v>
      </c>
      <c r="L97" s="95" t="str">
        <f t="shared" si="44"/>
        <v/>
      </c>
      <c r="M97" s="96">
        <f t="shared" si="45"/>
        <v>0</v>
      </c>
      <c r="N97" s="97">
        <f>IF(M97=0,0,IF(SUM($M$5:M97)&gt;251,1,0))</f>
        <v>0</v>
      </c>
      <c r="O97" s="162">
        <v>40</v>
      </c>
      <c r="P97" s="163">
        <v>1</v>
      </c>
      <c r="Q97" s="98"/>
      <c r="R97" s="415" t="s">
        <v>543</v>
      </c>
      <c r="S97" s="99" t="str">
        <f t="shared" si="57"/>
        <v>放課後児童支援員</v>
      </c>
      <c r="T97" s="100" t="str">
        <f t="shared" si="51"/>
        <v>対象</v>
      </c>
      <c r="U97" s="418" t="s">
        <v>539</v>
      </c>
      <c r="V97" s="99" t="str">
        <f t="shared" si="58"/>
        <v>放課後児童支援員</v>
      </c>
      <c r="W97" s="100" t="str">
        <f t="shared" si="52"/>
        <v>対象</v>
      </c>
      <c r="X97" s="418" t="s">
        <v>546</v>
      </c>
      <c r="Y97" s="99" t="str">
        <f t="shared" si="59"/>
        <v>放課後児童支援員</v>
      </c>
      <c r="Z97" s="100" t="str">
        <f t="shared" si="53"/>
        <v>対象</v>
      </c>
      <c r="AA97" s="418"/>
      <c r="AB97" s="99">
        <f t="shared" si="60"/>
        <v>0</v>
      </c>
      <c r="AC97" s="100">
        <f t="shared" si="54"/>
        <v>0</v>
      </c>
      <c r="AD97" s="418"/>
      <c r="AE97" s="99">
        <f t="shared" si="61"/>
        <v>0</v>
      </c>
      <c r="AF97" s="100">
        <f t="shared" si="55"/>
        <v>0</v>
      </c>
      <c r="AG97" s="351" t="str">
        <f t="shared" si="56"/>
        <v/>
      </c>
      <c r="AH97" s="272" t="str">
        <f t="shared" si="46"/>
        <v/>
      </c>
      <c r="AI97" s="358" t="str">
        <f t="shared" si="47"/>
        <v/>
      </c>
      <c r="AJ97" s="272" t="str">
        <f t="shared" si="48"/>
        <v/>
      </c>
      <c r="AK97" s="361" t="str">
        <f t="shared" si="49"/>
        <v/>
      </c>
      <c r="AL97" s="11"/>
      <c r="AM97" s="11"/>
      <c r="AN97" s="11"/>
    </row>
    <row r="98" spans="1:40" ht="14.25">
      <c r="A98" s="787"/>
      <c r="B98" s="31" t="s">
        <v>174</v>
      </c>
      <c r="C98" s="184" t="s">
        <v>120</v>
      </c>
      <c r="D98" s="413" t="s">
        <v>24</v>
      </c>
      <c r="E98" s="49">
        <v>0.54861111111111105</v>
      </c>
      <c r="F98" s="49">
        <v>0.79166666666666663</v>
      </c>
      <c r="G98" s="93">
        <f t="shared" si="40"/>
        <v>0.24305555555555558</v>
      </c>
      <c r="H98" s="555">
        <f t="shared" si="50"/>
        <v>2.0833333333333259E-2</v>
      </c>
      <c r="I98" s="556">
        <f t="shared" si="41"/>
        <v>1</v>
      </c>
      <c r="J98" s="94">
        <f t="shared" si="42"/>
        <v>0</v>
      </c>
      <c r="K98" s="32">
        <f t="shared" si="43"/>
        <v>0</v>
      </c>
      <c r="L98" s="95" t="str">
        <f t="shared" si="44"/>
        <v/>
      </c>
      <c r="M98" s="96">
        <f t="shared" si="45"/>
        <v>0</v>
      </c>
      <c r="N98" s="97">
        <f>IF(M98=0,0,IF(SUM($M$5:M98)&gt;251,1,0))</f>
        <v>0</v>
      </c>
      <c r="O98" s="162">
        <v>40</v>
      </c>
      <c r="P98" s="163">
        <v>1</v>
      </c>
      <c r="Q98" s="98"/>
      <c r="R98" s="415" t="s">
        <v>543</v>
      </c>
      <c r="S98" s="99" t="str">
        <f t="shared" si="57"/>
        <v>放課後児童支援員</v>
      </c>
      <c r="T98" s="100" t="str">
        <f t="shared" si="51"/>
        <v>対象</v>
      </c>
      <c r="U98" s="418" t="s">
        <v>539</v>
      </c>
      <c r="V98" s="99" t="str">
        <f t="shared" si="58"/>
        <v>放課後児童支援員</v>
      </c>
      <c r="W98" s="100" t="str">
        <f t="shared" si="52"/>
        <v>対象</v>
      </c>
      <c r="X98" s="418" t="s">
        <v>546</v>
      </c>
      <c r="Y98" s="99" t="str">
        <f t="shared" si="59"/>
        <v>放課後児童支援員</v>
      </c>
      <c r="Z98" s="100" t="str">
        <f t="shared" si="53"/>
        <v>対象</v>
      </c>
      <c r="AA98" s="418"/>
      <c r="AB98" s="99">
        <f t="shared" si="60"/>
        <v>0</v>
      </c>
      <c r="AC98" s="100">
        <f t="shared" si="54"/>
        <v>0</v>
      </c>
      <c r="AD98" s="418"/>
      <c r="AE98" s="99">
        <f t="shared" si="61"/>
        <v>0</v>
      </c>
      <c r="AF98" s="100">
        <f t="shared" si="55"/>
        <v>0</v>
      </c>
      <c r="AG98" s="351" t="str">
        <f t="shared" si="56"/>
        <v/>
      </c>
      <c r="AH98" s="272" t="str">
        <f t="shared" si="46"/>
        <v/>
      </c>
      <c r="AI98" s="358" t="str">
        <f t="shared" si="47"/>
        <v/>
      </c>
      <c r="AJ98" s="272" t="str">
        <f t="shared" si="48"/>
        <v/>
      </c>
      <c r="AK98" s="361" t="str">
        <f t="shared" si="49"/>
        <v/>
      </c>
      <c r="AL98" s="11"/>
      <c r="AM98" s="11"/>
      <c r="AN98" s="11"/>
    </row>
    <row r="99" spans="1:40" ht="14.25">
      <c r="A99" s="787"/>
      <c r="B99" s="31" t="s">
        <v>175</v>
      </c>
      <c r="C99" s="184" t="s">
        <v>121</v>
      </c>
      <c r="D99" s="413" t="s">
        <v>24</v>
      </c>
      <c r="E99" s="49">
        <v>0.59722222222222221</v>
      </c>
      <c r="F99" s="49">
        <v>0.80555555555555547</v>
      </c>
      <c r="G99" s="93">
        <f t="shared" si="40"/>
        <v>0.20833333333333326</v>
      </c>
      <c r="H99" s="555">
        <f t="shared" si="50"/>
        <v>3.4722222222222099E-2</v>
      </c>
      <c r="I99" s="556">
        <f t="shared" si="41"/>
        <v>1</v>
      </c>
      <c r="J99" s="94">
        <f t="shared" si="42"/>
        <v>0</v>
      </c>
      <c r="K99" s="32">
        <f t="shared" si="43"/>
        <v>0</v>
      </c>
      <c r="L99" s="95" t="str">
        <f t="shared" si="44"/>
        <v/>
      </c>
      <c r="M99" s="96">
        <f t="shared" si="45"/>
        <v>0</v>
      </c>
      <c r="N99" s="97">
        <f>IF(M99=0,0,IF(SUM($M$5:M99)&gt;251,1,0))</f>
        <v>0</v>
      </c>
      <c r="O99" s="162">
        <v>40</v>
      </c>
      <c r="P99" s="163">
        <v>1</v>
      </c>
      <c r="Q99" s="98"/>
      <c r="R99" s="415" t="s">
        <v>543</v>
      </c>
      <c r="S99" s="99" t="str">
        <f t="shared" si="57"/>
        <v>放課後児童支援員</v>
      </c>
      <c r="T99" s="100" t="str">
        <f t="shared" si="51"/>
        <v>対象</v>
      </c>
      <c r="U99" s="418" t="s">
        <v>539</v>
      </c>
      <c r="V99" s="99" t="str">
        <f t="shared" si="58"/>
        <v>放課後児童支援員</v>
      </c>
      <c r="W99" s="100" t="str">
        <f t="shared" si="52"/>
        <v>対象</v>
      </c>
      <c r="X99" s="418" t="s">
        <v>546</v>
      </c>
      <c r="Y99" s="99" t="str">
        <f t="shared" si="59"/>
        <v>放課後児童支援員</v>
      </c>
      <c r="Z99" s="100" t="str">
        <f t="shared" si="53"/>
        <v>対象</v>
      </c>
      <c r="AA99" s="418"/>
      <c r="AB99" s="99">
        <f t="shared" si="60"/>
        <v>0</v>
      </c>
      <c r="AC99" s="100">
        <f t="shared" si="54"/>
        <v>0</v>
      </c>
      <c r="AD99" s="418"/>
      <c r="AE99" s="99">
        <f t="shared" si="61"/>
        <v>0</v>
      </c>
      <c r="AF99" s="100">
        <f t="shared" si="55"/>
        <v>0</v>
      </c>
      <c r="AG99" s="351" t="str">
        <f t="shared" si="56"/>
        <v/>
      </c>
      <c r="AH99" s="272" t="str">
        <f t="shared" si="46"/>
        <v/>
      </c>
      <c r="AI99" s="358" t="str">
        <f t="shared" si="47"/>
        <v/>
      </c>
      <c r="AJ99" s="272" t="str">
        <f t="shared" si="48"/>
        <v/>
      </c>
      <c r="AK99" s="361" t="str">
        <f t="shared" si="49"/>
        <v/>
      </c>
      <c r="AL99" s="11"/>
      <c r="AM99" s="11"/>
      <c r="AN99" s="11"/>
    </row>
    <row r="100" spans="1:40" ht="14.25">
      <c r="A100" s="787"/>
      <c r="B100" s="31" t="s">
        <v>176</v>
      </c>
      <c r="C100" s="184" t="s">
        <v>122</v>
      </c>
      <c r="D100" s="413" t="s">
        <v>171</v>
      </c>
      <c r="E100" s="49">
        <v>0.33333333333333331</v>
      </c>
      <c r="F100" s="49">
        <v>0.6875</v>
      </c>
      <c r="G100" s="93">
        <f t="shared" si="40"/>
        <v>0.35416666666666669</v>
      </c>
      <c r="H100" s="555" t="str">
        <f t="shared" si="50"/>
        <v>0:00</v>
      </c>
      <c r="I100" s="556">
        <f t="shared" si="41"/>
        <v>0</v>
      </c>
      <c r="J100" s="94">
        <f t="shared" si="42"/>
        <v>2.083333333333337E-2</v>
      </c>
      <c r="K100" s="32">
        <f t="shared" si="43"/>
        <v>1</v>
      </c>
      <c r="L100" s="95" t="str">
        <f t="shared" si="44"/>
        <v/>
      </c>
      <c r="M100" s="96">
        <f t="shared" si="45"/>
        <v>1</v>
      </c>
      <c r="N100" s="97">
        <f>IF(M100=0,0,IF(SUM($M$5:M100)&gt;251,1,0))</f>
        <v>0</v>
      </c>
      <c r="O100" s="162">
        <v>5</v>
      </c>
      <c r="P100" s="163">
        <v>0</v>
      </c>
      <c r="Q100" s="98"/>
      <c r="R100" s="415" t="s">
        <v>543</v>
      </c>
      <c r="S100" s="516" t="str">
        <f t="shared" si="57"/>
        <v>放課後児童支援員</v>
      </c>
      <c r="T100" s="517" t="str">
        <f t="shared" si="51"/>
        <v>対象</v>
      </c>
      <c r="U100" s="518" t="s">
        <v>539</v>
      </c>
      <c r="V100" s="99" t="str">
        <f t="shared" si="58"/>
        <v>放課後児童支援員</v>
      </c>
      <c r="W100" s="100" t="str">
        <f t="shared" si="52"/>
        <v>対象</v>
      </c>
      <c r="X100" s="418" t="s">
        <v>546</v>
      </c>
      <c r="Y100" s="99" t="str">
        <f t="shared" si="59"/>
        <v>放課後児童支援員</v>
      </c>
      <c r="Z100" s="100" t="str">
        <f t="shared" si="53"/>
        <v>対象</v>
      </c>
      <c r="AA100" s="418"/>
      <c r="AB100" s="99">
        <f t="shared" si="60"/>
        <v>0</v>
      </c>
      <c r="AC100" s="100">
        <f t="shared" si="54"/>
        <v>0</v>
      </c>
      <c r="AD100" s="418"/>
      <c r="AE100" s="99">
        <f t="shared" si="61"/>
        <v>0</v>
      </c>
      <c r="AF100" s="100">
        <f t="shared" si="55"/>
        <v>0</v>
      </c>
      <c r="AG100" s="351" t="str">
        <f t="shared" si="56"/>
        <v/>
      </c>
      <c r="AH100" s="272" t="str">
        <f t="shared" si="46"/>
        <v/>
      </c>
      <c r="AI100" s="358" t="str">
        <f t="shared" si="47"/>
        <v/>
      </c>
      <c r="AJ100" s="272" t="str">
        <f t="shared" si="48"/>
        <v/>
      </c>
      <c r="AK100" s="361" t="str">
        <f t="shared" si="49"/>
        <v/>
      </c>
      <c r="AL100" s="11"/>
      <c r="AM100" s="11"/>
      <c r="AN100" s="11"/>
    </row>
    <row r="101" spans="1:40" ht="14.25">
      <c r="A101" s="787"/>
      <c r="B101" s="31" t="s">
        <v>177</v>
      </c>
      <c r="C101" s="184" t="s">
        <v>183</v>
      </c>
      <c r="D101" s="413" t="s">
        <v>173</v>
      </c>
      <c r="E101" s="49"/>
      <c r="F101" s="49"/>
      <c r="G101" s="93">
        <f t="shared" si="40"/>
        <v>0</v>
      </c>
      <c r="H101" s="555" t="str">
        <f t="shared" si="50"/>
        <v>0:00</v>
      </c>
      <c r="I101" s="556">
        <f t="shared" si="41"/>
        <v>0</v>
      </c>
      <c r="J101" s="94">
        <f t="shared" si="42"/>
        <v>0</v>
      </c>
      <c r="K101" s="32">
        <f t="shared" si="43"/>
        <v>0</v>
      </c>
      <c r="L101" s="95" t="str">
        <f t="shared" si="44"/>
        <v/>
      </c>
      <c r="M101" s="96">
        <f t="shared" si="45"/>
        <v>0</v>
      </c>
      <c r="N101" s="97">
        <f>IF(M101=0,0,IF(SUM($M$5:M101)&gt;251,1,0))</f>
        <v>0</v>
      </c>
      <c r="O101" s="162"/>
      <c r="P101" s="163"/>
      <c r="Q101" s="98"/>
      <c r="R101" s="513"/>
      <c r="S101" s="99">
        <f t="shared" si="57"/>
        <v>0</v>
      </c>
      <c r="T101" s="100">
        <f t="shared" si="51"/>
        <v>0</v>
      </c>
      <c r="U101" s="514"/>
      <c r="V101" s="99">
        <f t="shared" si="58"/>
        <v>0</v>
      </c>
      <c r="W101" s="100">
        <f t="shared" si="52"/>
        <v>0</v>
      </c>
      <c r="X101" s="418"/>
      <c r="Y101" s="99">
        <f t="shared" si="59"/>
        <v>0</v>
      </c>
      <c r="Z101" s="100">
        <f t="shared" si="53"/>
        <v>0</v>
      </c>
      <c r="AA101" s="418"/>
      <c r="AB101" s="99">
        <f t="shared" si="60"/>
        <v>0</v>
      </c>
      <c r="AC101" s="100">
        <f t="shared" si="54"/>
        <v>0</v>
      </c>
      <c r="AD101" s="418"/>
      <c r="AE101" s="99">
        <f t="shared" si="61"/>
        <v>0</v>
      </c>
      <c r="AF101" s="100">
        <f t="shared" si="55"/>
        <v>0</v>
      </c>
      <c r="AG101" s="351" t="str">
        <f t="shared" si="56"/>
        <v/>
      </c>
      <c r="AH101" s="272" t="str">
        <f t="shared" si="46"/>
        <v/>
      </c>
      <c r="AI101" s="358" t="str">
        <f t="shared" si="47"/>
        <v/>
      </c>
      <c r="AJ101" s="272" t="str">
        <f t="shared" si="48"/>
        <v/>
      </c>
      <c r="AK101" s="361" t="str">
        <f t="shared" si="49"/>
        <v/>
      </c>
      <c r="AL101" s="11"/>
      <c r="AM101" s="11"/>
      <c r="AN101" s="11"/>
    </row>
    <row r="102" spans="1:40" ht="14.25">
      <c r="A102" s="787"/>
      <c r="B102" s="31" t="s">
        <v>178</v>
      </c>
      <c r="C102" s="184" t="s">
        <v>118</v>
      </c>
      <c r="D102" s="413" t="s">
        <v>24</v>
      </c>
      <c r="E102" s="49">
        <v>0.59722222222222221</v>
      </c>
      <c r="F102" s="49">
        <v>0.7715277777777777</v>
      </c>
      <c r="G102" s="93">
        <f t="shared" si="40"/>
        <v>0.17430555555555549</v>
      </c>
      <c r="H102" s="555">
        <f t="shared" si="50"/>
        <v>6.9444444444433095E-4</v>
      </c>
      <c r="I102" s="556">
        <f t="shared" si="41"/>
        <v>1</v>
      </c>
      <c r="J102" s="94">
        <f t="shared" si="42"/>
        <v>0</v>
      </c>
      <c r="K102" s="32">
        <f t="shared" si="43"/>
        <v>0</v>
      </c>
      <c r="L102" s="95" t="str">
        <f t="shared" si="44"/>
        <v/>
      </c>
      <c r="M102" s="96">
        <f t="shared" si="45"/>
        <v>0</v>
      </c>
      <c r="N102" s="97">
        <f>IF(M102=0,0,IF(SUM($M$5:M102)&gt;251,1,0))</f>
        <v>0</v>
      </c>
      <c r="O102" s="162">
        <v>40</v>
      </c>
      <c r="P102" s="163">
        <v>1</v>
      </c>
      <c r="Q102" s="98"/>
      <c r="R102" s="415" t="s">
        <v>543</v>
      </c>
      <c r="S102" s="99" t="str">
        <f t="shared" si="57"/>
        <v>放課後児童支援員</v>
      </c>
      <c r="T102" s="100" t="str">
        <f t="shared" si="51"/>
        <v>対象</v>
      </c>
      <c r="U102" s="418" t="s">
        <v>539</v>
      </c>
      <c r="V102" s="99" t="str">
        <f t="shared" si="58"/>
        <v>放課後児童支援員</v>
      </c>
      <c r="W102" s="100" t="str">
        <f t="shared" si="52"/>
        <v>対象</v>
      </c>
      <c r="X102" s="418"/>
      <c r="Y102" s="99">
        <f t="shared" si="59"/>
        <v>0</v>
      </c>
      <c r="Z102" s="100">
        <f t="shared" si="53"/>
        <v>0</v>
      </c>
      <c r="AA102" s="418"/>
      <c r="AB102" s="99">
        <f t="shared" si="60"/>
        <v>0</v>
      </c>
      <c r="AC102" s="100">
        <f t="shared" si="54"/>
        <v>0</v>
      </c>
      <c r="AD102" s="418"/>
      <c r="AE102" s="99">
        <f t="shared" si="61"/>
        <v>0</v>
      </c>
      <c r="AF102" s="100">
        <f t="shared" si="55"/>
        <v>0</v>
      </c>
      <c r="AG102" s="351" t="str">
        <f t="shared" si="56"/>
        <v/>
      </c>
      <c r="AH102" s="272" t="str">
        <f t="shared" si="46"/>
        <v/>
      </c>
      <c r="AI102" s="358" t="str">
        <f t="shared" si="47"/>
        <v/>
      </c>
      <c r="AJ102" s="272" t="str">
        <f t="shared" si="48"/>
        <v/>
      </c>
      <c r="AK102" s="361" t="str">
        <f t="shared" si="49"/>
        <v/>
      </c>
      <c r="AL102" s="11"/>
      <c r="AM102" s="11"/>
      <c r="AN102" s="11"/>
    </row>
    <row r="103" spans="1:40" ht="14.25">
      <c r="A103" s="787"/>
      <c r="B103" s="31" t="s">
        <v>179</v>
      </c>
      <c r="C103" s="184" t="s">
        <v>123</v>
      </c>
      <c r="D103" s="413" t="s">
        <v>24</v>
      </c>
      <c r="E103" s="49">
        <v>0.59722222222222221</v>
      </c>
      <c r="F103" s="49">
        <v>0.79166666666666663</v>
      </c>
      <c r="G103" s="93">
        <f t="shared" si="40"/>
        <v>0.19444444444444442</v>
      </c>
      <c r="H103" s="555">
        <f t="shared" si="50"/>
        <v>2.0833333333333259E-2</v>
      </c>
      <c r="I103" s="556">
        <f t="shared" si="41"/>
        <v>1</v>
      </c>
      <c r="J103" s="94">
        <f t="shared" si="42"/>
        <v>0</v>
      </c>
      <c r="K103" s="32">
        <f t="shared" si="43"/>
        <v>0</v>
      </c>
      <c r="L103" s="95" t="str">
        <f t="shared" si="44"/>
        <v/>
      </c>
      <c r="M103" s="96">
        <f t="shared" si="45"/>
        <v>0</v>
      </c>
      <c r="N103" s="97">
        <f>IF(M103=0,0,IF(SUM($M$5:M103)&gt;251,1,0))</f>
        <v>0</v>
      </c>
      <c r="O103" s="162">
        <v>40</v>
      </c>
      <c r="P103" s="163">
        <v>1</v>
      </c>
      <c r="Q103" s="98"/>
      <c r="R103" s="415" t="s">
        <v>543</v>
      </c>
      <c r="S103" s="99" t="str">
        <f t="shared" si="57"/>
        <v>放課後児童支援員</v>
      </c>
      <c r="T103" s="100" t="str">
        <f t="shared" si="51"/>
        <v>対象</v>
      </c>
      <c r="U103" s="418" t="s">
        <v>539</v>
      </c>
      <c r="V103" s="99" t="str">
        <f t="shared" si="58"/>
        <v>放課後児童支援員</v>
      </c>
      <c r="W103" s="100" t="str">
        <f t="shared" si="52"/>
        <v>対象</v>
      </c>
      <c r="X103" s="418" t="s">
        <v>546</v>
      </c>
      <c r="Y103" s="99" t="str">
        <f t="shared" si="59"/>
        <v>放課後児童支援員</v>
      </c>
      <c r="Z103" s="100" t="str">
        <f t="shared" si="53"/>
        <v>対象</v>
      </c>
      <c r="AA103" s="418"/>
      <c r="AB103" s="99">
        <f t="shared" si="60"/>
        <v>0</v>
      </c>
      <c r="AC103" s="100">
        <f t="shared" si="54"/>
        <v>0</v>
      </c>
      <c r="AD103" s="418"/>
      <c r="AE103" s="99">
        <f t="shared" si="61"/>
        <v>0</v>
      </c>
      <c r="AF103" s="100">
        <f t="shared" si="55"/>
        <v>0</v>
      </c>
      <c r="AG103" s="351" t="str">
        <f t="shared" si="56"/>
        <v/>
      </c>
      <c r="AH103" s="272" t="str">
        <f t="shared" si="46"/>
        <v/>
      </c>
      <c r="AI103" s="358" t="str">
        <f t="shared" si="47"/>
        <v/>
      </c>
      <c r="AJ103" s="272" t="str">
        <f t="shared" si="48"/>
        <v/>
      </c>
      <c r="AK103" s="361" t="str">
        <f t="shared" si="49"/>
        <v/>
      </c>
      <c r="AL103" s="11"/>
      <c r="AM103" s="11"/>
      <c r="AN103" s="11"/>
    </row>
    <row r="104" spans="1:40" ht="14.25">
      <c r="A104" s="787"/>
      <c r="B104" s="31" t="s">
        <v>180</v>
      </c>
      <c r="C104" s="184" t="s">
        <v>119</v>
      </c>
      <c r="D104" s="413" t="s">
        <v>24</v>
      </c>
      <c r="E104" s="49">
        <v>0.59722222222222221</v>
      </c>
      <c r="F104" s="49">
        <v>0.79166666666666663</v>
      </c>
      <c r="G104" s="93">
        <f t="shared" si="40"/>
        <v>0.19444444444444442</v>
      </c>
      <c r="H104" s="555">
        <f t="shared" si="50"/>
        <v>2.0833333333333259E-2</v>
      </c>
      <c r="I104" s="556">
        <f t="shared" si="41"/>
        <v>1</v>
      </c>
      <c r="J104" s="94">
        <f t="shared" si="42"/>
        <v>0</v>
      </c>
      <c r="K104" s="32">
        <f t="shared" si="43"/>
        <v>0</v>
      </c>
      <c r="L104" s="95" t="str">
        <f t="shared" si="44"/>
        <v/>
      </c>
      <c r="M104" s="96">
        <f t="shared" si="45"/>
        <v>0</v>
      </c>
      <c r="N104" s="97">
        <f>IF(M104=0,0,IF(SUM($M$5:M104)&gt;251,1,0))</f>
        <v>0</v>
      </c>
      <c r="O104" s="162">
        <v>40</v>
      </c>
      <c r="P104" s="163">
        <v>1</v>
      </c>
      <c r="Q104" s="98"/>
      <c r="R104" s="415" t="s">
        <v>543</v>
      </c>
      <c r="S104" s="99" t="str">
        <f t="shared" si="57"/>
        <v>放課後児童支援員</v>
      </c>
      <c r="T104" s="100" t="str">
        <f t="shared" si="51"/>
        <v>対象</v>
      </c>
      <c r="U104" s="418" t="s">
        <v>539</v>
      </c>
      <c r="V104" s="99" t="str">
        <f t="shared" si="58"/>
        <v>放課後児童支援員</v>
      </c>
      <c r="W104" s="100" t="str">
        <f t="shared" si="52"/>
        <v>対象</v>
      </c>
      <c r="X104" s="418" t="s">
        <v>546</v>
      </c>
      <c r="Y104" s="99" t="str">
        <f t="shared" si="59"/>
        <v>放課後児童支援員</v>
      </c>
      <c r="Z104" s="100" t="str">
        <f t="shared" si="53"/>
        <v>対象</v>
      </c>
      <c r="AA104" s="418"/>
      <c r="AB104" s="99">
        <f t="shared" si="60"/>
        <v>0</v>
      </c>
      <c r="AC104" s="100">
        <f t="shared" si="54"/>
        <v>0</v>
      </c>
      <c r="AD104" s="418"/>
      <c r="AE104" s="99">
        <f t="shared" si="61"/>
        <v>0</v>
      </c>
      <c r="AF104" s="100">
        <f t="shared" si="55"/>
        <v>0</v>
      </c>
      <c r="AG104" s="351" t="str">
        <f t="shared" si="56"/>
        <v/>
      </c>
      <c r="AH104" s="272" t="str">
        <f t="shared" si="46"/>
        <v/>
      </c>
      <c r="AI104" s="358" t="str">
        <f t="shared" si="47"/>
        <v/>
      </c>
      <c r="AJ104" s="272" t="str">
        <f t="shared" si="48"/>
        <v/>
      </c>
      <c r="AK104" s="361" t="str">
        <f t="shared" si="49"/>
        <v/>
      </c>
      <c r="AL104" s="11"/>
      <c r="AM104" s="11"/>
      <c r="AN104" s="11"/>
    </row>
    <row r="105" spans="1:40" ht="14.25">
      <c r="A105" s="787"/>
      <c r="B105" s="31" t="s">
        <v>181</v>
      </c>
      <c r="C105" s="184" t="s">
        <v>120</v>
      </c>
      <c r="D105" s="413" t="s">
        <v>24</v>
      </c>
      <c r="E105" s="49">
        <v>0.54861111111111105</v>
      </c>
      <c r="F105" s="49">
        <v>0.79166666666666663</v>
      </c>
      <c r="G105" s="93">
        <f t="shared" si="40"/>
        <v>0.24305555555555558</v>
      </c>
      <c r="H105" s="555">
        <f t="shared" si="50"/>
        <v>2.0833333333333259E-2</v>
      </c>
      <c r="I105" s="556">
        <f t="shared" si="41"/>
        <v>1</v>
      </c>
      <c r="J105" s="94">
        <f t="shared" si="42"/>
        <v>0</v>
      </c>
      <c r="K105" s="32">
        <f t="shared" si="43"/>
        <v>0</v>
      </c>
      <c r="L105" s="95" t="str">
        <f t="shared" si="44"/>
        <v/>
      </c>
      <c r="M105" s="96">
        <f t="shared" si="45"/>
        <v>0</v>
      </c>
      <c r="N105" s="97">
        <f>IF(M105=0,0,IF(SUM($M$5:M105)&gt;251,1,0))</f>
        <v>0</v>
      </c>
      <c r="O105" s="162">
        <v>40</v>
      </c>
      <c r="P105" s="163">
        <v>1</v>
      </c>
      <c r="Q105" s="98"/>
      <c r="R105" s="415" t="s">
        <v>543</v>
      </c>
      <c r="S105" s="99" t="str">
        <f t="shared" si="57"/>
        <v>放課後児童支援員</v>
      </c>
      <c r="T105" s="100" t="str">
        <f t="shared" si="51"/>
        <v>対象</v>
      </c>
      <c r="U105" s="418" t="s">
        <v>539</v>
      </c>
      <c r="V105" s="99" t="str">
        <f t="shared" si="58"/>
        <v>放課後児童支援員</v>
      </c>
      <c r="W105" s="100" t="str">
        <f t="shared" si="52"/>
        <v>対象</v>
      </c>
      <c r="X105" s="418" t="s">
        <v>546</v>
      </c>
      <c r="Y105" s="99" t="str">
        <f t="shared" si="59"/>
        <v>放課後児童支援員</v>
      </c>
      <c r="Z105" s="100" t="str">
        <f t="shared" si="53"/>
        <v>対象</v>
      </c>
      <c r="AA105" s="418"/>
      <c r="AB105" s="99">
        <f t="shared" si="60"/>
        <v>0</v>
      </c>
      <c r="AC105" s="100">
        <f t="shared" si="54"/>
        <v>0</v>
      </c>
      <c r="AD105" s="418"/>
      <c r="AE105" s="99">
        <f t="shared" si="61"/>
        <v>0</v>
      </c>
      <c r="AF105" s="100">
        <f t="shared" si="55"/>
        <v>0</v>
      </c>
      <c r="AG105" s="351" t="str">
        <f t="shared" si="56"/>
        <v/>
      </c>
      <c r="AH105" s="272" t="str">
        <f t="shared" si="46"/>
        <v/>
      </c>
      <c r="AI105" s="358" t="str">
        <f t="shared" si="47"/>
        <v/>
      </c>
      <c r="AJ105" s="272" t="str">
        <f t="shared" si="48"/>
        <v/>
      </c>
      <c r="AK105" s="361" t="str">
        <f t="shared" si="49"/>
        <v/>
      </c>
      <c r="AL105" s="11"/>
      <c r="AM105" s="11"/>
      <c r="AN105" s="11"/>
    </row>
    <row r="106" spans="1:40" ht="14.25">
      <c r="A106" s="787"/>
      <c r="B106" s="31" t="s">
        <v>182</v>
      </c>
      <c r="C106" s="184" t="s">
        <v>121</v>
      </c>
      <c r="D106" s="413" t="s">
        <v>24</v>
      </c>
      <c r="E106" s="49">
        <v>0.59722222222222221</v>
      </c>
      <c r="F106" s="49">
        <v>0.80555555555555547</v>
      </c>
      <c r="G106" s="93">
        <f t="shared" si="40"/>
        <v>0.20833333333333326</v>
      </c>
      <c r="H106" s="555">
        <f t="shared" si="50"/>
        <v>3.4722222222222099E-2</v>
      </c>
      <c r="I106" s="556">
        <f t="shared" si="41"/>
        <v>1</v>
      </c>
      <c r="J106" s="94">
        <f t="shared" si="42"/>
        <v>0</v>
      </c>
      <c r="K106" s="32">
        <f t="shared" si="43"/>
        <v>0</v>
      </c>
      <c r="L106" s="95" t="str">
        <f t="shared" si="44"/>
        <v/>
      </c>
      <c r="M106" s="96">
        <f t="shared" si="45"/>
        <v>0</v>
      </c>
      <c r="N106" s="97">
        <f>IF(M106=0,0,IF(SUM($M$5:M106)&gt;251,1,0))</f>
        <v>0</v>
      </c>
      <c r="O106" s="162">
        <v>40</v>
      </c>
      <c r="P106" s="163">
        <v>1</v>
      </c>
      <c r="Q106" s="98"/>
      <c r="R106" s="415" t="s">
        <v>543</v>
      </c>
      <c r="S106" s="99" t="str">
        <f t="shared" si="57"/>
        <v>放課後児童支援員</v>
      </c>
      <c r="T106" s="100" t="str">
        <f t="shared" si="51"/>
        <v>対象</v>
      </c>
      <c r="U106" s="418" t="s">
        <v>539</v>
      </c>
      <c r="V106" s="99" t="str">
        <f t="shared" si="58"/>
        <v>放課後児童支援員</v>
      </c>
      <c r="W106" s="100" t="str">
        <f t="shared" si="52"/>
        <v>対象</v>
      </c>
      <c r="X106" s="418" t="s">
        <v>546</v>
      </c>
      <c r="Y106" s="99" t="str">
        <f t="shared" si="59"/>
        <v>放課後児童支援員</v>
      </c>
      <c r="Z106" s="100" t="str">
        <f t="shared" si="53"/>
        <v>対象</v>
      </c>
      <c r="AA106" s="418"/>
      <c r="AB106" s="99">
        <f t="shared" si="60"/>
        <v>0</v>
      </c>
      <c r="AC106" s="100">
        <f t="shared" si="54"/>
        <v>0</v>
      </c>
      <c r="AD106" s="418"/>
      <c r="AE106" s="99">
        <f t="shared" si="61"/>
        <v>0</v>
      </c>
      <c r="AF106" s="100">
        <f t="shared" si="55"/>
        <v>0</v>
      </c>
      <c r="AG106" s="351" t="str">
        <f t="shared" si="56"/>
        <v/>
      </c>
      <c r="AH106" s="272" t="str">
        <f t="shared" si="46"/>
        <v/>
      </c>
      <c r="AI106" s="358" t="str">
        <f t="shared" si="47"/>
        <v/>
      </c>
      <c r="AJ106" s="272" t="str">
        <f t="shared" si="48"/>
        <v/>
      </c>
      <c r="AK106" s="361" t="str">
        <f t="shared" si="49"/>
        <v/>
      </c>
      <c r="AL106" s="11"/>
      <c r="AM106" s="11"/>
      <c r="AN106" s="11"/>
    </row>
    <row r="107" spans="1:40" ht="14.25">
      <c r="A107" s="787"/>
      <c r="B107" s="31" t="s">
        <v>184</v>
      </c>
      <c r="C107" s="184" t="s">
        <v>122</v>
      </c>
      <c r="D107" s="413" t="s">
        <v>171</v>
      </c>
      <c r="E107" s="49">
        <v>0.33333333333333331</v>
      </c>
      <c r="F107" s="49">
        <v>0.6875</v>
      </c>
      <c r="G107" s="93">
        <f t="shared" si="40"/>
        <v>0.35416666666666669</v>
      </c>
      <c r="H107" s="555" t="str">
        <f t="shared" si="50"/>
        <v>0:00</v>
      </c>
      <c r="I107" s="556">
        <f t="shared" si="41"/>
        <v>0</v>
      </c>
      <c r="J107" s="94">
        <f t="shared" si="42"/>
        <v>2.083333333333337E-2</v>
      </c>
      <c r="K107" s="32">
        <f t="shared" si="43"/>
        <v>1</v>
      </c>
      <c r="L107" s="95" t="str">
        <f t="shared" si="44"/>
        <v/>
      </c>
      <c r="M107" s="96">
        <f t="shared" si="45"/>
        <v>1</v>
      </c>
      <c r="N107" s="97">
        <f>IF(M107=0,0,IF(SUM($M$5:M107)&gt;251,1,0))</f>
        <v>0</v>
      </c>
      <c r="O107" s="162">
        <v>5</v>
      </c>
      <c r="P107" s="163">
        <v>0</v>
      </c>
      <c r="Q107" s="98"/>
      <c r="R107" s="415" t="s">
        <v>543</v>
      </c>
      <c r="S107" s="99" t="str">
        <f t="shared" si="57"/>
        <v>放課後児童支援員</v>
      </c>
      <c r="T107" s="100" t="str">
        <f t="shared" si="51"/>
        <v>対象</v>
      </c>
      <c r="U107" s="418" t="s">
        <v>539</v>
      </c>
      <c r="V107" s="99" t="str">
        <f t="shared" si="58"/>
        <v>放課後児童支援員</v>
      </c>
      <c r="W107" s="100" t="str">
        <f t="shared" si="52"/>
        <v>対象</v>
      </c>
      <c r="X107" s="418" t="s">
        <v>546</v>
      </c>
      <c r="Y107" s="99" t="str">
        <f t="shared" si="59"/>
        <v>放課後児童支援員</v>
      </c>
      <c r="Z107" s="100" t="str">
        <f t="shared" si="53"/>
        <v>対象</v>
      </c>
      <c r="AA107" s="418"/>
      <c r="AB107" s="99">
        <f t="shared" si="60"/>
        <v>0</v>
      </c>
      <c r="AC107" s="100">
        <f t="shared" si="54"/>
        <v>0</v>
      </c>
      <c r="AD107" s="418"/>
      <c r="AE107" s="99">
        <f t="shared" si="61"/>
        <v>0</v>
      </c>
      <c r="AF107" s="100">
        <f t="shared" si="55"/>
        <v>0</v>
      </c>
      <c r="AG107" s="351" t="str">
        <f t="shared" si="56"/>
        <v/>
      </c>
      <c r="AH107" s="272" t="str">
        <f t="shared" si="46"/>
        <v/>
      </c>
      <c r="AI107" s="358" t="str">
        <f t="shared" si="47"/>
        <v/>
      </c>
      <c r="AJ107" s="272" t="str">
        <f t="shared" si="48"/>
        <v/>
      </c>
      <c r="AK107" s="361" t="str">
        <f t="shared" si="49"/>
        <v/>
      </c>
      <c r="AL107" s="11"/>
      <c r="AM107" s="11"/>
      <c r="AN107" s="11"/>
    </row>
    <row r="108" spans="1:40" ht="14.25">
      <c r="A108" s="787"/>
      <c r="B108" s="31" t="s">
        <v>185</v>
      </c>
      <c r="C108" s="184" t="s">
        <v>183</v>
      </c>
      <c r="D108" s="413" t="s">
        <v>173</v>
      </c>
      <c r="E108" s="49"/>
      <c r="F108" s="49"/>
      <c r="G108" s="93">
        <f t="shared" si="40"/>
        <v>0</v>
      </c>
      <c r="H108" s="555" t="str">
        <f t="shared" si="50"/>
        <v>0:00</v>
      </c>
      <c r="I108" s="556">
        <f t="shared" si="41"/>
        <v>0</v>
      </c>
      <c r="J108" s="94">
        <f t="shared" si="42"/>
        <v>0</v>
      </c>
      <c r="K108" s="32">
        <f t="shared" si="43"/>
        <v>0</v>
      </c>
      <c r="L108" s="95" t="str">
        <f t="shared" si="44"/>
        <v/>
      </c>
      <c r="M108" s="96">
        <f t="shared" si="45"/>
        <v>0</v>
      </c>
      <c r="N108" s="97">
        <f>IF(M108=0,0,IF(SUM($M$5:M108)&gt;251,1,0))</f>
        <v>0</v>
      </c>
      <c r="O108" s="162"/>
      <c r="P108" s="163"/>
      <c r="Q108" s="98"/>
      <c r="R108" s="415"/>
      <c r="S108" s="99">
        <f t="shared" si="57"/>
        <v>0</v>
      </c>
      <c r="T108" s="100">
        <f t="shared" si="51"/>
        <v>0</v>
      </c>
      <c r="U108" s="418"/>
      <c r="V108" s="99">
        <f t="shared" si="58"/>
        <v>0</v>
      </c>
      <c r="W108" s="100">
        <f t="shared" si="52"/>
        <v>0</v>
      </c>
      <c r="X108" s="418"/>
      <c r="Y108" s="99">
        <f t="shared" si="59"/>
        <v>0</v>
      </c>
      <c r="Z108" s="100">
        <f t="shared" si="53"/>
        <v>0</v>
      </c>
      <c r="AA108" s="418"/>
      <c r="AB108" s="99">
        <f t="shared" si="60"/>
        <v>0</v>
      </c>
      <c r="AC108" s="100">
        <f t="shared" si="54"/>
        <v>0</v>
      </c>
      <c r="AD108" s="418"/>
      <c r="AE108" s="99">
        <f t="shared" si="61"/>
        <v>0</v>
      </c>
      <c r="AF108" s="100">
        <f t="shared" si="55"/>
        <v>0</v>
      </c>
      <c r="AG108" s="351" t="str">
        <f t="shared" si="56"/>
        <v/>
      </c>
      <c r="AH108" s="272" t="str">
        <f t="shared" si="46"/>
        <v/>
      </c>
      <c r="AI108" s="358" t="str">
        <f t="shared" si="47"/>
        <v/>
      </c>
      <c r="AJ108" s="272" t="str">
        <f t="shared" si="48"/>
        <v/>
      </c>
      <c r="AK108" s="361" t="str">
        <f t="shared" si="49"/>
        <v/>
      </c>
      <c r="AL108" s="11"/>
      <c r="AM108" s="11"/>
      <c r="AN108" s="11"/>
    </row>
    <row r="109" spans="1:40" ht="14.25">
      <c r="A109" s="787"/>
      <c r="B109" s="31" t="s">
        <v>186</v>
      </c>
      <c r="C109" s="184" t="s">
        <v>118</v>
      </c>
      <c r="D109" s="413" t="s">
        <v>24</v>
      </c>
      <c r="E109" s="49">
        <v>0.59722222222222221</v>
      </c>
      <c r="F109" s="49">
        <v>0.7715277777777777</v>
      </c>
      <c r="G109" s="93">
        <f t="shared" si="40"/>
        <v>0.17430555555555549</v>
      </c>
      <c r="H109" s="555">
        <f t="shared" si="50"/>
        <v>6.9444444444433095E-4</v>
      </c>
      <c r="I109" s="556">
        <f t="shared" si="41"/>
        <v>1</v>
      </c>
      <c r="J109" s="94">
        <f t="shared" si="42"/>
        <v>0</v>
      </c>
      <c r="K109" s="32">
        <f t="shared" si="43"/>
        <v>0</v>
      </c>
      <c r="L109" s="95" t="str">
        <f t="shared" si="44"/>
        <v/>
      </c>
      <c r="M109" s="96">
        <f t="shared" si="45"/>
        <v>0</v>
      </c>
      <c r="N109" s="97">
        <f>IF(M109=0,0,IF(SUM($M$5:M109)&gt;251,1,0))</f>
        <v>0</v>
      </c>
      <c r="O109" s="162">
        <v>40</v>
      </c>
      <c r="P109" s="163">
        <v>1</v>
      </c>
      <c r="Q109" s="98"/>
      <c r="R109" s="415" t="s">
        <v>543</v>
      </c>
      <c r="S109" s="99" t="str">
        <f t="shared" si="57"/>
        <v>放課後児童支援員</v>
      </c>
      <c r="T109" s="100" t="str">
        <f t="shared" si="51"/>
        <v>対象</v>
      </c>
      <c r="U109" s="418" t="s">
        <v>539</v>
      </c>
      <c r="V109" s="99" t="str">
        <f t="shared" si="58"/>
        <v>放課後児童支援員</v>
      </c>
      <c r="W109" s="100" t="str">
        <f t="shared" si="52"/>
        <v>対象</v>
      </c>
      <c r="X109" s="418"/>
      <c r="Y109" s="99">
        <f t="shared" si="59"/>
        <v>0</v>
      </c>
      <c r="Z109" s="100">
        <f t="shared" si="53"/>
        <v>0</v>
      </c>
      <c r="AA109" s="418"/>
      <c r="AB109" s="99">
        <f t="shared" si="60"/>
        <v>0</v>
      </c>
      <c r="AC109" s="100">
        <f t="shared" si="54"/>
        <v>0</v>
      </c>
      <c r="AD109" s="418"/>
      <c r="AE109" s="99">
        <f t="shared" si="61"/>
        <v>0</v>
      </c>
      <c r="AF109" s="100">
        <f t="shared" si="55"/>
        <v>0</v>
      </c>
      <c r="AG109" s="351" t="str">
        <f t="shared" si="56"/>
        <v/>
      </c>
      <c r="AH109" s="272" t="str">
        <f t="shared" si="46"/>
        <v/>
      </c>
      <c r="AI109" s="358" t="str">
        <f t="shared" si="47"/>
        <v/>
      </c>
      <c r="AJ109" s="272" t="str">
        <f t="shared" si="48"/>
        <v/>
      </c>
      <c r="AK109" s="361" t="str">
        <f t="shared" si="49"/>
        <v/>
      </c>
      <c r="AL109" s="11"/>
      <c r="AM109" s="11"/>
      <c r="AN109" s="11"/>
    </row>
    <row r="110" spans="1:40" ht="14.25">
      <c r="A110" s="787"/>
      <c r="B110" s="31" t="s">
        <v>187</v>
      </c>
      <c r="C110" s="184" t="s">
        <v>123</v>
      </c>
      <c r="D110" s="413" t="s">
        <v>24</v>
      </c>
      <c r="E110" s="49">
        <v>0.59722222222222221</v>
      </c>
      <c r="F110" s="49">
        <v>0.79166666666666663</v>
      </c>
      <c r="G110" s="93">
        <f t="shared" si="40"/>
        <v>0.19444444444444442</v>
      </c>
      <c r="H110" s="555">
        <f t="shared" si="50"/>
        <v>2.0833333333333259E-2</v>
      </c>
      <c r="I110" s="556">
        <f t="shared" si="41"/>
        <v>1</v>
      </c>
      <c r="J110" s="94">
        <f t="shared" si="42"/>
        <v>0</v>
      </c>
      <c r="K110" s="32">
        <f t="shared" si="43"/>
        <v>0</v>
      </c>
      <c r="L110" s="95" t="str">
        <f t="shared" si="44"/>
        <v/>
      </c>
      <c r="M110" s="96">
        <f t="shared" si="45"/>
        <v>0</v>
      </c>
      <c r="N110" s="97">
        <f>IF(M110=0,0,IF(SUM($M$5:M110)&gt;251,1,0))</f>
        <v>0</v>
      </c>
      <c r="O110" s="162">
        <v>40</v>
      </c>
      <c r="P110" s="163">
        <v>1</v>
      </c>
      <c r="Q110" s="98"/>
      <c r="R110" s="415" t="s">
        <v>543</v>
      </c>
      <c r="S110" s="99" t="str">
        <f t="shared" si="57"/>
        <v>放課後児童支援員</v>
      </c>
      <c r="T110" s="100" t="str">
        <f t="shared" si="51"/>
        <v>対象</v>
      </c>
      <c r="U110" s="418" t="s">
        <v>539</v>
      </c>
      <c r="V110" s="99" t="str">
        <f t="shared" si="58"/>
        <v>放課後児童支援員</v>
      </c>
      <c r="W110" s="100" t="str">
        <f t="shared" si="52"/>
        <v>対象</v>
      </c>
      <c r="X110" s="418"/>
      <c r="Y110" s="99">
        <f t="shared" si="59"/>
        <v>0</v>
      </c>
      <c r="Z110" s="100">
        <f t="shared" si="53"/>
        <v>0</v>
      </c>
      <c r="AA110" s="418"/>
      <c r="AB110" s="99">
        <f t="shared" si="60"/>
        <v>0</v>
      </c>
      <c r="AC110" s="100">
        <f t="shared" si="54"/>
        <v>0</v>
      </c>
      <c r="AD110" s="418"/>
      <c r="AE110" s="99">
        <f t="shared" si="61"/>
        <v>0</v>
      </c>
      <c r="AF110" s="100">
        <f t="shared" si="55"/>
        <v>0</v>
      </c>
      <c r="AG110" s="351" t="str">
        <f t="shared" si="56"/>
        <v/>
      </c>
      <c r="AH110" s="272" t="str">
        <f t="shared" si="46"/>
        <v/>
      </c>
      <c r="AI110" s="358" t="str">
        <f t="shared" si="47"/>
        <v/>
      </c>
      <c r="AJ110" s="272" t="str">
        <f t="shared" si="48"/>
        <v/>
      </c>
      <c r="AK110" s="361" t="str">
        <f t="shared" si="49"/>
        <v/>
      </c>
      <c r="AL110" s="11"/>
      <c r="AM110" s="11"/>
      <c r="AN110" s="11"/>
    </row>
    <row r="111" spans="1:40" ht="14.25">
      <c r="A111" s="787"/>
      <c r="B111" s="31" t="s">
        <v>188</v>
      </c>
      <c r="C111" s="184" t="s">
        <v>119</v>
      </c>
      <c r="D111" s="413" t="s">
        <v>24</v>
      </c>
      <c r="E111" s="49">
        <v>0.59722222222222221</v>
      </c>
      <c r="F111" s="49">
        <v>0.79166666666666663</v>
      </c>
      <c r="G111" s="93">
        <f t="shared" si="40"/>
        <v>0.19444444444444442</v>
      </c>
      <c r="H111" s="555">
        <f t="shared" si="50"/>
        <v>2.0833333333333259E-2</v>
      </c>
      <c r="I111" s="556">
        <f t="shared" si="41"/>
        <v>1</v>
      </c>
      <c r="J111" s="94">
        <f t="shared" si="42"/>
        <v>0</v>
      </c>
      <c r="K111" s="32">
        <f t="shared" si="43"/>
        <v>0</v>
      </c>
      <c r="L111" s="95" t="str">
        <f t="shared" si="44"/>
        <v/>
      </c>
      <c r="M111" s="96">
        <f t="shared" si="45"/>
        <v>0</v>
      </c>
      <c r="N111" s="97">
        <f>IF(M111=0,0,IF(SUM($M$5:M111)&gt;251,1,0))</f>
        <v>0</v>
      </c>
      <c r="O111" s="162">
        <v>40</v>
      </c>
      <c r="P111" s="163">
        <v>1</v>
      </c>
      <c r="Q111" s="98"/>
      <c r="R111" s="415" t="s">
        <v>543</v>
      </c>
      <c r="S111" s="99" t="str">
        <f t="shared" si="57"/>
        <v>放課後児童支援員</v>
      </c>
      <c r="T111" s="100" t="str">
        <f t="shared" si="51"/>
        <v>対象</v>
      </c>
      <c r="U111" s="418" t="s">
        <v>539</v>
      </c>
      <c r="V111" s="99" t="str">
        <f t="shared" si="58"/>
        <v>放課後児童支援員</v>
      </c>
      <c r="W111" s="100" t="str">
        <f t="shared" si="52"/>
        <v>対象</v>
      </c>
      <c r="X111" s="418" t="s">
        <v>546</v>
      </c>
      <c r="Y111" s="99" t="str">
        <f t="shared" si="59"/>
        <v>放課後児童支援員</v>
      </c>
      <c r="Z111" s="100" t="str">
        <f t="shared" si="53"/>
        <v>対象</v>
      </c>
      <c r="AA111" s="418"/>
      <c r="AB111" s="99">
        <f t="shared" si="60"/>
        <v>0</v>
      </c>
      <c r="AC111" s="100">
        <f t="shared" si="54"/>
        <v>0</v>
      </c>
      <c r="AD111" s="418"/>
      <c r="AE111" s="99">
        <f t="shared" si="61"/>
        <v>0</v>
      </c>
      <c r="AF111" s="100">
        <f t="shared" si="55"/>
        <v>0</v>
      </c>
      <c r="AG111" s="351" t="str">
        <f t="shared" si="56"/>
        <v/>
      </c>
      <c r="AH111" s="272" t="str">
        <f t="shared" si="46"/>
        <v/>
      </c>
      <c r="AI111" s="358" t="str">
        <f t="shared" si="47"/>
        <v/>
      </c>
      <c r="AJ111" s="272" t="str">
        <f t="shared" si="48"/>
        <v/>
      </c>
      <c r="AK111" s="361" t="str">
        <f t="shared" si="49"/>
        <v/>
      </c>
      <c r="AL111" s="11"/>
      <c r="AM111" s="11"/>
      <c r="AN111" s="11"/>
    </row>
    <row r="112" spans="1:40" ht="14.25">
      <c r="A112" s="787"/>
      <c r="B112" s="31" t="s">
        <v>189</v>
      </c>
      <c r="C112" s="184" t="s">
        <v>120</v>
      </c>
      <c r="D112" s="413" t="s">
        <v>24</v>
      </c>
      <c r="E112" s="49">
        <v>0.54861111111111105</v>
      </c>
      <c r="F112" s="49">
        <v>0.79166666666666663</v>
      </c>
      <c r="G112" s="93">
        <f t="shared" si="40"/>
        <v>0.24305555555555558</v>
      </c>
      <c r="H112" s="555">
        <f t="shared" si="50"/>
        <v>2.0833333333333259E-2</v>
      </c>
      <c r="I112" s="556">
        <f t="shared" si="41"/>
        <v>1</v>
      </c>
      <c r="J112" s="94">
        <f t="shared" si="42"/>
        <v>0</v>
      </c>
      <c r="K112" s="32">
        <f t="shared" si="43"/>
        <v>0</v>
      </c>
      <c r="L112" s="95" t="str">
        <f t="shared" si="44"/>
        <v/>
      </c>
      <c r="M112" s="96">
        <f t="shared" si="45"/>
        <v>0</v>
      </c>
      <c r="N112" s="97">
        <f>IF(M112=0,0,IF(SUM($M$5:M112)&gt;251,1,0))</f>
        <v>0</v>
      </c>
      <c r="O112" s="162">
        <v>40</v>
      </c>
      <c r="P112" s="163">
        <v>1</v>
      </c>
      <c r="Q112" s="98"/>
      <c r="R112" s="415" t="s">
        <v>543</v>
      </c>
      <c r="S112" s="99" t="str">
        <f t="shared" si="57"/>
        <v>放課後児童支援員</v>
      </c>
      <c r="T112" s="100" t="str">
        <f t="shared" si="51"/>
        <v>対象</v>
      </c>
      <c r="U112" s="418" t="s">
        <v>539</v>
      </c>
      <c r="V112" s="99" t="str">
        <f t="shared" si="58"/>
        <v>放課後児童支援員</v>
      </c>
      <c r="W112" s="100" t="str">
        <f t="shared" si="52"/>
        <v>対象</v>
      </c>
      <c r="X112" s="418" t="s">
        <v>546</v>
      </c>
      <c r="Y112" s="99" t="str">
        <f t="shared" si="59"/>
        <v>放課後児童支援員</v>
      </c>
      <c r="Z112" s="100" t="str">
        <f t="shared" si="53"/>
        <v>対象</v>
      </c>
      <c r="AA112" s="418"/>
      <c r="AB112" s="99">
        <f t="shared" si="60"/>
        <v>0</v>
      </c>
      <c r="AC112" s="100">
        <f t="shared" si="54"/>
        <v>0</v>
      </c>
      <c r="AD112" s="418"/>
      <c r="AE112" s="99">
        <f t="shared" si="61"/>
        <v>0</v>
      </c>
      <c r="AF112" s="100">
        <f t="shared" si="55"/>
        <v>0</v>
      </c>
      <c r="AG112" s="351" t="str">
        <f t="shared" si="56"/>
        <v/>
      </c>
      <c r="AH112" s="272" t="str">
        <f t="shared" si="46"/>
        <v/>
      </c>
      <c r="AI112" s="358" t="str">
        <f t="shared" si="47"/>
        <v/>
      </c>
      <c r="AJ112" s="272" t="str">
        <f t="shared" si="48"/>
        <v/>
      </c>
      <c r="AK112" s="361" t="str">
        <f t="shared" si="49"/>
        <v/>
      </c>
      <c r="AL112" s="11"/>
      <c r="AM112" s="11"/>
      <c r="AN112" s="11"/>
    </row>
    <row r="113" spans="1:40" ht="14.25">
      <c r="A113" s="787"/>
      <c r="B113" s="31" t="s">
        <v>190</v>
      </c>
      <c r="C113" s="184" t="s">
        <v>121</v>
      </c>
      <c r="D113" s="413" t="s">
        <v>24</v>
      </c>
      <c r="E113" s="49">
        <v>0.59722222222222221</v>
      </c>
      <c r="F113" s="49">
        <v>0.80555555555555547</v>
      </c>
      <c r="G113" s="93">
        <f t="shared" si="40"/>
        <v>0.20833333333333326</v>
      </c>
      <c r="H113" s="555">
        <f t="shared" si="50"/>
        <v>3.4722222222222099E-2</v>
      </c>
      <c r="I113" s="556">
        <f t="shared" si="41"/>
        <v>1</v>
      </c>
      <c r="J113" s="94">
        <f t="shared" si="42"/>
        <v>0</v>
      </c>
      <c r="K113" s="32">
        <f t="shared" si="43"/>
        <v>0</v>
      </c>
      <c r="L113" s="95" t="str">
        <f t="shared" si="44"/>
        <v/>
      </c>
      <c r="M113" s="96">
        <f t="shared" si="45"/>
        <v>0</v>
      </c>
      <c r="N113" s="97">
        <f>IF(M113=0,0,IF(SUM($M$5:M113)&gt;251,1,0))</f>
        <v>0</v>
      </c>
      <c r="O113" s="162">
        <v>40</v>
      </c>
      <c r="P113" s="163">
        <v>1</v>
      </c>
      <c r="Q113" s="98"/>
      <c r="R113" s="415" t="s">
        <v>543</v>
      </c>
      <c r="S113" s="99" t="str">
        <f t="shared" si="57"/>
        <v>放課後児童支援員</v>
      </c>
      <c r="T113" s="100" t="str">
        <f t="shared" si="51"/>
        <v>対象</v>
      </c>
      <c r="U113" s="418" t="s">
        <v>539</v>
      </c>
      <c r="V113" s="99" t="str">
        <f t="shared" si="58"/>
        <v>放課後児童支援員</v>
      </c>
      <c r="W113" s="100" t="str">
        <f t="shared" si="52"/>
        <v>対象</v>
      </c>
      <c r="X113" s="418" t="s">
        <v>546</v>
      </c>
      <c r="Y113" s="99" t="str">
        <f t="shared" si="59"/>
        <v>放課後児童支援員</v>
      </c>
      <c r="Z113" s="100" t="str">
        <f t="shared" si="53"/>
        <v>対象</v>
      </c>
      <c r="AA113" s="418"/>
      <c r="AB113" s="99">
        <f t="shared" si="60"/>
        <v>0</v>
      </c>
      <c r="AC113" s="100">
        <f t="shared" si="54"/>
        <v>0</v>
      </c>
      <c r="AD113" s="418"/>
      <c r="AE113" s="99">
        <f t="shared" si="61"/>
        <v>0</v>
      </c>
      <c r="AF113" s="100">
        <f t="shared" si="55"/>
        <v>0</v>
      </c>
      <c r="AG113" s="351" t="str">
        <f t="shared" si="56"/>
        <v/>
      </c>
      <c r="AH113" s="272" t="str">
        <f t="shared" si="46"/>
        <v/>
      </c>
      <c r="AI113" s="358" t="str">
        <f t="shared" si="47"/>
        <v/>
      </c>
      <c r="AJ113" s="272" t="str">
        <f t="shared" si="48"/>
        <v/>
      </c>
      <c r="AK113" s="361" t="str">
        <f t="shared" si="49"/>
        <v/>
      </c>
      <c r="AL113" s="11"/>
      <c r="AM113" s="11"/>
      <c r="AN113" s="11"/>
    </row>
    <row r="114" spans="1:40" ht="14.25">
      <c r="A114" s="787"/>
      <c r="B114" s="31" t="s">
        <v>191</v>
      </c>
      <c r="C114" s="184" t="s">
        <v>122</v>
      </c>
      <c r="D114" s="413" t="s">
        <v>171</v>
      </c>
      <c r="E114" s="49">
        <v>0.33333333333333331</v>
      </c>
      <c r="F114" s="49">
        <v>0.6875</v>
      </c>
      <c r="G114" s="93">
        <f t="shared" si="40"/>
        <v>0.35416666666666669</v>
      </c>
      <c r="H114" s="555" t="str">
        <f t="shared" si="50"/>
        <v>0:00</v>
      </c>
      <c r="I114" s="556">
        <f t="shared" si="41"/>
        <v>0</v>
      </c>
      <c r="J114" s="94">
        <f t="shared" si="42"/>
        <v>2.083333333333337E-2</v>
      </c>
      <c r="K114" s="32">
        <f t="shared" si="43"/>
        <v>1</v>
      </c>
      <c r="L114" s="95" t="str">
        <f t="shared" si="44"/>
        <v/>
      </c>
      <c r="M114" s="96">
        <f t="shared" si="45"/>
        <v>1</v>
      </c>
      <c r="N114" s="97">
        <f>IF(M114=0,0,IF(SUM($M$5:M114)&gt;251,1,0))</f>
        <v>0</v>
      </c>
      <c r="O114" s="162">
        <v>5</v>
      </c>
      <c r="P114" s="163">
        <v>0</v>
      </c>
      <c r="Q114" s="98"/>
      <c r="R114" s="415" t="s">
        <v>543</v>
      </c>
      <c r="S114" s="99" t="str">
        <f t="shared" si="57"/>
        <v>放課後児童支援員</v>
      </c>
      <c r="T114" s="100" t="str">
        <f t="shared" si="51"/>
        <v>対象</v>
      </c>
      <c r="U114" s="418" t="s">
        <v>539</v>
      </c>
      <c r="V114" s="99" t="str">
        <f t="shared" si="58"/>
        <v>放課後児童支援員</v>
      </c>
      <c r="W114" s="100" t="str">
        <f t="shared" si="52"/>
        <v>対象</v>
      </c>
      <c r="X114" s="418" t="s">
        <v>546</v>
      </c>
      <c r="Y114" s="99" t="str">
        <f t="shared" si="59"/>
        <v>放課後児童支援員</v>
      </c>
      <c r="Z114" s="100" t="str">
        <f t="shared" si="53"/>
        <v>対象</v>
      </c>
      <c r="AA114" s="418"/>
      <c r="AB114" s="99">
        <f t="shared" si="60"/>
        <v>0</v>
      </c>
      <c r="AC114" s="100">
        <f t="shared" si="54"/>
        <v>0</v>
      </c>
      <c r="AD114" s="418"/>
      <c r="AE114" s="99">
        <f t="shared" si="61"/>
        <v>0</v>
      </c>
      <c r="AF114" s="100">
        <f t="shared" si="55"/>
        <v>0</v>
      </c>
      <c r="AG114" s="351" t="str">
        <f t="shared" si="56"/>
        <v/>
      </c>
      <c r="AH114" s="272" t="str">
        <f t="shared" si="46"/>
        <v/>
      </c>
      <c r="AI114" s="358" t="str">
        <f t="shared" si="47"/>
        <v/>
      </c>
      <c r="AJ114" s="272" t="str">
        <f t="shared" si="48"/>
        <v/>
      </c>
      <c r="AK114" s="361" t="str">
        <f t="shared" si="49"/>
        <v/>
      </c>
      <c r="AL114" s="11"/>
      <c r="AM114" s="11"/>
      <c r="AN114" s="11"/>
    </row>
    <row r="115" spans="1:40" ht="14.25">
      <c r="A115" s="787"/>
      <c r="B115" s="31" t="s">
        <v>192</v>
      </c>
      <c r="C115" s="184" t="s">
        <v>183</v>
      </c>
      <c r="D115" s="413" t="s">
        <v>173</v>
      </c>
      <c r="E115" s="49"/>
      <c r="F115" s="49"/>
      <c r="G115" s="93">
        <f t="shared" si="40"/>
        <v>0</v>
      </c>
      <c r="H115" s="555" t="str">
        <f t="shared" si="50"/>
        <v>0:00</v>
      </c>
      <c r="I115" s="556">
        <f t="shared" si="41"/>
        <v>0</v>
      </c>
      <c r="J115" s="94">
        <f t="shared" si="42"/>
        <v>0</v>
      </c>
      <c r="K115" s="32">
        <f t="shared" si="43"/>
        <v>0</v>
      </c>
      <c r="L115" s="95" t="str">
        <f t="shared" si="44"/>
        <v/>
      </c>
      <c r="M115" s="96">
        <f t="shared" si="45"/>
        <v>0</v>
      </c>
      <c r="N115" s="97">
        <f>IF(M115=0,0,IF(SUM($M$5:M115)&gt;251,1,0))</f>
        <v>0</v>
      </c>
      <c r="O115" s="162"/>
      <c r="P115" s="163"/>
      <c r="Q115" s="98"/>
      <c r="R115" s="415"/>
      <c r="S115" s="516">
        <f t="shared" si="57"/>
        <v>0</v>
      </c>
      <c r="T115" s="517">
        <f t="shared" si="51"/>
        <v>0</v>
      </c>
      <c r="U115" s="518"/>
      <c r="V115" s="99">
        <f t="shared" si="58"/>
        <v>0</v>
      </c>
      <c r="W115" s="100">
        <f t="shared" si="52"/>
        <v>0</v>
      </c>
      <c r="X115" s="418"/>
      <c r="Y115" s="99">
        <f t="shared" si="59"/>
        <v>0</v>
      </c>
      <c r="Z115" s="100">
        <f t="shared" si="53"/>
        <v>0</v>
      </c>
      <c r="AA115" s="418"/>
      <c r="AB115" s="99">
        <f t="shared" si="60"/>
        <v>0</v>
      </c>
      <c r="AC115" s="100">
        <f t="shared" si="54"/>
        <v>0</v>
      </c>
      <c r="AD115" s="418"/>
      <c r="AE115" s="99">
        <f t="shared" si="61"/>
        <v>0</v>
      </c>
      <c r="AF115" s="100">
        <f t="shared" si="55"/>
        <v>0</v>
      </c>
      <c r="AG115" s="351" t="str">
        <f t="shared" si="56"/>
        <v/>
      </c>
      <c r="AH115" s="272" t="str">
        <f t="shared" si="46"/>
        <v/>
      </c>
      <c r="AI115" s="358" t="str">
        <f t="shared" si="47"/>
        <v/>
      </c>
      <c r="AJ115" s="272" t="str">
        <f t="shared" si="48"/>
        <v/>
      </c>
      <c r="AK115" s="361" t="str">
        <f t="shared" si="49"/>
        <v/>
      </c>
      <c r="AL115" s="11"/>
      <c r="AM115" s="11"/>
      <c r="AN115" s="11"/>
    </row>
    <row r="116" spans="1:40" ht="14.25">
      <c r="A116" s="787"/>
      <c r="B116" s="31" t="s">
        <v>193</v>
      </c>
      <c r="C116" s="184" t="s">
        <v>118</v>
      </c>
      <c r="D116" s="413" t="s">
        <v>171</v>
      </c>
      <c r="E116" s="49">
        <v>0.33333333333333331</v>
      </c>
      <c r="F116" s="49">
        <v>0.7715277777777777</v>
      </c>
      <c r="G116" s="93">
        <f>F116-E116</f>
        <v>0.43819444444444439</v>
      </c>
      <c r="H116" s="555" t="str">
        <f t="shared" si="50"/>
        <v>0:00</v>
      </c>
      <c r="I116" s="556">
        <f t="shared" si="41"/>
        <v>0</v>
      </c>
      <c r="J116" s="94">
        <f t="shared" si="42"/>
        <v>0.10486111111111107</v>
      </c>
      <c r="K116" s="32">
        <f t="shared" si="43"/>
        <v>1</v>
      </c>
      <c r="L116" s="95" t="str">
        <f t="shared" si="44"/>
        <v/>
      </c>
      <c r="M116" s="96">
        <f t="shared" si="45"/>
        <v>1</v>
      </c>
      <c r="N116" s="97">
        <f>IF(M116=0,0,IF(SUM($M$5:M116)&gt;251,1,0))</f>
        <v>0</v>
      </c>
      <c r="O116" s="162">
        <v>40</v>
      </c>
      <c r="P116" s="163">
        <v>1</v>
      </c>
      <c r="Q116" s="98"/>
      <c r="R116" s="415" t="s">
        <v>543</v>
      </c>
      <c r="S116" s="516" t="str">
        <f t="shared" si="57"/>
        <v>放課後児童支援員</v>
      </c>
      <c r="T116" s="517" t="str">
        <f t="shared" si="51"/>
        <v>対象</v>
      </c>
      <c r="U116" s="518" t="s">
        <v>539</v>
      </c>
      <c r="V116" s="99" t="str">
        <f t="shared" si="58"/>
        <v>放課後児童支援員</v>
      </c>
      <c r="W116" s="100" t="str">
        <f t="shared" si="52"/>
        <v>対象</v>
      </c>
      <c r="X116" s="418"/>
      <c r="Y116" s="99">
        <f t="shared" si="59"/>
        <v>0</v>
      </c>
      <c r="Z116" s="100">
        <f t="shared" si="53"/>
        <v>0</v>
      </c>
      <c r="AA116" s="418"/>
      <c r="AB116" s="99">
        <f t="shared" si="60"/>
        <v>0</v>
      </c>
      <c r="AC116" s="100">
        <f t="shared" si="54"/>
        <v>0</v>
      </c>
      <c r="AD116" s="418"/>
      <c r="AE116" s="99">
        <f t="shared" si="61"/>
        <v>0</v>
      </c>
      <c r="AF116" s="100">
        <f t="shared" si="55"/>
        <v>0</v>
      </c>
      <c r="AG116" s="351" t="str">
        <f t="shared" si="56"/>
        <v/>
      </c>
      <c r="AH116" s="272" t="str">
        <f t="shared" si="46"/>
        <v/>
      </c>
      <c r="AI116" s="358" t="str">
        <f t="shared" si="47"/>
        <v/>
      </c>
      <c r="AJ116" s="272" t="str">
        <f t="shared" si="48"/>
        <v/>
      </c>
      <c r="AK116" s="361" t="str">
        <f t="shared" si="49"/>
        <v/>
      </c>
      <c r="AL116" s="11"/>
      <c r="AM116" s="11"/>
      <c r="AN116" s="11"/>
    </row>
    <row r="117" spans="1:40" ht="14.25">
      <c r="A117" s="787"/>
      <c r="B117" s="31" t="s">
        <v>194</v>
      </c>
      <c r="C117" s="184" t="s">
        <v>123</v>
      </c>
      <c r="D117" s="413" t="s">
        <v>171</v>
      </c>
      <c r="E117" s="49">
        <v>0.33333333333333331</v>
      </c>
      <c r="F117" s="49">
        <v>0.79166666666666663</v>
      </c>
      <c r="G117" s="93">
        <f>F117-E117</f>
        <v>0.45833333333333331</v>
      </c>
      <c r="H117" s="555" t="str">
        <f t="shared" si="50"/>
        <v>0:00</v>
      </c>
      <c r="I117" s="556">
        <f t="shared" si="41"/>
        <v>0</v>
      </c>
      <c r="J117" s="94">
        <f t="shared" si="42"/>
        <v>0.125</v>
      </c>
      <c r="K117" s="32">
        <f t="shared" si="43"/>
        <v>1</v>
      </c>
      <c r="L117" s="95" t="str">
        <f t="shared" si="44"/>
        <v/>
      </c>
      <c r="M117" s="96">
        <f t="shared" si="45"/>
        <v>1</v>
      </c>
      <c r="N117" s="97">
        <f>IF(M117=0,0,IF(SUM($M$5:M117)&gt;251,1,0))</f>
        <v>0</v>
      </c>
      <c r="O117" s="162">
        <v>40</v>
      </c>
      <c r="P117" s="163">
        <v>1</v>
      </c>
      <c r="Q117" s="98"/>
      <c r="R117" s="415" t="s">
        <v>543</v>
      </c>
      <c r="S117" s="516" t="str">
        <f t="shared" si="57"/>
        <v>放課後児童支援員</v>
      </c>
      <c r="T117" s="517" t="str">
        <f t="shared" si="51"/>
        <v>対象</v>
      </c>
      <c r="U117" s="518" t="s">
        <v>539</v>
      </c>
      <c r="V117" s="99" t="str">
        <f t="shared" si="58"/>
        <v>放課後児童支援員</v>
      </c>
      <c r="W117" s="100" t="str">
        <f t="shared" si="52"/>
        <v>対象</v>
      </c>
      <c r="X117" s="418" t="s">
        <v>546</v>
      </c>
      <c r="Y117" s="99" t="str">
        <f t="shared" si="59"/>
        <v>放課後児童支援員</v>
      </c>
      <c r="Z117" s="100" t="str">
        <f t="shared" si="53"/>
        <v>対象</v>
      </c>
      <c r="AA117" s="418"/>
      <c r="AB117" s="99">
        <f t="shared" si="60"/>
        <v>0</v>
      </c>
      <c r="AC117" s="100">
        <f t="shared" si="54"/>
        <v>0</v>
      </c>
      <c r="AD117" s="418"/>
      <c r="AE117" s="99">
        <f t="shared" si="61"/>
        <v>0</v>
      </c>
      <c r="AF117" s="100">
        <f t="shared" si="55"/>
        <v>0</v>
      </c>
      <c r="AG117" s="351" t="str">
        <f t="shared" si="56"/>
        <v/>
      </c>
      <c r="AH117" s="272" t="str">
        <f t="shared" si="46"/>
        <v/>
      </c>
      <c r="AI117" s="358" t="str">
        <f t="shared" si="47"/>
        <v/>
      </c>
      <c r="AJ117" s="272" t="str">
        <f t="shared" si="48"/>
        <v/>
      </c>
      <c r="AK117" s="361" t="str">
        <f t="shared" si="49"/>
        <v/>
      </c>
      <c r="AL117" s="11"/>
      <c r="AM117" s="11"/>
      <c r="AN117" s="11"/>
    </row>
    <row r="118" spans="1:40" ht="14.25">
      <c r="A118" s="787"/>
      <c r="B118" s="31" t="s">
        <v>195</v>
      </c>
      <c r="C118" s="184" t="s">
        <v>119</v>
      </c>
      <c r="D118" s="413" t="s">
        <v>171</v>
      </c>
      <c r="E118" s="49">
        <v>0.33333333333333331</v>
      </c>
      <c r="F118" s="49">
        <v>0.79166666666666663</v>
      </c>
      <c r="G118" s="93">
        <f t="shared" si="40"/>
        <v>0.45833333333333331</v>
      </c>
      <c r="H118" s="555" t="str">
        <f t="shared" si="50"/>
        <v>0:00</v>
      </c>
      <c r="I118" s="556">
        <f t="shared" si="41"/>
        <v>0</v>
      </c>
      <c r="J118" s="94">
        <f t="shared" si="42"/>
        <v>0.125</v>
      </c>
      <c r="K118" s="32">
        <f t="shared" si="43"/>
        <v>1</v>
      </c>
      <c r="L118" s="95" t="str">
        <f t="shared" si="44"/>
        <v/>
      </c>
      <c r="M118" s="96">
        <f t="shared" si="45"/>
        <v>1</v>
      </c>
      <c r="N118" s="97">
        <f>IF(M118=0,0,IF(SUM($M$5:M118)&gt;251,1,0))</f>
        <v>0</v>
      </c>
      <c r="O118" s="162">
        <v>40</v>
      </c>
      <c r="P118" s="163">
        <v>1</v>
      </c>
      <c r="Q118" s="98"/>
      <c r="R118" s="415" t="s">
        <v>543</v>
      </c>
      <c r="S118" s="516" t="str">
        <f t="shared" si="57"/>
        <v>放課後児童支援員</v>
      </c>
      <c r="T118" s="517" t="str">
        <f t="shared" si="51"/>
        <v>対象</v>
      </c>
      <c r="U118" s="518" t="s">
        <v>539</v>
      </c>
      <c r="V118" s="99" t="str">
        <f t="shared" si="58"/>
        <v>放課後児童支援員</v>
      </c>
      <c r="W118" s="100" t="str">
        <f t="shared" si="52"/>
        <v>対象</v>
      </c>
      <c r="X118" s="418" t="s">
        <v>546</v>
      </c>
      <c r="Y118" s="99" t="str">
        <f t="shared" si="59"/>
        <v>放課後児童支援員</v>
      </c>
      <c r="Z118" s="100" t="str">
        <f t="shared" si="53"/>
        <v>対象</v>
      </c>
      <c r="AA118" s="418"/>
      <c r="AB118" s="99">
        <f t="shared" si="60"/>
        <v>0</v>
      </c>
      <c r="AC118" s="100">
        <f t="shared" si="54"/>
        <v>0</v>
      </c>
      <c r="AD118" s="418"/>
      <c r="AE118" s="99">
        <f t="shared" si="61"/>
        <v>0</v>
      </c>
      <c r="AF118" s="100">
        <f t="shared" si="55"/>
        <v>0</v>
      </c>
      <c r="AG118" s="351" t="str">
        <f t="shared" si="56"/>
        <v/>
      </c>
      <c r="AH118" s="272" t="str">
        <f t="shared" si="46"/>
        <v/>
      </c>
      <c r="AI118" s="358" t="str">
        <f t="shared" si="47"/>
        <v/>
      </c>
      <c r="AJ118" s="272" t="str">
        <f t="shared" si="48"/>
        <v/>
      </c>
      <c r="AK118" s="361" t="str">
        <f t="shared" si="49"/>
        <v/>
      </c>
      <c r="AL118" s="11"/>
      <c r="AM118" s="11"/>
      <c r="AN118" s="11"/>
    </row>
    <row r="119" spans="1:40" ht="14.25">
      <c r="A119" s="787"/>
      <c r="B119" s="31" t="s">
        <v>196</v>
      </c>
      <c r="C119" s="184" t="s">
        <v>120</v>
      </c>
      <c r="D119" s="413" t="s">
        <v>171</v>
      </c>
      <c r="E119" s="49">
        <v>0.33333333333333331</v>
      </c>
      <c r="F119" s="49">
        <v>0.79166666666666663</v>
      </c>
      <c r="G119" s="93">
        <f t="shared" si="40"/>
        <v>0.45833333333333331</v>
      </c>
      <c r="H119" s="555" t="str">
        <f t="shared" si="50"/>
        <v>0:00</v>
      </c>
      <c r="I119" s="556">
        <f t="shared" si="41"/>
        <v>0</v>
      </c>
      <c r="J119" s="94">
        <f t="shared" si="42"/>
        <v>0.125</v>
      </c>
      <c r="K119" s="32">
        <f t="shared" si="43"/>
        <v>1</v>
      </c>
      <c r="L119" s="95" t="str">
        <f t="shared" si="44"/>
        <v/>
      </c>
      <c r="M119" s="96">
        <f t="shared" si="45"/>
        <v>1</v>
      </c>
      <c r="N119" s="97">
        <f>IF(M119=0,0,IF(SUM($M$5:M119)&gt;251,1,0))</f>
        <v>0</v>
      </c>
      <c r="O119" s="162">
        <v>40</v>
      </c>
      <c r="P119" s="163">
        <v>1</v>
      </c>
      <c r="Q119" s="98"/>
      <c r="R119" s="415" t="s">
        <v>543</v>
      </c>
      <c r="S119" s="516" t="str">
        <f t="shared" si="57"/>
        <v>放課後児童支援員</v>
      </c>
      <c r="T119" s="517" t="str">
        <f t="shared" si="51"/>
        <v>対象</v>
      </c>
      <c r="U119" s="518" t="s">
        <v>539</v>
      </c>
      <c r="V119" s="99" t="str">
        <f t="shared" si="58"/>
        <v>放課後児童支援員</v>
      </c>
      <c r="W119" s="100" t="str">
        <f t="shared" si="52"/>
        <v>対象</v>
      </c>
      <c r="X119" s="418" t="s">
        <v>546</v>
      </c>
      <c r="Y119" s="99" t="str">
        <f t="shared" si="59"/>
        <v>放課後児童支援員</v>
      </c>
      <c r="Z119" s="100" t="str">
        <f t="shared" si="53"/>
        <v>対象</v>
      </c>
      <c r="AA119" s="418"/>
      <c r="AB119" s="99">
        <f t="shared" si="60"/>
        <v>0</v>
      </c>
      <c r="AC119" s="100">
        <f t="shared" si="54"/>
        <v>0</v>
      </c>
      <c r="AD119" s="418"/>
      <c r="AE119" s="99">
        <f t="shared" si="61"/>
        <v>0</v>
      </c>
      <c r="AF119" s="100">
        <f t="shared" si="55"/>
        <v>0</v>
      </c>
      <c r="AG119" s="351" t="str">
        <f t="shared" si="56"/>
        <v/>
      </c>
      <c r="AH119" s="272" t="str">
        <f t="shared" si="46"/>
        <v/>
      </c>
      <c r="AI119" s="358" t="str">
        <f t="shared" si="47"/>
        <v/>
      </c>
      <c r="AJ119" s="272" t="str">
        <f t="shared" si="48"/>
        <v/>
      </c>
      <c r="AK119" s="361" t="str">
        <f t="shared" si="49"/>
        <v/>
      </c>
      <c r="AL119" s="11"/>
      <c r="AM119" s="11"/>
      <c r="AN119" s="11"/>
    </row>
    <row r="120" spans="1:40" ht="14.25">
      <c r="A120" s="787"/>
      <c r="B120" s="31" t="s">
        <v>197</v>
      </c>
      <c r="C120" s="184" t="s">
        <v>121</v>
      </c>
      <c r="D120" s="413" t="s">
        <v>171</v>
      </c>
      <c r="E120" s="49">
        <v>0.33333333333333331</v>
      </c>
      <c r="F120" s="49">
        <v>0.80555555555555547</v>
      </c>
      <c r="G120" s="93">
        <f t="shared" si="40"/>
        <v>0.47222222222222215</v>
      </c>
      <c r="H120" s="555" t="str">
        <f t="shared" si="50"/>
        <v>0:00</v>
      </c>
      <c r="I120" s="556">
        <f t="shared" si="41"/>
        <v>0</v>
      </c>
      <c r="J120" s="94">
        <f t="shared" si="42"/>
        <v>0.13888888888888884</v>
      </c>
      <c r="K120" s="32">
        <f t="shared" si="43"/>
        <v>1</v>
      </c>
      <c r="L120" s="95" t="str">
        <f t="shared" si="44"/>
        <v/>
      </c>
      <c r="M120" s="96">
        <f t="shared" si="45"/>
        <v>1</v>
      </c>
      <c r="N120" s="97">
        <f>IF(M120=0,0,IF(SUM($M$5:M120)&gt;251,1,0))</f>
        <v>0</v>
      </c>
      <c r="O120" s="162">
        <v>40</v>
      </c>
      <c r="P120" s="163">
        <v>1</v>
      </c>
      <c r="Q120" s="98"/>
      <c r="R120" s="513" t="s">
        <v>543</v>
      </c>
      <c r="S120" s="99" t="str">
        <f t="shared" si="57"/>
        <v>放課後児童支援員</v>
      </c>
      <c r="T120" s="100" t="str">
        <f t="shared" si="51"/>
        <v>対象</v>
      </c>
      <c r="U120" s="519" t="s">
        <v>539</v>
      </c>
      <c r="V120" s="99" t="str">
        <f t="shared" si="58"/>
        <v>放課後児童支援員</v>
      </c>
      <c r="W120" s="100" t="str">
        <f t="shared" si="52"/>
        <v>対象</v>
      </c>
      <c r="X120" s="418" t="s">
        <v>546</v>
      </c>
      <c r="Y120" s="99" t="str">
        <f t="shared" si="59"/>
        <v>放課後児童支援員</v>
      </c>
      <c r="Z120" s="100" t="str">
        <f t="shared" si="53"/>
        <v>対象</v>
      </c>
      <c r="AA120" s="418"/>
      <c r="AB120" s="99">
        <f t="shared" si="60"/>
        <v>0</v>
      </c>
      <c r="AC120" s="100">
        <f t="shared" si="54"/>
        <v>0</v>
      </c>
      <c r="AD120" s="418"/>
      <c r="AE120" s="99">
        <f t="shared" si="61"/>
        <v>0</v>
      </c>
      <c r="AF120" s="100">
        <f t="shared" si="55"/>
        <v>0</v>
      </c>
      <c r="AG120" s="351" t="str">
        <f t="shared" si="56"/>
        <v/>
      </c>
      <c r="AH120" s="272" t="str">
        <f t="shared" si="46"/>
        <v/>
      </c>
      <c r="AI120" s="358" t="str">
        <f t="shared" si="47"/>
        <v/>
      </c>
      <c r="AJ120" s="272" t="str">
        <f t="shared" si="48"/>
        <v/>
      </c>
      <c r="AK120" s="361" t="str">
        <f t="shared" si="49"/>
        <v/>
      </c>
      <c r="AL120" s="11"/>
      <c r="AM120" s="11"/>
      <c r="AN120" s="11"/>
    </row>
    <row r="121" spans="1:40" ht="14.25">
      <c r="A121" s="787"/>
      <c r="B121" s="31" t="s">
        <v>198</v>
      </c>
      <c r="C121" s="184" t="s">
        <v>122</v>
      </c>
      <c r="D121" s="413" t="s">
        <v>171</v>
      </c>
      <c r="E121" s="49">
        <v>0.33333333333333331</v>
      </c>
      <c r="F121" s="49">
        <v>0.6875</v>
      </c>
      <c r="G121" s="93">
        <f t="shared" si="40"/>
        <v>0.35416666666666669</v>
      </c>
      <c r="H121" s="555" t="str">
        <f t="shared" si="50"/>
        <v>0:00</v>
      </c>
      <c r="I121" s="556">
        <f t="shared" si="41"/>
        <v>0</v>
      </c>
      <c r="J121" s="94">
        <f t="shared" si="42"/>
        <v>2.083333333333337E-2</v>
      </c>
      <c r="K121" s="32">
        <f t="shared" si="43"/>
        <v>1</v>
      </c>
      <c r="L121" s="95" t="str">
        <f t="shared" si="44"/>
        <v/>
      </c>
      <c r="M121" s="96">
        <f t="shared" si="45"/>
        <v>1</v>
      </c>
      <c r="N121" s="97">
        <f>IF(M121=0,0,IF(SUM($M$5:M121)&gt;251,1,0))</f>
        <v>0</v>
      </c>
      <c r="O121" s="162">
        <v>5</v>
      </c>
      <c r="P121" s="163">
        <v>0</v>
      </c>
      <c r="Q121" s="98"/>
      <c r="R121" s="415" t="s">
        <v>543</v>
      </c>
      <c r="S121" s="516" t="str">
        <f t="shared" si="57"/>
        <v>放課後児童支援員</v>
      </c>
      <c r="T121" s="517" t="str">
        <f t="shared" si="51"/>
        <v>対象</v>
      </c>
      <c r="U121" s="518" t="s">
        <v>539</v>
      </c>
      <c r="V121" s="99" t="str">
        <f t="shared" si="58"/>
        <v>放課後児童支援員</v>
      </c>
      <c r="W121" s="100" t="str">
        <f t="shared" si="52"/>
        <v>対象</v>
      </c>
      <c r="X121" s="418" t="s">
        <v>546</v>
      </c>
      <c r="Y121" s="99" t="str">
        <f t="shared" si="59"/>
        <v>放課後児童支援員</v>
      </c>
      <c r="Z121" s="100" t="str">
        <f t="shared" si="53"/>
        <v>対象</v>
      </c>
      <c r="AA121" s="418"/>
      <c r="AB121" s="99">
        <f t="shared" si="60"/>
        <v>0</v>
      </c>
      <c r="AC121" s="100">
        <f t="shared" si="54"/>
        <v>0</v>
      </c>
      <c r="AD121" s="418"/>
      <c r="AE121" s="99">
        <f t="shared" si="61"/>
        <v>0</v>
      </c>
      <c r="AF121" s="100">
        <f t="shared" si="55"/>
        <v>0</v>
      </c>
      <c r="AG121" s="351" t="str">
        <f t="shared" si="56"/>
        <v/>
      </c>
      <c r="AH121" s="272" t="str">
        <f t="shared" si="46"/>
        <v/>
      </c>
      <c r="AI121" s="358" t="str">
        <f t="shared" si="47"/>
        <v/>
      </c>
      <c r="AJ121" s="272" t="str">
        <f t="shared" si="48"/>
        <v/>
      </c>
      <c r="AK121" s="361" t="str">
        <f t="shared" si="49"/>
        <v/>
      </c>
      <c r="AL121" s="11"/>
      <c r="AM121" s="11"/>
      <c r="AN121" s="11"/>
    </row>
    <row r="122" spans="1:40" ht="14.25">
      <c r="A122" s="787"/>
      <c r="B122" s="31" t="s">
        <v>199</v>
      </c>
      <c r="C122" s="184" t="s">
        <v>183</v>
      </c>
      <c r="D122" s="413" t="s">
        <v>173</v>
      </c>
      <c r="E122" s="49"/>
      <c r="F122" s="49"/>
      <c r="G122" s="93">
        <f t="shared" si="40"/>
        <v>0</v>
      </c>
      <c r="H122" s="555" t="str">
        <f t="shared" si="50"/>
        <v>0:00</v>
      </c>
      <c r="I122" s="556">
        <f t="shared" si="41"/>
        <v>0</v>
      </c>
      <c r="J122" s="94">
        <f t="shared" si="42"/>
        <v>0</v>
      </c>
      <c r="K122" s="32">
        <f t="shared" si="43"/>
        <v>0</v>
      </c>
      <c r="L122" s="95" t="str">
        <f t="shared" si="44"/>
        <v/>
      </c>
      <c r="M122" s="96">
        <f t="shared" si="45"/>
        <v>0</v>
      </c>
      <c r="N122" s="97">
        <f>IF(M122=0,0,IF(SUM($M$5:M122)&gt;251,1,0))</f>
        <v>0</v>
      </c>
      <c r="O122" s="162"/>
      <c r="P122" s="163"/>
      <c r="Q122" s="98"/>
      <c r="R122" s="415"/>
      <c r="S122" s="516">
        <f t="shared" si="57"/>
        <v>0</v>
      </c>
      <c r="T122" s="517">
        <f t="shared" si="51"/>
        <v>0</v>
      </c>
      <c r="U122" s="518"/>
      <c r="V122" s="99">
        <f t="shared" si="58"/>
        <v>0</v>
      </c>
      <c r="W122" s="100">
        <f t="shared" si="52"/>
        <v>0</v>
      </c>
      <c r="X122" s="418"/>
      <c r="Y122" s="99">
        <f t="shared" si="59"/>
        <v>0</v>
      </c>
      <c r="Z122" s="100">
        <f t="shared" si="53"/>
        <v>0</v>
      </c>
      <c r="AA122" s="418"/>
      <c r="AB122" s="99">
        <f t="shared" si="60"/>
        <v>0</v>
      </c>
      <c r="AC122" s="100">
        <f t="shared" si="54"/>
        <v>0</v>
      </c>
      <c r="AD122" s="418"/>
      <c r="AE122" s="99">
        <f t="shared" si="61"/>
        <v>0</v>
      </c>
      <c r="AF122" s="100">
        <f t="shared" si="55"/>
        <v>0</v>
      </c>
      <c r="AG122" s="351" t="str">
        <f t="shared" si="56"/>
        <v/>
      </c>
      <c r="AH122" s="272" t="str">
        <f t="shared" si="46"/>
        <v/>
      </c>
      <c r="AI122" s="358" t="str">
        <f t="shared" si="47"/>
        <v/>
      </c>
      <c r="AJ122" s="272" t="str">
        <f t="shared" si="48"/>
        <v/>
      </c>
      <c r="AK122" s="361" t="str">
        <f t="shared" si="49"/>
        <v/>
      </c>
      <c r="AL122" s="11"/>
      <c r="AM122" s="11"/>
      <c r="AN122" s="11"/>
    </row>
    <row r="123" spans="1:40" ht="14.25">
      <c r="A123" s="787"/>
      <c r="B123" s="31" t="s">
        <v>200</v>
      </c>
      <c r="C123" s="184" t="s">
        <v>118</v>
      </c>
      <c r="D123" s="413" t="s">
        <v>171</v>
      </c>
      <c r="E123" s="49">
        <v>0.33333333333333331</v>
      </c>
      <c r="F123" s="49">
        <v>0.7715277777777777</v>
      </c>
      <c r="G123" s="93">
        <f t="shared" si="40"/>
        <v>0.43819444444444439</v>
      </c>
      <c r="H123" s="555" t="str">
        <f t="shared" si="50"/>
        <v>0:00</v>
      </c>
      <c r="I123" s="556">
        <f t="shared" si="41"/>
        <v>0</v>
      </c>
      <c r="J123" s="94">
        <f t="shared" si="42"/>
        <v>0.10486111111111107</v>
      </c>
      <c r="K123" s="32">
        <f t="shared" si="43"/>
        <v>1</v>
      </c>
      <c r="L123" s="95" t="str">
        <f t="shared" si="44"/>
        <v/>
      </c>
      <c r="M123" s="96">
        <f t="shared" si="45"/>
        <v>1</v>
      </c>
      <c r="N123" s="97">
        <f>IF(M123=0,0,IF(SUM($M$5:M123)&gt;251,1,0))</f>
        <v>0</v>
      </c>
      <c r="O123" s="162">
        <v>40</v>
      </c>
      <c r="P123" s="163">
        <v>1</v>
      </c>
      <c r="Q123" s="98"/>
      <c r="R123" s="415" t="s">
        <v>543</v>
      </c>
      <c r="S123" s="516" t="str">
        <f t="shared" si="57"/>
        <v>放課後児童支援員</v>
      </c>
      <c r="T123" s="517" t="str">
        <f t="shared" si="51"/>
        <v>対象</v>
      </c>
      <c r="U123" s="518" t="s">
        <v>539</v>
      </c>
      <c r="V123" s="99" t="str">
        <f t="shared" si="58"/>
        <v>放課後児童支援員</v>
      </c>
      <c r="W123" s="100" t="str">
        <f t="shared" si="52"/>
        <v>対象</v>
      </c>
      <c r="X123" s="418"/>
      <c r="Y123" s="99">
        <f t="shared" si="59"/>
        <v>0</v>
      </c>
      <c r="Z123" s="100">
        <f t="shared" si="53"/>
        <v>0</v>
      </c>
      <c r="AA123" s="418"/>
      <c r="AB123" s="99">
        <f t="shared" si="60"/>
        <v>0</v>
      </c>
      <c r="AC123" s="100">
        <f t="shared" si="54"/>
        <v>0</v>
      </c>
      <c r="AD123" s="418"/>
      <c r="AE123" s="99">
        <f t="shared" si="61"/>
        <v>0</v>
      </c>
      <c r="AF123" s="100">
        <f t="shared" si="55"/>
        <v>0</v>
      </c>
      <c r="AG123" s="351" t="str">
        <f t="shared" si="56"/>
        <v/>
      </c>
      <c r="AH123" s="272" t="str">
        <f t="shared" si="46"/>
        <v/>
      </c>
      <c r="AI123" s="358" t="str">
        <f t="shared" si="47"/>
        <v/>
      </c>
      <c r="AJ123" s="272" t="str">
        <f t="shared" si="48"/>
        <v/>
      </c>
      <c r="AK123" s="361" t="str">
        <f t="shared" si="49"/>
        <v/>
      </c>
      <c r="AL123" s="11"/>
      <c r="AM123" s="11"/>
      <c r="AN123" s="11"/>
    </row>
    <row r="124" spans="1:40" ht="14.25">
      <c r="A124" s="787"/>
      <c r="B124" s="31" t="s">
        <v>201</v>
      </c>
      <c r="C124" s="184" t="s">
        <v>123</v>
      </c>
      <c r="D124" s="413" t="s">
        <v>171</v>
      </c>
      <c r="E124" s="49">
        <v>0.33333333333333331</v>
      </c>
      <c r="F124" s="49">
        <v>0.79166666666666663</v>
      </c>
      <c r="G124" s="93">
        <f t="shared" si="40"/>
        <v>0.45833333333333331</v>
      </c>
      <c r="H124" s="555" t="str">
        <f t="shared" si="50"/>
        <v>0:00</v>
      </c>
      <c r="I124" s="556">
        <f t="shared" si="41"/>
        <v>0</v>
      </c>
      <c r="J124" s="94">
        <f t="shared" si="42"/>
        <v>0.125</v>
      </c>
      <c r="K124" s="32">
        <f t="shared" si="43"/>
        <v>1</v>
      </c>
      <c r="L124" s="95" t="str">
        <f t="shared" si="44"/>
        <v/>
      </c>
      <c r="M124" s="96">
        <f t="shared" si="45"/>
        <v>1</v>
      </c>
      <c r="N124" s="97">
        <f>IF(M124=0,0,IF(SUM($M$5:M124)&gt;251,1,0))</f>
        <v>0</v>
      </c>
      <c r="O124" s="162">
        <v>40</v>
      </c>
      <c r="P124" s="163">
        <v>1</v>
      </c>
      <c r="Q124" s="98"/>
      <c r="R124" s="415" t="s">
        <v>543</v>
      </c>
      <c r="S124" s="516" t="str">
        <f t="shared" si="57"/>
        <v>放課後児童支援員</v>
      </c>
      <c r="T124" s="517" t="str">
        <f t="shared" si="51"/>
        <v>対象</v>
      </c>
      <c r="U124" s="518" t="s">
        <v>539</v>
      </c>
      <c r="V124" s="99" t="str">
        <f t="shared" si="58"/>
        <v>放課後児童支援員</v>
      </c>
      <c r="W124" s="100" t="str">
        <f t="shared" si="52"/>
        <v>対象</v>
      </c>
      <c r="X124" s="418" t="s">
        <v>546</v>
      </c>
      <c r="Y124" s="99" t="str">
        <f t="shared" si="59"/>
        <v>放課後児童支援員</v>
      </c>
      <c r="Z124" s="100" t="str">
        <f t="shared" si="53"/>
        <v>対象</v>
      </c>
      <c r="AA124" s="418"/>
      <c r="AB124" s="99">
        <f t="shared" si="60"/>
        <v>0</v>
      </c>
      <c r="AC124" s="100">
        <f t="shared" si="54"/>
        <v>0</v>
      </c>
      <c r="AD124" s="418"/>
      <c r="AE124" s="99">
        <f t="shared" si="61"/>
        <v>0</v>
      </c>
      <c r="AF124" s="100">
        <f t="shared" si="55"/>
        <v>0</v>
      </c>
      <c r="AG124" s="351" t="str">
        <f t="shared" si="56"/>
        <v/>
      </c>
      <c r="AH124" s="272" t="str">
        <f t="shared" si="46"/>
        <v/>
      </c>
      <c r="AI124" s="358" t="str">
        <f t="shared" si="47"/>
        <v/>
      </c>
      <c r="AJ124" s="272" t="str">
        <f t="shared" si="48"/>
        <v/>
      </c>
      <c r="AK124" s="361" t="str">
        <f t="shared" si="49"/>
        <v/>
      </c>
      <c r="AL124" s="11"/>
      <c r="AM124" s="11"/>
      <c r="AN124" s="11"/>
    </row>
    <row r="125" spans="1:40" ht="14.25">
      <c r="A125" s="787"/>
      <c r="B125" s="31" t="s">
        <v>202</v>
      </c>
      <c r="C125" s="184" t="s">
        <v>119</v>
      </c>
      <c r="D125" s="413" t="s">
        <v>171</v>
      </c>
      <c r="E125" s="49">
        <v>0.33333333333333331</v>
      </c>
      <c r="F125" s="49">
        <v>0.79166666666666663</v>
      </c>
      <c r="G125" s="93">
        <f t="shared" si="40"/>
        <v>0.45833333333333331</v>
      </c>
      <c r="H125" s="555" t="str">
        <f t="shared" si="50"/>
        <v>0:00</v>
      </c>
      <c r="I125" s="556">
        <f t="shared" si="41"/>
        <v>0</v>
      </c>
      <c r="J125" s="94">
        <f t="shared" si="42"/>
        <v>0.125</v>
      </c>
      <c r="K125" s="32">
        <f t="shared" si="43"/>
        <v>1</v>
      </c>
      <c r="L125" s="95" t="str">
        <f t="shared" si="44"/>
        <v/>
      </c>
      <c r="M125" s="96">
        <f t="shared" si="45"/>
        <v>1</v>
      </c>
      <c r="N125" s="97">
        <f>IF(M125=0,0,IF(SUM($M$5:M125)&gt;251,1,0))</f>
        <v>0</v>
      </c>
      <c r="O125" s="162">
        <v>40</v>
      </c>
      <c r="P125" s="163">
        <v>1</v>
      </c>
      <c r="Q125" s="98"/>
      <c r="R125" s="513" t="s">
        <v>543</v>
      </c>
      <c r="S125" s="99" t="str">
        <f t="shared" si="57"/>
        <v>放課後児童支援員</v>
      </c>
      <c r="T125" s="100" t="str">
        <f t="shared" si="51"/>
        <v>対象</v>
      </c>
      <c r="U125" s="519" t="s">
        <v>539</v>
      </c>
      <c r="V125" s="99" t="str">
        <f t="shared" si="58"/>
        <v>放課後児童支援員</v>
      </c>
      <c r="W125" s="100" t="str">
        <f t="shared" si="52"/>
        <v>対象</v>
      </c>
      <c r="X125" s="418" t="s">
        <v>546</v>
      </c>
      <c r="Y125" s="99" t="str">
        <f t="shared" si="59"/>
        <v>放課後児童支援員</v>
      </c>
      <c r="Z125" s="100" t="str">
        <f t="shared" si="53"/>
        <v>対象</v>
      </c>
      <c r="AA125" s="418"/>
      <c r="AB125" s="99">
        <f t="shared" si="60"/>
        <v>0</v>
      </c>
      <c r="AC125" s="100">
        <f t="shared" si="54"/>
        <v>0</v>
      </c>
      <c r="AD125" s="418"/>
      <c r="AE125" s="99">
        <f t="shared" si="61"/>
        <v>0</v>
      </c>
      <c r="AF125" s="100">
        <f t="shared" si="55"/>
        <v>0</v>
      </c>
      <c r="AG125" s="351" t="str">
        <f t="shared" si="56"/>
        <v/>
      </c>
      <c r="AH125" s="272" t="str">
        <f t="shared" si="46"/>
        <v/>
      </c>
      <c r="AI125" s="358" t="str">
        <f t="shared" si="47"/>
        <v/>
      </c>
      <c r="AJ125" s="272" t="str">
        <f t="shared" si="48"/>
        <v/>
      </c>
      <c r="AK125" s="361" t="str">
        <f t="shared" si="49"/>
        <v/>
      </c>
      <c r="AL125" s="11"/>
      <c r="AM125" s="11"/>
      <c r="AN125" s="11"/>
    </row>
    <row r="126" spans="1:40" ht="15" thickBot="1">
      <c r="A126" s="788"/>
      <c r="B126" s="33" t="s">
        <v>213</v>
      </c>
      <c r="C126" s="184" t="s">
        <v>120</v>
      </c>
      <c r="D126" s="413" t="s">
        <v>171</v>
      </c>
      <c r="E126" s="49">
        <v>0.33333333333333331</v>
      </c>
      <c r="F126" s="49">
        <v>0.79166666666666663</v>
      </c>
      <c r="G126" s="101">
        <f t="shared" si="40"/>
        <v>0.45833333333333331</v>
      </c>
      <c r="H126" s="555" t="str">
        <f t="shared" si="50"/>
        <v>0:00</v>
      </c>
      <c r="I126" s="557">
        <f t="shared" si="41"/>
        <v>0</v>
      </c>
      <c r="J126" s="102">
        <f t="shared" si="42"/>
        <v>0.125</v>
      </c>
      <c r="K126" s="34">
        <f t="shared" si="43"/>
        <v>1</v>
      </c>
      <c r="L126" s="103" t="str">
        <f t="shared" si="44"/>
        <v/>
      </c>
      <c r="M126" s="104">
        <f t="shared" si="45"/>
        <v>1</v>
      </c>
      <c r="N126" s="105">
        <f>IF(M126=0,0,IF(SUM($M$5:M126)&gt;251,1,0))</f>
        <v>0</v>
      </c>
      <c r="O126" s="162">
        <v>40</v>
      </c>
      <c r="P126" s="163">
        <v>1</v>
      </c>
      <c r="Q126" s="108">
        <f>SUM(O96:O126)</f>
        <v>940</v>
      </c>
      <c r="R126" s="513" t="s">
        <v>543</v>
      </c>
      <c r="S126" s="185" t="str">
        <f t="shared" si="57"/>
        <v>放課後児童支援員</v>
      </c>
      <c r="T126" s="107" t="str">
        <f t="shared" si="51"/>
        <v>対象</v>
      </c>
      <c r="U126" s="514" t="s">
        <v>539</v>
      </c>
      <c r="V126" s="185" t="str">
        <f t="shared" si="58"/>
        <v>放課後児童支援員</v>
      </c>
      <c r="W126" s="107" t="str">
        <f t="shared" si="52"/>
        <v>対象</v>
      </c>
      <c r="X126" s="419" t="s">
        <v>546</v>
      </c>
      <c r="Y126" s="185" t="str">
        <f t="shared" si="59"/>
        <v>放課後児童支援員</v>
      </c>
      <c r="Z126" s="107" t="str">
        <f t="shared" si="53"/>
        <v>対象</v>
      </c>
      <c r="AA126" s="419"/>
      <c r="AB126" s="185">
        <f t="shared" si="60"/>
        <v>0</v>
      </c>
      <c r="AC126" s="107">
        <f t="shared" si="54"/>
        <v>0</v>
      </c>
      <c r="AD126" s="419"/>
      <c r="AE126" s="185">
        <f t="shared" si="61"/>
        <v>0</v>
      </c>
      <c r="AF126" s="107">
        <f t="shared" si="55"/>
        <v>0</v>
      </c>
      <c r="AG126" s="182" t="str">
        <f t="shared" si="56"/>
        <v/>
      </c>
      <c r="AH126" s="273" t="str">
        <f t="shared" si="46"/>
        <v/>
      </c>
      <c r="AI126" s="464" t="str">
        <f t="shared" si="47"/>
        <v/>
      </c>
      <c r="AJ126" s="273" t="str">
        <f t="shared" si="48"/>
        <v/>
      </c>
      <c r="AK126" s="362" t="str">
        <f t="shared" si="49"/>
        <v/>
      </c>
      <c r="AL126" s="11"/>
      <c r="AM126" s="11"/>
      <c r="AN126" s="11"/>
    </row>
    <row r="127" spans="1:40" ht="14.25">
      <c r="A127" s="786" t="s">
        <v>205</v>
      </c>
      <c r="B127" s="27" t="s">
        <v>170</v>
      </c>
      <c r="C127" s="184" t="s">
        <v>121</v>
      </c>
      <c r="D127" s="413" t="s">
        <v>171</v>
      </c>
      <c r="E127" s="49">
        <v>0.33333333333333331</v>
      </c>
      <c r="F127" s="49">
        <v>0.80555555555555547</v>
      </c>
      <c r="G127" s="85">
        <f t="shared" si="40"/>
        <v>0.47222222222222215</v>
      </c>
      <c r="H127" s="555" t="str">
        <f t="shared" si="50"/>
        <v>0:00</v>
      </c>
      <c r="I127" s="558">
        <f t="shared" si="41"/>
        <v>0</v>
      </c>
      <c r="J127" s="86">
        <f t="shared" si="42"/>
        <v>0.13888888888888884</v>
      </c>
      <c r="K127" s="29">
        <f t="shared" si="43"/>
        <v>1</v>
      </c>
      <c r="L127" s="87" t="str">
        <f t="shared" si="44"/>
        <v/>
      </c>
      <c r="M127" s="88">
        <f t="shared" si="45"/>
        <v>1</v>
      </c>
      <c r="N127" s="89">
        <f>IF(M127=0,0,IF(SUM($M$5:M127)&gt;251,1,0))</f>
        <v>0</v>
      </c>
      <c r="O127" s="162">
        <v>40</v>
      </c>
      <c r="P127" s="163">
        <v>1</v>
      </c>
      <c r="Q127" s="90"/>
      <c r="R127" s="414" t="s">
        <v>543</v>
      </c>
      <c r="S127" s="91" t="str">
        <f t="shared" si="57"/>
        <v>放課後児童支援員</v>
      </c>
      <c r="T127" s="92" t="str">
        <f t="shared" si="51"/>
        <v>対象</v>
      </c>
      <c r="U127" s="417" t="s">
        <v>539</v>
      </c>
      <c r="V127" s="91" t="str">
        <f t="shared" si="58"/>
        <v>放課後児童支援員</v>
      </c>
      <c r="W127" s="92" t="str">
        <f t="shared" si="52"/>
        <v>対象</v>
      </c>
      <c r="X127" s="417" t="s">
        <v>546</v>
      </c>
      <c r="Y127" s="91" t="str">
        <f t="shared" si="59"/>
        <v>放課後児童支援員</v>
      </c>
      <c r="Z127" s="92" t="str">
        <f t="shared" si="53"/>
        <v>対象</v>
      </c>
      <c r="AA127" s="417"/>
      <c r="AB127" s="91">
        <f t="shared" si="60"/>
        <v>0</v>
      </c>
      <c r="AC127" s="92">
        <f t="shared" si="54"/>
        <v>0</v>
      </c>
      <c r="AD127" s="417"/>
      <c r="AE127" s="91">
        <f t="shared" si="61"/>
        <v>0</v>
      </c>
      <c r="AF127" s="92">
        <f t="shared" si="55"/>
        <v>0</v>
      </c>
      <c r="AG127" s="363" t="str">
        <f t="shared" si="56"/>
        <v/>
      </c>
      <c r="AH127" s="359" t="str">
        <f t="shared" si="46"/>
        <v/>
      </c>
      <c r="AI127" s="359" t="str">
        <f t="shared" si="47"/>
        <v/>
      </c>
      <c r="AJ127" s="359" t="str">
        <f t="shared" si="48"/>
        <v/>
      </c>
      <c r="AK127" s="360" t="str">
        <f t="shared" si="49"/>
        <v/>
      </c>
      <c r="AL127" s="11"/>
      <c r="AM127" s="11"/>
      <c r="AN127" s="11"/>
    </row>
    <row r="128" spans="1:40" ht="14.25">
      <c r="A128" s="787"/>
      <c r="B128" s="31" t="s">
        <v>172</v>
      </c>
      <c r="C128" s="184" t="s">
        <v>122</v>
      </c>
      <c r="D128" s="413" t="s">
        <v>173</v>
      </c>
      <c r="E128" s="49"/>
      <c r="F128" s="49"/>
      <c r="G128" s="93">
        <f t="shared" si="40"/>
        <v>0</v>
      </c>
      <c r="H128" s="555" t="str">
        <f t="shared" si="50"/>
        <v>0:00</v>
      </c>
      <c r="I128" s="556">
        <f t="shared" si="41"/>
        <v>0</v>
      </c>
      <c r="J128" s="94">
        <f t="shared" si="42"/>
        <v>0</v>
      </c>
      <c r="K128" s="32">
        <f t="shared" si="43"/>
        <v>0</v>
      </c>
      <c r="L128" s="95" t="str">
        <f t="shared" si="44"/>
        <v/>
      </c>
      <c r="M128" s="96">
        <f t="shared" si="45"/>
        <v>0</v>
      </c>
      <c r="N128" s="97">
        <f>IF(M128=0,0,IF(SUM($M$5:M128)&gt;251,1,0))</f>
        <v>0</v>
      </c>
      <c r="O128" s="162"/>
      <c r="P128" s="163"/>
      <c r="Q128" s="98"/>
      <c r="R128" s="415"/>
      <c r="S128" s="516">
        <f t="shared" si="57"/>
        <v>0</v>
      </c>
      <c r="T128" s="517">
        <f t="shared" si="51"/>
        <v>0</v>
      </c>
      <c r="U128" s="518"/>
      <c r="V128" s="99">
        <f t="shared" si="58"/>
        <v>0</v>
      </c>
      <c r="W128" s="100">
        <f t="shared" si="52"/>
        <v>0</v>
      </c>
      <c r="X128" s="418"/>
      <c r="Y128" s="99">
        <f t="shared" si="59"/>
        <v>0</v>
      </c>
      <c r="Z128" s="100">
        <f t="shared" si="53"/>
        <v>0</v>
      </c>
      <c r="AA128" s="418"/>
      <c r="AB128" s="99">
        <f t="shared" si="60"/>
        <v>0</v>
      </c>
      <c r="AC128" s="100">
        <f t="shared" si="54"/>
        <v>0</v>
      </c>
      <c r="AD128" s="418"/>
      <c r="AE128" s="99">
        <f t="shared" si="61"/>
        <v>0</v>
      </c>
      <c r="AF128" s="100">
        <f t="shared" si="55"/>
        <v>0</v>
      </c>
      <c r="AG128" s="351" t="str">
        <f t="shared" si="56"/>
        <v/>
      </c>
      <c r="AH128" s="272" t="str">
        <f t="shared" si="46"/>
        <v/>
      </c>
      <c r="AI128" s="358" t="str">
        <f t="shared" si="47"/>
        <v/>
      </c>
      <c r="AJ128" s="272" t="str">
        <f t="shared" si="48"/>
        <v/>
      </c>
      <c r="AK128" s="361" t="str">
        <f t="shared" si="49"/>
        <v/>
      </c>
      <c r="AL128" s="11"/>
      <c r="AM128" s="11"/>
      <c r="AN128" s="11"/>
    </row>
    <row r="129" spans="1:40" ht="14.25">
      <c r="A129" s="787"/>
      <c r="B129" s="31" t="s">
        <v>174</v>
      </c>
      <c r="C129" s="184" t="s">
        <v>183</v>
      </c>
      <c r="D129" s="413" t="s">
        <v>173</v>
      </c>
      <c r="E129" s="49"/>
      <c r="F129" s="49"/>
      <c r="G129" s="93">
        <f t="shared" si="40"/>
        <v>0</v>
      </c>
      <c r="H129" s="555" t="str">
        <f t="shared" si="50"/>
        <v>0:00</v>
      </c>
      <c r="I129" s="556">
        <f t="shared" si="41"/>
        <v>0</v>
      </c>
      <c r="J129" s="94">
        <f t="shared" si="42"/>
        <v>0</v>
      </c>
      <c r="K129" s="32">
        <f t="shared" si="43"/>
        <v>0</v>
      </c>
      <c r="L129" s="95" t="str">
        <f t="shared" si="44"/>
        <v/>
      </c>
      <c r="M129" s="96">
        <f t="shared" si="45"/>
        <v>0</v>
      </c>
      <c r="N129" s="97">
        <f>IF(M129=0,0,IF(SUM($M$5:M129)&gt;251,1,0))</f>
        <v>0</v>
      </c>
      <c r="O129" s="162"/>
      <c r="P129" s="163"/>
      <c r="Q129" s="98"/>
      <c r="R129" s="520"/>
      <c r="S129" s="521">
        <f t="shared" si="57"/>
        <v>0</v>
      </c>
      <c r="T129" s="522">
        <f t="shared" si="51"/>
        <v>0</v>
      </c>
      <c r="U129" s="523"/>
      <c r="V129" s="99">
        <f t="shared" si="58"/>
        <v>0</v>
      </c>
      <c r="W129" s="100">
        <f t="shared" si="52"/>
        <v>0</v>
      </c>
      <c r="X129" s="418"/>
      <c r="Y129" s="99">
        <f t="shared" si="59"/>
        <v>0</v>
      </c>
      <c r="Z129" s="100">
        <f t="shared" si="53"/>
        <v>0</v>
      </c>
      <c r="AA129" s="418"/>
      <c r="AB129" s="99">
        <f t="shared" si="60"/>
        <v>0</v>
      </c>
      <c r="AC129" s="100">
        <f t="shared" si="54"/>
        <v>0</v>
      </c>
      <c r="AD129" s="418"/>
      <c r="AE129" s="99">
        <f t="shared" si="61"/>
        <v>0</v>
      </c>
      <c r="AF129" s="100">
        <f t="shared" si="55"/>
        <v>0</v>
      </c>
      <c r="AG129" s="351" t="str">
        <f t="shared" si="56"/>
        <v/>
      </c>
      <c r="AH129" s="272" t="str">
        <f t="shared" si="46"/>
        <v/>
      </c>
      <c r="AI129" s="358" t="str">
        <f t="shared" si="47"/>
        <v/>
      </c>
      <c r="AJ129" s="272" t="str">
        <f t="shared" si="48"/>
        <v/>
      </c>
      <c r="AK129" s="361" t="str">
        <f t="shared" si="49"/>
        <v/>
      </c>
      <c r="AL129" s="11"/>
      <c r="AM129" s="11"/>
      <c r="AN129" s="11"/>
    </row>
    <row r="130" spans="1:40" ht="14.25">
      <c r="A130" s="787"/>
      <c r="B130" s="31" t="s">
        <v>175</v>
      </c>
      <c r="C130" s="184" t="s">
        <v>118</v>
      </c>
      <c r="D130" s="413" t="s">
        <v>171</v>
      </c>
      <c r="E130" s="49">
        <v>0.33333333333333331</v>
      </c>
      <c r="F130" s="49">
        <v>0.7715277777777777</v>
      </c>
      <c r="G130" s="93">
        <f t="shared" si="40"/>
        <v>0.43819444444444439</v>
      </c>
      <c r="H130" s="555" t="str">
        <f t="shared" si="50"/>
        <v>0:00</v>
      </c>
      <c r="I130" s="556">
        <f t="shared" si="41"/>
        <v>0</v>
      </c>
      <c r="J130" s="94">
        <f t="shared" si="42"/>
        <v>0.10486111111111107</v>
      </c>
      <c r="K130" s="32">
        <f t="shared" si="43"/>
        <v>1</v>
      </c>
      <c r="L130" s="95" t="str">
        <f t="shared" si="44"/>
        <v/>
      </c>
      <c r="M130" s="96">
        <f t="shared" si="45"/>
        <v>1</v>
      </c>
      <c r="N130" s="97">
        <f>IF(M130=0,0,IF(SUM($M$5:M130)&gt;251,1,0))</f>
        <v>0</v>
      </c>
      <c r="O130" s="162">
        <v>40</v>
      </c>
      <c r="P130" s="163">
        <v>1</v>
      </c>
      <c r="Q130" s="98"/>
      <c r="R130" s="415" t="s">
        <v>543</v>
      </c>
      <c r="S130" s="516" t="str">
        <f t="shared" si="57"/>
        <v>放課後児童支援員</v>
      </c>
      <c r="T130" s="517" t="str">
        <f t="shared" si="51"/>
        <v>対象</v>
      </c>
      <c r="U130" s="518" t="s">
        <v>539</v>
      </c>
      <c r="V130" s="99" t="str">
        <f t="shared" si="58"/>
        <v>放課後児童支援員</v>
      </c>
      <c r="W130" s="100" t="str">
        <f t="shared" si="52"/>
        <v>対象</v>
      </c>
      <c r="X130" s="418"/>
      <c r="Y130" s="99">
        <f t="shared" si="59"/>
        <v>0</v>
      </c>
      <c r="Z130" s="100">
        <f t="shared" si="53"/>
        <v>0</v>
      </c>
      <c r="AA130" s="418"/>
      <c r="AB130" s="99">
        <f t="shared" si="60"/>
        <v>0</v>
      </c>
      <c r="AC130" s="100">
        <f t="shared" si="54"/>
        <v>0</v>
      </c>
      <c r="AD130" s="418"/>
      <c r="AE130" s="99">
        <f t="shared" si="61"/>
        <v>0</v>
      </c>
      <c r="AF130" s="100">
        <f t="shared" si="55"/>
        <v>0</v>
      </c>
      <c r="AG130" s="351" t="str">
        <f t="shared" si="56"/>
        <v/>
      </c>
      <c r="AH130" s="272" t="str">
        <f t="shared" si="46"/>
        <v/>
      </c>
      <c r="AI130" s="358" t="str">
        <f t="shared" si="47"/>
        <v/>
      </c>
      <c r="AJ130" s="272" t="str">
        <f t="shared" si="48"/>
        <v/>
      </c>
      <c r="AK130" s="361" t="str">
        <f t="shared" si="49"/>
        <v/>
      </c>
      <c r="AL130" s="11"/>
      <c r="AM130" s="11"/>
      <c r="AN130" s="11"/>
    </row>
    <row r="131" spans="1:40" ht="14.25">
      <c r="A131" s="787"/>
      <c r="B131" s="31" t="s">
        <v>176</v>
      </c>
      <c r="C131" s="184" t="s">
        <v>123</v>
      </c>
      <c r="D131" s="413" t="s">
        <v>171</v>
      </c>
      <c r="E131" s="49">
        <v>0.33333333333333331</v>
      </c>
      <c r="F131" s="49">
        <v>0.79166666666666663</v>
      </c>
      <c r="G131" s="93">
        <f t="shared" si="40"/>
        <v>0.45833333333333331</v>
      </c>
      <c r="H131" s="555" t="str">
        <f t="shared" si="50"/>
        <v>0:00</v>
      </c>
      <c r="I131" s="556">
        <f t="shared" si="41"/>
        <v>0</v>
      </c>
      <c r="J131" s="94">
        <f t="shared" si="42"/>
        <v>0.125</v>
      </c>
      <c r="K131" s="32">
        <f t="shared" si="43"/>
        <v>1</v>
      </c>
      <c r="L131" s="95" t="str">
        <f t="shared" si="44"/>
        <v/>
      </c>
      <c r="M131" s="96">
        <f t="shared" si="45"/>
        <v>1</v>
      </c>
      <c r="N131" s="97">
        <f>IF(M131=0,0,IF(SUM($M$5:M131)&gt;251,1,0))</f>
        <v>0</v>
      </c>
      <c r="O131" s="162">
        <v>40</v>
      </c>
      <c r="P131" s="163">
        <v>1</v>
      </c>
      <c r="Q131" s="98"/>
      <c r="R131" s="520" t="s">
        <v>543</v>
      </c>
      <c r="S131" s="521" t="str">
        <f t="shared" si="57"/>
        <v>放課後児童支援員</v>
      </c>
      <c r="T131" s="522" t="str">
        <f t="shared" si="51"/>
        <v>対象</v>
      </c>
      <c r="U131" s="523" t="s">
        <v>539</v>
      </c>
      <c r="V131" s="99" t="str">
        <f t="shared" si="58"/>
        <v>放課後児童支援員</v>
      </c>
      <c r="W131" s="100" t="str">
        <f t="shared" si="52"/>
        <v>対象</v>
      </c>
      <c r="X131" s="418" t="s">
        <v>546</v>
      </c>
      <c r="Y131" s="99" t="str">
        <f t="shared" si="59"/>
        <v>放課後児童支援員</v>
      </c>
      <c r="Z131" s="100" t="str">
        <f t="shared" si="53"/>
        <v>対象</v>
      </c>
      <c r="AA131" s="418"/>
      <c r="AB131" s="99">
        <f t="shared" si="60"/>
        <v>0</v>
      </c>
      <c r="AC131" s="100">
        <f t="shared" si="54"/>
        <v>0</v>
      </c>
      <c r="AD131" s="418"/>
      <c r="AE131" s="99">
        <f t="shared" si="61"/>
        <v>0</v>
      </c>
      <c r="AF131" s="100">
        <f t="shared" si="55"/>
        <v>0</v>
      </c>
      <c r="AG131" s="351" t="str">
        <f t="shared" si="56"/>
        <v/>
      </c>
      <c r="AH131" s="272" t="str">
        <f t="shared" si="46"/>
        <v/>
      </c>
      <c r="AI131" s="358" t="str">
        <f t="shared" si="47"/>
        <v/>
      </c>
      <c r="AJ131" s="272" t="str">
        <f t="shared" si="48"/>
        <v/>
      </c>
      <c r="AK131" s="361" t="str">
        <f t="shared" si="49"/>
        <v/>
      </c>
      <c r="AL131" s="11"/>
      <c r="AM131" s="11"/>
      <c r="AN131" s="11"/>
    </row>
    <row r="132" spans="1:40" ht="14.25">
      <c r="A132" s="787"/>
      <c r="B132" s="31" t="s">
        <v>177</v>
      </c>
      <c r="C132" s="184" t="s">
        <v>119</v>
      </c>
      <c r="D132" s="413" t="s">
        <v>171</v>
      </c>
      <c r="E132" s="49">
        <v>0.33333333333333331</v>
      </c>
      <c r="F132" s="49">
        <v>0.79166666666666663</v>
      </c>
      <c r="G132" s="93">
        <f t="shared" si="40"/>
        <v>0.45833333333333331</v>
      </c>
      <c r="H132" s="555" t="str">
        <f t="shared" si="50"/>
        <v>0:00</v>
      </c>
      <c r="I132" s="556">
        <f t="shared" si="41"/>
        <v>0</v>
      </c>
      <c r="J132" s="94">
        <f t="shared" si="42"/>
        <v>0.125</v>
      </c>
      <c r="K132" s="32">
        <f t="shared" si="43"/>
        <v>1</v>
      </c>
      <c r="L132" s="95" t="str">
        <f t="shared" si="44"/>
        <v/>
      </c>
      <c r="M132" s="96">
        <f t="shared" si="45"/>
        <v>1</v>
      </c>
      <c r="N132" s="97">
        <f>IF(M132=0,0,IF(SUM($M$5:M132)&gt;251,1,0))</f>
        <v>0</v>
      </c>
      <c r="O132" s="162">
        <v>40</v>
      </c>
      <c r="P132" s="163">
        <v>1</v>
      </c>
      <c r="Q132" s="98"/>
      <c r="R132" s="415" t="s">
        <v>543</v>
      </c>
      <c r="S132" s="516" t="str">
        <f t="shared" si="57"/>
        <v>放課後児童支援員</v>
      </c>
      <c r="T132" s="517" t="str">
        <f t="shared" si="51"/>
        <v>対象</v>
      </c>
      <c r="U132" s="518" t="s">
        <v>539</v>
      </c>
      <c r="V132" s="99" t="str">
        <f t="shared" si="58"/>
        <v>放課後児童支援員</v>
      </c>
      <c r="W132" s="100" t="str">
        <f t="shared" si="52"/>
        <v>対象</v>
      </c>
      <c r="X132" s="418" t="s">
        <v>546</v>
      </c>
      <c r="Y132" s="99" t="str">
        <f t="shared" si="59"/>
        <v>放課後児童支援員</v>
      </c>
      <c r="Z132" s="100" t="str">
        <f t="shared" si="53"/>
        <v>対象</v>
      </c>
      <c r="AA132" s="418"/>
      <c r="AB132" s="99">
        <f t="shared" si="60"/>
        <v>0</v>
      </c>
      <c r="AC132" s="100">
        <f t="shared" si="54"/>
        <v>0</v>
      </c>
      <c r="AD132" s="418"/>
      <c r="AE132" s="99">
        <f t="shared" si="61"/>
        <v>0</v>
      </c>
      <c r="AF132" s="100">
        <f t="shared" si="55"/>
        <v>0</v>
      </c>
      <c r="AG132" s="351" t="str">
        <f t="shared" si="56"/>
        <v/>
      </c>
      <c r="AH132" s="272" t="str">
        <f t="shared" si="46"/>
        <v/>
      </c>
      <c r="AI132" s="358" t="str">
        <f t="shared" si="47"/>
        <v/>
      </c>
      <c r="AJ132" s="272" t="str">
        <f t="shared" si="48"/>
        <v/>
      </c>
      <c r="AK132" s="361" t="str">
        <f t="shared" si="49"/>
        <v/>
      </c>
      <c r="AL132" s="11"/>
      <c r="AM132" s="11"/>
      <c r="AN132" s="11"/>
    </row>
    <row r="133" spans="1:40" ht="14.25">
      <c r="A133" s="787"/>
      <c r="B133" s="31" t="s">
        <v>178</v>
      </c>
      <c r="C133" s="184" t="s">
        <v>120</v>
      </c>
      <c r="D133" s="413" t="s">
        <v>171</v>
      </c>
      <c r="E133" s="49">
        <v>0.33333333333333331</v>
      </c>
      <c r="F133" s="49">
        <v>0.79166666666666663</v>
      </c>
      <c r="G133" s="93">
        <f t="shared" ref="G133:G196" si="62">F133-E133</f>
        <v>0.45833333333333331</v>
      </c>
      <c r="H133" s="555" t="str">
        <f t="shared" si="50"/>
        <v>0:00</v>
      </c>
      <c r="I133" s="556">
        <f t="shared" ref="I133:I196" si="63">IF(ISNUMBER(SEARCH("平日", D133)), 1, 0)</f>
        <v>0</v>
      </c>
      <c r="J133" s="94">
        <f t="shared" ref="J133:J196" si="64">IF(D133="土・日・祝・長期休暇",MAX(G133-TIME(8,0,0),0),0)</f>
        <v>0.125</v>
      </c>
      <c r="K133" s="32">
        <f t="shared" ref="K133:K196" si="65">IF(ISNUMBER(SEARCH("長期", D133)), 1, 0)</f>
        <v>1</v>
      </c>
      <c r="L133" s="95" t="str">
        <f t="shared" ref="L133:L196" si="66">IF(D133="休所",IF(E133&lt;&gt;"","入力にエラーがあります",""),"")</f>
        <v/>
      </c>
      <c r="M133" s="96">
        <f t="shared" ref="M133:M196" si="67">IF(OR(D133="休所",D133="",D133="平日：開所とみなす閉所"),0,IF(OR(G133-TIME(7,59,59)&gt;0,D133="土日祝長期：開所とみなす閉所"),1,0))</f>
        <v>1</v>
      </c>
      <c r="N133" s="97">
        <f>IF(M133=0,0,IF(SUM($M$5:M133)&gt;251,1,0))</f>
        <v>0</v>
      </c>
      <c r="O133" s="162">
        <v>40</v>
      </c>
      <c r="P133" s="163">
        <v>1</v>
      </c>
      <c r="Q133" s="98"/>
      <c r="R133" s="520" t="s">
        <v>543</v>
      </c>
      <c r="S133" s="521" t="str">
        <f t="shared" si="57"/>
        <v>放課後児童支援員</v>
      </c>
      <c r="T133" s="522" t="str">
        <f t="shared" si="51"/>
        <v>対象</v>
      </c>
      <c r="U133" s="523" t="s">
        <v>539</v>
      </c>
      <c r="V133" s="99" t="str">
        <f t="shared" si="58"/>
        <v>放課後児童支援員</v>
      </c>
      <c r="W133" s="100" t="str">
        <f t="shared" si="52"/>
        <v>対象</v>
      </c>
      <c r="X133" s="418" t="s">
        <v>546</v>
      </c>
      <c r="Y133" s="99" t="str">
        <f t="shared" si="59"/>
        <v>放課後児童支援員</v>
      </c>
      <c r="Z133" s="100" t="str">
        <f t="shared" si="53"/>
        <v>対象</v>
      </c>
      <c r="AA133" s="418"/>
      <c r="AB133" s="99">
        <f t="shared" si="60"/>
        <v>0</v>
      </c>
      <c r="AC133" s="100">
        <f t="shared" si="54"/>
        <v>0</v>
      </c>
      <c r="AD133" s="418"/>
      <c r="AE133" s="99">
        <f t="shared" si="61"/>
        <v>0</v>
      </c>
      <c r="AF133" s="100">
        <f t="shared" si="55"/>
        <v>0</v>
      </c>
      <c r="AG133" s="351" t="str">
        <f t="shared" si="56"/>
        <v/>
      </c>
      <c r="AH133" s="272" t="str">
        <f t="shared" ref="AH133:AH196" si="68">IF(OR(D133=$AL$6,D133=$AL$7,D133=$AL$8),"",IF(P133&gt;0,IF(COUNTIF(R133:AF133,"対象")&gt;0,"","障害児加配対象職員がいません"),""))</f>
        <v/>
      </c>
      <c r="AI133" s="358" t="str">
        <f t="shared" ref="AI133:AI196" si="69">IF(OR(D133=$AL$6, D133=$AL$7, D133=$AL$8), "", IF(P133&gt;2, IF(COUNTIF(R133:AF133, "対象")&lt;=1, IF(AA133&lt;&gt;"", "", "障害児が３名以上いますが、職員の配置が３名以下です(強化加算対象外)"), IF(AA133&lt;&gt;"", "", "障害児が３名以上いますが、職員の配置が３名以下です(強化加算対象外)")), ""))</f>
        <v/>
      </c>
      <c r="AJ133" s="272" t="str">
        <f t="shared" ref="AJ133:AJ196" si="70">IF(AND(D133="平日", G133*24&lt;3), "平日は3時間以上開所", IF(AND(D133="土・日・祝・長期休暇", G133*24&lt;8), "学校の休業日は8時間以上開所", ""))</f>
        <v/>
      </c>
      <c r="AK133" s="361" t="str">
        <f t="shared" ref="AK133:AK196" si="71">IF(AND(OR(D133="平日", D133="土・日・祝・長期休暇"), OR(O133="")), "児童数が入力されていません！", "")</f>
        <v/>
      </c>
      <c r="AL133" s="11"/>
      <c r="AM133" s="11"/>
      <c r="AN133" s="11"/>
    </row>
    <row r="134" spans="1:40" ht="14.25">
      <c r="A134" s="787"/>
      <c r="B134" s="31" t="s">
        <v>179</v>
      </c>
      <c r="C134" s="184" t="s">
        <v>121</v>
      </c>
      <c r="D134" s="413" t="s">
        <v>171</v>
      </c>
      <c r="E134" s="49">
        <v>0.33333333333333331</v>
      </c>
      <c r="F134" s="49">
        <v>0.80555555555555547</v>
      </c>
      <c r="G134" s="93">
        <f t="shared" si="62"/>
        <v>0.47222222222222215</v>
      </c>
      <c r="H134" s="555" t="str">
        <f t="shared" ref="H134:H197" si="72">IF(AND(D134="平日", F134&gt;TIME(18,30,0)), (F134-TIME(18,30,0))*1440/1440, "0:00")</f>
        <v>0:00</v>
      </c>
      <c r="I134" s="556">
        <f t="shared" si="63"/>
        <v>0</v>
      </c>
      <c r="J134" s="94">
        <f t="shared" si="64"/>
        <v>0.13888888888888884</v>
      </c>
      <c r="K134" s="32">
        <f t="shared" si="65"/>
        <v>1</v>
      </c>
      <c r="L134" s="95" t="str">
        <f t="shared" si="66"/>
        <v/>
      </c>
      <c r="M134" s="96">
        <f t="shared" si="67"/>
        <v>1</v>
      </c>
      <c r="N134" s="97">
        <f>IF(M134=0,0,IF(SUM($M$5:M134)&gt;251,1,0))</f>
        <v>0</v>
      </c>
      <c r="O134" s="162">
        <v>40</v>
      </c>
      <c r="P134" s="163">
        <v>1</v>
      </c>
      <c r="Q134" s="98"/>
      <c r="R134" s="415" t="s">
        <v>543</v>
      </c>
      <c r="S134" s="516" t="str">
        <f t="shared" si="57"/>
        <v>放課後児童支援員</v>
      </c>
      <c r="T134" s="517" t="str">
        <f t="shared" ref="T134:T197" si="73">VLOOKUP(R134,$AM$12:$AO$31,3,FALSE)</f>
        <v>対象</v>
      </c>
      <c r="U134" s="518" t="s">
        <v>539</v>
      </c>
      <c r="V134" s="99" t="str">
        <f t="shared" si="58"/>
        <v>放課後児童支援員</v>
      </c>
      <c r="W134" s="100" t="str">
        <f t="shared" ref="W134:W197" si="74">VLOOKUP(U134,$AM$12:$AO$31,3,FALSE)</f>
        <v>対象</v>
      </c>
      <c r="X134" s="418" t="s">
        <v>546</v>
      </c>
      <c r="Y134" s="99" t="str">
        <f t="shared" si="59"/>
        <v>放課後児童支援員</v>
      </c>
      <c r="Z134" s="100" t="str">
        <f t="shared" ref="Z134:Z197" si="75">VLOOKUP(X134,$AM$12:$AO$31,3,FALSE)</f>
        <v>対象</v>
      </c>
      <c r="AA134" s="418"/>
      <c r="AB134" s="99">
        <f t="shared" si="60"/>
        <v>0</v>
      </c>
      <c r="AC134" s="100">
        <f t="shared" ref="AC134:AC197" si="76">VLOOKUP(AA134,$AM$12:$AO$31,3,FALSE)</f>
        <v>0</v>
      </c>
      <c r="AD134" s="418"/>
      <c r="AE134" s="99">
        <f t="shared" si="61"/>
        <v>0</v>
      </c>
      <c r="AF134" s="100">
        <f t="shared" ref="AF134:AF197" si="77">VLOOKUP(AD134,$AM$12:$AO$31,3,FALSE)</f>
        <v>0</v>
      </c>
      <c r="AG134" s="351" t="str">
        <f t="shared" ref="AG134:AG197" si="78">IF(OR(D134=$AL$6,D134=$AL$7,D134=$AL$8,D134=""),"",IF(COUNTIF(R134:AF134,"*支援員*")&gt;0,"","支援員がいません！"))</f>
        <v/>
      </c>
      <c r="AH134" s="272" t="str">
        <f t="shared" si="68"/>
        <v/>
      </c>
      <c r="AI134" s="358" t="str">
        <f t="shared" si="69"/>
        <v/>
      </c>
      <c r="AJ134" s="272" t="str">
        <f t="shared" si="70"/>
        <v/>
      </c>
      <c r="AK134" s="361" t="str">
        <f t="shared" si="71"/>
        <v/>
      </c>
      <c r="AL134" s="11"/>
      <c r="AM134" s="11"/>
      <c r="AN134" s="11"/>
    </row>
    <row r="135" spans="1:40" ht="14.25">
      <c r="A135" s="787"/>
      <c r="B135" s="31" t="s">
        <v>180</v>
      </c>
      <c r="C135" s="184" t="s">
        <v>122</v>
      </c>
      <c r="D135" s="413" t="s">
        <v>173</v>
      </c>
      <c r="E135" s="49"/>
      <c r="F135" s="49"/>
      <c r="G135" s="93">
        <f t="shared" si="62"/>
        <v>0</v>
      </c>
      <c r="H135" s="555" t="str">
        <f t="shared" si="72"/>
        <v>0:00</v>
      </c>
      <c r="I135" s="556">
        <f t="shared" si="63"/>
        <v>0</v>
      </c>
      <c r="J135" s="94">
        <f t="shared" si="64"/>
        <v>0</v>
      </c>
      <c r="K135" s="32">
        <f t="shared" si="65"/>
        <v>0</v>
      </c>
      <c r="L135" s="95" t="str">
        <f t="shared" si="66"/>
        <v/>
      </c>
      <c r="M135" s="96">
        <f t="shared" si="67"/>
        <v>0</v>
      </c>
      <c r="N135" s="97">
        <f>IF(M135=0,0,IF(SUM($M$5:M135)&gt;251,1,0))</f>
        <v>0</v>
      </c>
      <c r="O135" s="162"/>
      <c r="P135" s="163"/>
      <c r="Q135" s="98"/>
      <c r="R135" s="415"/>
      <c r="S135" s="99">
        <f t="shared" ref="S135:S198" si="79">VLOOKUP(R135,$AM$12:$AN$31,2,FALSE)</f>
        <v>0</v>
      </c>
      <c r="T135" s="100">
        <f t="shared" si="73"/>
        <v>0</v>
      </c>
      <c r="U135" s="418"/>
      <c r="V135" s="99">
        <f t="shared" ref="V135:V198" si="80">VLOOKUP(U135,$AM$12:$AN$31,2,FALSE)</f>
        <v>0</v>
      </c>
      <c r="W135" s="100">
        <f t="shared" si="74"/>
        <v>0</v>
      </c>
      <c r="X135" s="418"/>
      <c r="Y135" s="99">
        <f t="shared" ref="Y135:Y198" si="81">VLOOKUP(X135,$AM$12:$AN$31,2,FALSE)</f>
        <v>0</v>
      </c>
      <c r="Z135" s="100">
        <f t="shared" si="75"/>
        <v>0</v>
      </c>
      <c r="AA135" s="418"/>
      <c r="AB135" s="99">
        <f t="shared" ref="AB135:AB198" si="82">VLOOKUP(AA135,$AM$12:$AN$31,2,FALSE)</f>
        <v>0</v>
      </c>
      <c r="AC135" s="100">
        <f t="shared" si="76"/>
        <v>0</v>
      </c>
      <c r="AD135" s="418"/>
      <c r="AE135" s="99">
        <f t="shared" ref="AE135:AE198" si="83">VLOOKUP(AD135,$AM$12:$AN$31,2,FALSE)</f>
        <v>0</v>
      </c>
      <c r="AF135" s="100">
        <f t="shared" si="77"/>
        <v>0</v>
      </c>
      <c r="AG135" s="351" t="str">
        <f t="shared" si="78"/>
        <v/>
      </c>
      <c r="AH135" s="272" t="str">
        <f t="shared" si="68"/>
        <v/>
      </c>
      <c r="AI135" s="358" t="str">
        <f t="shared" si="69"/>
        <v/>
      </c>
      <c r="AJ135" s="272" t="str">
        <f t="shared" si="70"/>
        <v/>
      </c>
      <c r="AK135" s="361" t="str">
        <f t="shared" si="71"/>
        <v/>
      </c>
      <c r="AL135" s="11"/>
      <c r="AM135" s="11"/>
      <c r="AN135" s="11"/>
    </row>
    <row r="136" spans="1:40" ht="14.25">
      <c r="A136" s="787"/>
      <c r="B136" s="31" t="s">
        <v>181</v>
      </c>
      <c r="C136" s="184" t="s">
        <v>183</v>
      </c>
      <c r="D136" s="413" t="s">
        <v>173</v>
      </c>
      <c r="E136" s="49"/>
      <c r="F136" s="49"/>
      <c r="G136" s="93">
        <f t="shared" si="62"/>
        <v>0</v>
      </c>
      <c r="H136" s="555" t="str">
        <f t="shared" si="72"/>
        <v>0:00</v>
      </c>
      <c r="I136" s="556">
        <f t="shared" si="63"/>
        <v>0</v>
      </c>
      <c r="J136" s="94">
        <f t="shared" si="64"/>
        <v>0</v>
      </c>
      <c r="K136" s="32">
        <f t="shared" si="65"/>
        <v>0</v>
      </c>
      <c r="L136" s="95" t="str">
        <f t="shared" si="66"/>
        <v/>
      </c>
      <c r="M136" s="96">
        <f t="shared" si="67"/>
        <v>0</v>
      </c>
      <c r="N136" s="97">
        <f>IF(M136=0,0,IF(SUM($M$5:M136)&gt;251,1,0))</f>
        <v>0</v>
      </c>
      <c r="O136" s="162"/>
      <c r="P136" s="163"/>
      <c r="Q136" s="98"/>
      <c r="R136" s="524"/>
      <c r="S136" s="521">
        <f t="shared" si="79"/>
        <v>0</v>
      </c>
      <c r="T136" s="522">
        <f t="shared" si="73"/>
        <v>0</v>
      </c>
      <c r="U136" s="525"/>
      <c r="V136" s="99">
        <f t="shared" si="80"/>
        <v>0</v>
      </c>
      <c r="W136" s="100">
        <f t="shared" si="74"/>
        <v>0</v>
      </c>
      <c r="X136" s="418"/>
      <c r="Y136" s="99">
        <f t="shared" si="81"/>
        <v>0</v>
      </c>
      <c r="Z136" s="100">
        <f t="shared" si="75"/>
        <v>0</v>
      </c>
      <c r="AA136" s="418"/>
      <c r="AB136" s="99">
        <f t="shared" si="82"/>
        <v>0</v>
      </c>
      <c r="AC136" s="100">
        <f t="shared" si="76"/>
        <v>0</v>
      </c>
      <c r="AD136" s="418"/>
      <c r="AE136" s="99">
        <f t="shared" si="83"/>
        <v>0</v>
      </c>
      <c r="AF136" s="100">
        <f t="shared" si="77"/>
        <v>0</v>
      </c>
      <c r="AG136" s="351" t="str">
        <f t="shared" si="78"/>
        <v/>
      </c>
      <c r="AH136" s="272" t="str">
        <f t="shared" si="68"/>
        <v/>
      </c>
      <c r="AI136" s="358" t="str">
        <f t="shared" si="69"/>
        <v/>
      </c>
      <c r="AJ136" s="272" t="str">
        <f t="shared" si="70"/>
        <v/>
      </c>
      <c r="AK136" s="361" t="str">
        <f t="shared" si="71"/>
        <v/>
      </c>
      <c r="AL136" s="11"/>
      <c r="AM136" s="11"/>
      <c r="AN136" s="11"/>
    </row>
    <row r="137" spans="1:40" ht="14.25">
      <c r="A137" s="787"/>
      <c r="B137" s="31" t="s">
        <v>182</v>
      </c>
      <c r="C137" s="184" t="s">
        <v>118</v>
      </c>
      <c r="D137" s="413" t="s">
        <v>171</v>
      </c>
      <c r="E137" s="49">
        <v>0.33333333333333331</v>
      </c>
      <c r="F137" s="49">
        <v>0.7715277777777777</v>
      </c>
      <c r="G137" s="93">
        <f t="shared" si="62"/>
        <v>0.43819444444444439</v>
      </c>
      <c r="H137" s="555" t="str">
        <f t="shared" si="72"/>
        <v>0:00</v>
      </c>
      <c r="I137" s="556">
        <f t="shared" si="63"/>
        <v>0</v>
      </c>
      <c r="J137" s="94">
        <f t="shared" si="64"/>
        <v>0.10486111111111107</v>
      </c>
      <c r="K137" s="32">
        <f t="shared" si="65"/>
        <v>1</v>
      </c>
      <c r="L137" s="95" t="str">
        <f t="shared" si="66"/>
        <v/>
      </c>
      <c r="M137" s="96">
        <f t="shared" si="67"/>
        <v>1</v>
      </c>
      <c r="N137" s="97">
        <f>IF(M137=0,0,IF(SUM($M$5:M137)&gt;251,1,0))</f>
        <v>0</v>
      </c>
      <c r="O137" s="162">
        <v>40</v>
      </c>
      <c r="P137" s="163">
        <v>1</v>
      </c>
      <c r="Q137" s="98"/>
      <c r="R137" s="415" t="s">
        <v>543</v>
      </c>
      <c r="S137" s="516" t="str">
        <f t="shared" si="79"/>
        <v>放課後児童支援員</v>
      </c>
      <c r="T137" s="517" t="str">
        <f t="shared" si="73"/>
        <v>対象</v>
      </c>
      <c r="U137" s="518" t="s">
        <v>539</v>
      </c>
      <c r="V137" s="99" t="str">
        <f t="shared" si="80"/>
        <v>放課後児童支援員</v>
      </c>
      <c r="W137" s="100" t="str">
        <f t="shared" si="74"/>
        <v>対象</v>
      </c>
      <c r="X137" s="418"/>
      <c r="Y137" s="99">
        <f t="shared" si="81"/>
        <v>0</v>
      </c>
      <c r="Z137" s="100">
        <f t="shared" si="75"/>
        <v>0</v>
      </c>
      <c r="AA137" s="418"/>
      <c r="AB137" s="99">
        <f t="shared" si="82"/>
        <v>0</v>
      </c>
      <c r="AC137" s="100">
        <f t="shared" si="76"/>
        <v>0</v>
      </c>
      <c r="AD137" s="418"/>
      <c r="AE137" s="99">
        <f t="shared" si="83"/>
        <v>0</v>
      </c>
      <c r="AF137" s="100">
        <f t="shared" si="77"/>
        <v>0</v>
      </c>
      <c r="AG137" s="351" t="str">
        <f t="shared" si="78"/>
        <v/>
      </c>
      <c r="AH137" s="272" t="str">
        <f t="shared" si="68"/>
        <v/>
      </c>
      <c r="AI137" s="358" t="str">
        <f t="shared" si="69"/>
        <v/>
      </c>
      <c r="AJ137" s="272" t="str">
        <f t="shared" si="70"/>
        <v/>
      </c>
      <c r="AK137" s="361" t="str">
        <f t="shared" si="71"/>
        <v/>
      </c>
      <c r="AL137" s="11"/>
      <c r="AM137" s="11"/>
      <c r="AN137" s="11"/>
    </row>
    <row r="138" spans="1:40" ht="14.25">
      <c r="A138" s="787"/>
      <c r="B138" s="31" t="s">
        <v>184</v>
      </c>
      <c r="C138" s="184" t="s">
        <v>123</v>
      </c>
      <c r="D138" s="413" t="s">
        <v>171</v>
      </c>
      <c r="E138" s="49">
        <v>0.33333333333333331</v>
      </c>
      <c r="F138" s="49">
        <v>0.79166666666666663</v>
      </c>
      <c r="G138" s="93">
        <f t="shared" si="62"/>
        <v>0.45833333333333331</v>
      </c>
      <c r="H138" s="555" t="str">
        <f t="shared" si="72"/>
        <v>0:00</v>
      </c>
      <c r="I138" s="556">
        <f t="shared" si="63"/>
        <v>0</v>
      </c>
      <c r="J138" s="94">
        <f t="shared" si="64"/>
        <v>0.125</v>
      </c>
      <c r="K138" s="32">
        <f t="shared" si="65"/>
        <v>1</v>
      </c>
      <c r="L138" s="95" t="str">
        <f t="shared" si="66"/>
        <v/>
      </c>
      <c r="M138" s="96">
        <f t="shared" si="67"/>
        <v>1</v>
      </c>
      <c r="N138" s="97">
        <f>IF(M138=0,0,IF(SUM($M$5:M138)&gt;251,1,0))</f>
        <v>0</v>
      </c>
      <c r="O138" s="162">
        <v>40</v>
      </c>
      <c r="P138" s="163">
        <v>1</v>
      </c>
      <c r="Q138" s="98"/>
      <c r="R138" s="520" t="s">
        <v>543</v>
      </c>
      <c r="S138" s="521" t="str">
        <f t="shared" si="79"/>
        <v>放課後児童支援員</v>
      </c>
      <c r="T138" s="522" t="str">
        <f t="shared" si="73"/>
        <v>対象</v>
      </c>
      <c r="U138" s="523" t="s">
        <v>539</v>
      </c>
      <c r="V138" s="99" t="str">
        <f t="shared" si="80"/>
        <v>放課後児童支援員</v>
      </c>
      <c r="W138" s="100" t="str">
        <f t="shared" si="74"/>
        <v>対象</v>
      </c>
      <c r="X138" s="418"/>
      <c r="Y138" s="99">
        <f t="shared" si="81"/>
        <v>0</v>
      </c>
      <c r="Z138" s="100">
        <f t="shared" si="75"/>
        <v>0</v>
      </c>
      <c r="AA138" s="418"/>
      <c r="AB138" s="99">
        <f t="shared" si="82"/>
        <v>0</v>
      </c>
      <c r="AC138" s="100">
        <f t="shared" si="76"/>
        <v>0</v>
      </c>
      <c r="AD138" s="418"/>
      <c r="AE138" s="99">
        <f t="shared" si="83"/>
        <v>0</v>
      </c>
      <c r="AF138" s="100">
        <f t="shared" si="77"/>
        <v>0</v>
      </c>
      <c r="AG138" s="351" t="str">
        <f t="shared" si="78"/>
        <v/>
      </c>
      <c r="AH138" s="272" t="str">
        <f t="shared" si="68"/>
        <v/>
      </c>
      <c r="AI138" s="358" t="str">
        <f t="shared" si="69"/>
        <v/>
      </c>
      <c r="AJ138" s="272" t="str">
        <f t="shared" si="70"/>
        <v/>
      </c>
      <c r="AK138" s="361" t="str">
        <f t="shared" si="71"/>
        <v/>
      </c>
      <c r="AL138" s="11"/>
      <c r="AM138" s="11"/>
      <c r="AN138" s="11"/>
    </row>
    <row r="139" spans="1:40" ht="14.25">
      <c r="A139" s="787"/>
      <c r="B139" s="31" t="s">
        <v>185</v>
      </c>
      <c r="C139" s="184" t="s">
        <v>119</v>
      </c>
      <c r="D139" s="413" t="s">
        <v>171</v>
      </c>
      <c r="E139" s="49">
        <v>0.33333333333333331</v>
      </c>
      <c r="F139" s="49">
        <v>0.79166666666666663</v>
      </c>
      <c r="G139" s="93">
        <f t="shared" si="62"/>
        <v>0.45833333333333331</v>
      </c>
      <c r="H139" s="555" t="str">
        <f t="shared" si="72"/>
        <v>0:00</v>
      </c>
      <c r="I139" s="556">
        <f t="shared" si="63"/>
        <v>0</v>
      </c>
      <c r="J139" s="94">
        <f t="shared" si="64"/>
        <v>0.125</v>
      </c>
      <c r="K139" s="32">
        <f t="shared" si="65"/>
        <v>1</v>
      </c>
      <c r="L139" s="95" t="str">
        <f t="shared" si="66"/>
        <v/>
      </c>
      <c r="M139" s="96">
        <f t="shared" si="67"/>
        <v>1</v>
      </c>
      <c r="N139" s="97">
        <f>IF(M139=0,0,IF(SUM($M$5:M139)&gt;251,1,0))</f>
        <v>0</v>
      </c>
      <c r="O139" s="162">
        <v>40</v>
      </c>
      <c r="P139" s="163">
        <v>1</v>
      </c>
      <c r="Q139" s="98"/>
      <c r="R139" s="415" t="s">
        <v>543</v>
      </c>
      <c r="S139" s="516" t="str">
        <f t="shared" si="79"/>
        <v>放課後児童支援員</v>
      </c>
      <c r="T139" s="517" t="str">
        <f t="shared" si="73"/>
        <v>対象</v>
      </c>
      <c r="U139" s="518" t="s">
        <v>539</v>
      </c>
      <c r="V139" s="99" t="str">
        <f t="shared" si="80"/>
        <v>放課後児童支援員</v>
      </c>
      <c r="W139" s="100" t="str">
        <f t="shared" si="74"/>
        <v>対象</v>
      </c>
      <c r="X139" s="418"/>
      <c r="Y139" s="99">
        <f t="shared" si="81"/>
        <v>0</v>
      </c>
      <c r="Z139" s="100">
        <f t="shared" si="75"/>
        <v>0</v>
      </c>
      <c r="AA139" s="418"/>
      <c r="AB139" s="99">
        <f t="shared" si="82"/>
        <v>0</v>
      </c>
      <c r="AC139" s="100">
        <f t="shared" si="76"/>
        <v>0</v>
      </c>
      <c r="AD139" s="418"/>
      <c r="AE139" s="99">
        <f t="shared" si="83"/>
        <v>0</v>
      </c>
      <c r="AF139" s="100">
        <f t="shared" si="77"/>
        <v>0</v>
      </c>
      <c r="AG139" s="351" t="str">
        <f t="shared" si="78"/>
        <v/>
      </c>
      <c r="AH139" s="272" t="str">
        <f t="shared" si="68"/>
        <v/>
      </c>
      <c r="AI139" s="358" t="str">
        <f t="shared" si="69"/>
        <v/>
      </c>
      <c r="AJ139" s="272" t="str">
        <f t="shared" si="70"/>
        <v/>
      </c>
      <c r="AK139" s="361" t="str">
        <f t="shared" si="71"/>
        <v/>
      </c>
      <c r="AL139" s="11"/>
      <c r="AM139" s="11"/>
      <c r="AN139" s="11"/>
    </row>
    <row r="140" spans="1:40" ht="14.25">
      <c r="A140" s="787"/>
      <c r="B140" s="31" t="s">
        <v>186</v>
      </c>
      <c r="C140" s="184" t="s">
        <v>120</v>
      </c>
      <c r="D140" s="413" t="s">
        <v>171</v>
      </c>
      <c r="E140" s="49">
        <v>0.33333333333333331</v>
      </c>
      <c r="F140" s="49">
        <v>0.79166666666666663</v>
      </c>
      <c r="G140" s="93">
        <f t="shared" si="62"/>
        <v>0.45833333333333331</v>
      </c>
      <c r="H140" s="555" t="str">
        <f t="shared" si="72"/>
        <v>0:00</v>
      </c>
      <c r="I140" s="556">
        <f t="shared" si="63"/>
        <v>0</v>
      </c>
      <c r="J140" s="94">
        <f t="shared" si="64"/>
        <v>0.125</v>
      </c>
      <c r="K140" s="32">
        <f t="shared" si="65"/>
        <v>1</v>
      </c>
      <c r="L140" s="95" t="str">
        <f t="shared" si="66"/>
        <v/>
      </c>
      <c r="M140" s="96">
        <f t="shared" si="67"/>
        <v>1</v>
      </c>
      <c r="N140" s="97">
        <f>IF(M140=0,0,IF(SUM($M$5:M140)&gt;251,1,0))</f>
        <v>0</v>
      </c>
      <c r="O140" s="162">
        <v>40</v>
      </c>
      <c r="P140" s="163">
        <v>1</v>
      </c>
      <c r="Q140" s="98"/>
      <c r="R140" s="520" t="s">
        <v>543</v>
      </c>
      <c r="S140" s="521" t="str">
        <f t="shared" si="79"/>
        <v>放課後児童支援員</v>
      </c>
      <c r="T140" s="522" t="str">
        <f t="shared" si="73"/>
        <v>対象</v>
      </c>
      <c r="U140" s="523" t="s">
        <v>539</v>
      </c>
      <c r="V140" s="99" t="str">
        <f t="shared" si="80"/>
        <v>放課後児童支援員</v>
      </c>
      <c r="W140" s="100" t="str">
        <f t="shared" si="74"/>
        <v>対象</v>
      </c>
      <c r="X140" s="418"/>
      <c r="Y140" s="99">
        <f t="shared" si="81"/>
        <v>0</v>
      </c>
      <c r="Z140" s="100">
        <f t="shared" si="75"/>
        <v>0</v>
      </c>
      <c r="AA140" s="418"/>
      <c r="AB140" s="99">
        <f t="shared" si="82"/>
        <v>0</v>
      </c>
      <c r="AC140" s="100">
        <f t="shared" si="76"/>
        <v>0</v>
      </c>
      <c r="AD140" s="418"/>
      <c r="AE140" s="99">
        <f t="shared" si="83"/>
        <v>0</v>
      </c>
      <c r="AF140" s="100">
        <f t="shared" si="77"/>
        <v>0</v>
      </c>
      <c r="AG140" s="351" t="str">
        <f t="shared" si="78"/>
        <v/>
      </c>
      <c r="AH140" s="272" t="str">
        <f t="shared" si="68"/>
        <v/>
      </c>
      <c r="AI140" s="358" t="str">
        <f t="shared" si="69"/>
        <v/>
      </c>
      <c r="AJ140" s="272" t="str">
        <f t="shared" si="70"/>
        <v/>
      </c>
      <c r="AK140" s="361" t="str">
        <f t="shared" si="71"/>
        <v/>
      </c>
      <c r="AL140" s="11"/>
      <c r="AM140" s="11"/>
      <c r="AN140" s="11"/>
    </row>
    <row r="141" spans="1:40" ht="14.25">
      <c r="A141" s="787"/>
      <c r="B141" s="31" t="s">
        <v>187</v>
      </c>
      <c r="C141" s="184" t="s">
        <v>121</v>
      </c>
      <c r="D141" s="413" t="s">
        <v>171</v>
      </c>
      <c r="E141" s="49">
        <v>0.33333333333333331</v>
      </c>
      <c r="F141" s="49">
        <v>0.80555555555555547</v>
      </c>
      <c r="G141" s="93">
        <f t="shared" si="62"/>
        <v>0.47222222222222215</v>
      </c>
      <c r="H141" s="555" t="str">
        <f t="shared" si="72"/>
        <v>0:00</v>
      </c>
      <c r="I141" s="556">
        <f t="shared" si="63"/>
        <v>0</v>
      </c>
      <c r="J141" s="94">
        <f t="shared" si="64"/>
        <v>0.13888888888888884</v>
      </c>
      <c r="K141" s="32">
        <f t="shared" si="65"/>
        <v>1</v>
      </c>
      <c r="L141" s="95" t="str">
        <f t="shared" si="66"/>
        <v/>
      </c>
      <c r="M141" s="96">
        <f t="shared" si="67"/>
        <v>1</v>
      </c>
      <c r="N141" s="97">
        <f>IF(M141=0,0,IF(SUM($M$5:M141)&gt;251,1,0))</f>
        <v>0</v>
      </c>
      <c r="O141" s="162">
        <v>40</v>
      </c>
      <c r="P141" s="163">
        <v>1</v>
      </c>
      <c r="Q141" s="98"/>
      <c r="R141" s="415" t="s">
        <v>543</v>
      </c>
      <c r="S141" s="516" t="str">
        <f t="shared" si="79"/>
        <v>放課後児童支援員</v>
      </c>
      <c r="T141" s="517" t="str">
        <f t="shared" si="73"/>
        <v>対象</v>
      </c>
      <c r="U141" s="518" t="s">
        <v>539</v>
      </c>
      <c r="V141" s="99" t="str">
        <f t="shared" si="80"/>
        <v>放課後児童支援員</v>
      </c>
      <c r="W141" s="100" t="str">
        <f t="shared" si="74"/>
        <v>対象</v>
      </c>
      <c r="X141" s="418"/>
      <c r="Y141" s="99">
        <f t="shared" si="81"/>
        <v>0</v>
      </c>
      <c r="Z141" s="100">
        <f t="shared" si="75"/>
        <v>0</v>
      </c>
      <c r="AA141" s="418"/>
      <c r="AB141" s="99">
        <f t="shared" si="82"/>
        <v>0</v>
      </c>
      <c r="AC141" s="100">
        <f t="shared" si="76"/>
        <v>0</v>
      </c>
      <c r="AD141" s="418"/>
      <c r="AE141" s="99">
        <f t="shared" si="83"/>
        <v>0</v>
      </c>
      <c r="AF141" s="100">
        <f t="shared" si="77"/>
        <v>0</v>
      </c>
      <c r="AG141" s="351" t="str">
        <f t="shared" si="78"/>
        <v/>
      </c>
      <c r="AH141" s="272" t="str">
        <f t="shared" si="68"/>
        <v/>
      </c>
      <c r="AI141" s="358" t="str">
        <f t="shared" si="69"/>
        <v/>
      </c>
      <c r="AJ141" s="272" t="str">
        <f t="shared" si="70"/>
        <v/>
      </c>
      <c r="AK141" s="361" t="str">
        <f t="shared" si="71"/>
        <v/>
      </c>
      <c r="AL141" s="11"/>
      <c r="AM141" s="11"/>
      <c r="AN141" s="11"/>
    </row>
    <row r="142" spans="1:40" ht="14.25">
      <c r="A142" s="787"/>
      <c r="B142" s="31" t="s">
        <v>188</v>
      </c>
      <c r="C142" s="184" t="s">
        <v>122</v>
      </c>
      <c r="D142" s="413" t="s">
        <v>171</v>
      </c>
      <c r="E142" s="49">
        <v>0.33333333333333331</v>
      </c>
      <c r="F142" s="49">
        <v>0.6875</v>
      </c>
      <c r="G142" s="93">
        <f t="shared" si="62"/>
        <v>0.35416666666666669</v>
      </c>
      <c r="H142" s="555" t="str">
        <f t="shared" si="72"/>
        <v>0:00</v>
      </c>
      <c r="I142" s="556">
        <f t="shared" si="63"/>
        <v>0</v>
      </c>
      <c r="J142" s="94">
        <f t="shared" si="64"/>
        <v>2.083333333333337E-2</v>
      </c>
      <c r="K142" s="32">
        <f t="shared" si="65"/>
        <v>1</v>
      </c>
      <c r="L142" s="95" t="str">
        <f t="shared" si="66"/>
        <v/>
      </c>
      <c r="M142" s="96">
        <f t="shared" si="67"/>
        <v>1</v>
      </c>
      <c r="N142" s="97">
        <f>IF(M142=0,0,IF(SUM($M$5:M142)&gt;251,1,0))</f>
        <v>0</v>
      </c>
      <c r="O142" s="162">
        <v>5</v>
      </c>
      <c r="P142" s="163">
        <v>0</v>
      </c>
      <c r="Q142" s="98"/>
      <c r="R142" s="520" t="s">
        <v>543</v>
      </c>
      <c r="S142" s="521" t="str">
        <f t="shared" si="79"/>
        <v>放課後児童支援員</v>
      </c>
      <c r="T142" s="522" t="str">
        <f t="shared" si="73"/>
        <v>対象</v>
      </c>
      <c r="U142" s="523" t="s">
        <v>539</v>
      </c>
      <c r="V142" s="99" t="str">
        <f t="shared" si="80"/>
        <v>放課後児童支援員</v>
      </c>
      <c r="W142" s="100" t="str">
        <f t="shared" si="74"/>
        <v>対象</v>
      </c>
      <c r="X142" s="418"/>
      <c r="Y142" s="99">
        <f t="shared" si="81"/>
        <v>0</v>
      </c>
      <c r="Z142" s="100">
        <f t="shared" si="75"/>
        <v>0</v>
      </c>
      <c r="AA142" s="418"/>
      <c r="AB142" s="99">
        <f t="shared" si="82"/>
        <v>0</v>
      </c>
      <c r="AC142" s="100">
        <f t="shared" si="76"/>
        <v>0</v>
      </c>
      <c r="AD142" s="418"/>
      <c r="AE142" s="99">
        <f t="shared" si="83"/>
        <v>0</v>
      </c>
      <c r="AF142" s="100">
        <f t="shared" si="77"/>
        <v>0</v>
      </c>
      <c r="AG142" s="351" t="str">
        <f t="shared" si="78"/>
        <v/>
      </c>
      <c r="AH142" s="272" t="str">
        <f t="shared" si="68"/>
        <v/>
      </c>
      <c r="AI142" s="358" t="str">
        <f t="shared" si="69"/>
        <v/>
      </c>
      <c r="AJ142" s="272" t="str">
        <f t="shared" si="70"/>
        <v/>
      </c>
      <c r="AK142" s="361" t="str">
        <f t="shared" si="71"/>
        <v/>
      </c>
      <c r="AL142" s="11"/>
      <c r="AM142" s="11"/>
      <c r="AN142" s="11"/>
    </row>
    <row r="143" spans="1:40" ht="14.25">
      <c r="A143" s="787"/>
      <c r="B143" s="31" t="s">
        <v>189</v>
      </c>
      <c r="C143" s="184" t="s">
        <v>183</v>
      </c>
      <c r="D143" s="413" t="s">
        <v>173</v>
      </c>
      <c r="E143" s="49"/>
      <c r="F143" s="49"/>
      <c r="G143" s="93">
        <f t="shared" si="62"/>
        <v>0</v>
      </c>
      <c r="H143" s="555" t="str">
        <f t="shared" si="72"/>
        <v>0:00</v>
      </c>
      <c r="I143" s="556">
        <f t="shared" si="63"/>
        <v>0</v>
      </c>
      <c r="J143" s="94">
        <f t="shared" si="64"/>
        <v>0</v>
      </c>
      <c r="K143" s="32">
        <f t="shared" si="65"/>
        <v>0</v>
      </c>
      <c r="L143" s="95" t="str">
        <f t="shared" si="66"/>
        <v/>
      </c>
      <c r="M143" s="96">
        <f t="shared" si="67"/>
        <v>0</v>
      </c>
      <c r="N143" s="97">
        <f>IF(M143=0,0,IF(SUM($M$5:M143)&gt;251,1,0))</f>
        <v>0</v>
      </c>
      <c r="O143" s="162"/>
      <c r="P143" s="163"/>
      <c r="Q143" s="98"/>
      <c r="R143" s="415"/>
      <c r="S143" s="516">
        <f t="shared" si="79"/>
        <v>0</v>
      </c>
      <c r="T143" s="517">
        <f t="shared" si="73"/>
        <v>0</v>
      </c>
      <c r="U143" s="518"/>
      <c r="V143" s="99">
        <f t="shared" si="80"/>
        <v>0</v>
      </c>
      <c r="W143" s="100">
        <f t="shared" si="74"/>
        <v>0</v>
      </c>
      <c r="X143" s="418"/>
      <c r="Y143" s="99">
        <f t="shared" si="81"/>
        <v>0</v>
      </c>
      <c r="Z143" s="100">
        <f t="shared" si="75"/>
        <v>0</v>
      </c>
      <c r="AA143" s="418"/>
      <c r="AB143" s="99">
        <f t="shared" si="82"/>
        <v>0</v>
      </c>
      <c r="AC143" s="100">
        <f t="shared" si="76"/>
        <v>0</v>
      </c>
      <c r="AD143" s="418"/>
      <c r="AE143" s="99">
        <f t="shared" si="83"/>
        <v>0</v>
      </c>
      <c r="AF143" s="100">
        <f t="shared" si="77"/>
        <v>0</v>
      </c>
      <c r="AG143" s="351" t="str">
        <f t="shared" si="78"/>
        <v/>
      </c>
      <c r="AH143" s="272" t="str">
        <f t="shared" si="68"/>
        <v/>
      </c>
      <c r="AI143" s="358" t="str">
        <f t="shared" si="69"/>
        <v/>
      </c>
      <c r="AJ143" s="272" t="str">
        <f t="shared" si="70"/>
        <v/>
      </c>
      <c r="AK143" s="361" t="str">
        <f t="shared" si="71"/>
        <v/>
      </c>
      <c r="AL143" s="11"/>
      <c r="AM143" s="11"/>
      <c r="AN143" s="11"/>
    </row>
    <row r="144" spans="1:40" ht="14.25">
      <c r="A144" s="787"/>
      <c r="B144" s="31" t="s">
        <v>190</v>
      </c>
      <c r="C144" s="184" t="s">
        <v>118</v>
      </c>
      <c r="D144" s="413" t="s">
        <v>171</v>
      </c>
      <c r="E144" s="49">
        <v>0.33333333333333331</v>
      </c>
      <c r="F144" s="49">
        <v>0.7715277777777777</v>
      </c>
      <c r="G144" s="93">
        <f t="shared" si="62"/>
        <v>0.43819444444444439</v>
      </c>
      <c r="H144" s="555" t="str">
        <f t="shared" si="72"/>
        <v>0:00</v>
      </c>
      <c r="I144" s="556">
        <f t="shared" si="63"/>
        <v>0</v>
      </c>
      <c r="J144" s="94">
        <f t="shared" si="64"/>
        <v>0.10486111111111107</v>
      </c>
      <c r="K144" s="32">
        <f t="shared" si="65"/>
        <v>1</v>
      </c>
      <c r="L144" s="95" t="str">
        <f t="shared" si="66"/>
        <v/>
      </c>
      <c r="M144" s="96">
        <f t="shared" si="67"/>
        <v>1</v>
      </c>
      <c r="N144" s="97">
        <f>IF(M144=0,0,IF(SUM($M$5:M144)&gt;251,1,0))</f>
        <v>0</v>
      </c>
      <c r="O144" s="162">
        <v>40</v>
      </c>
      <c r="P144" s="163">
        <v>1</v>
      </c>
      <c r="Q144" s="98"/>
      <c r="R144" s="520" t="s">
        <v>543</v>
      </c>
      <c r="S144" s="521" t="str">
        <f t="shared" si="79"/>
        <v>放課後児童支援員</v>
      </c>
      <c r="T144" s="522" t="str">
        <f t="shared" si="73"/>
        <v>対象</v>
      </c>
      <c r="U144" s="523" t="s">
        <v>539</v>
      </c>
      <c r="V144" s="99" t="str">
        <f t="shared" si="80"/>
        <v>放課後児童支援員</v>
      </c>
      <c r="W144" s="100" t="str">
        <f t="shared" si="74"/>
        <v>対象</v>
      </c>
      <c r="X144" s="418"/>
      <c r="Y144" s="99">
        <f t="shared" si="81"/>
        <v>0</v>
      </c>
      <c r="Z144" s="100">
        <f t="shared" si="75"/>
        <v>0</v>
      </c>
      <c r="AA144" s="418"/>
      <c r="AB144" s="99">
        <f t="shared" si="82"/>
        <v>0</v>
      </c>
      <c r="AC144" s="100">
        <f t="shared" si="76"/>
        <v>0</v>
      </c>
      <c r="AD144" s="418"/>
      <c r="AE144" s="99">
        <f t="shared" si="83"/>
        <v>0</v>
      </c>
      <c r="AF144" s="100">
        <f t="shared" si="77"/>
        <v>0</v>
      </c>
      <c r="AG144" s="351" t="str">
        <f t="shared" si="78"/>
        <v/>
      </c>
      <c r="AH144" s="272" t="str">
        <f t="shared" si="68"/>
        <v/>
      </c>
      <c r="AI144" s="358" t="str">
        <f t="shared" si="69"/>
        <v/>
      </c>
      <c r="AJ144" s="272" t="str">
        <f t="shared" si="70"/>
        <v/>
      </c>
      <c r="AK144" s="361" t="str">
        <f t="shared" si="71"/>
        <v/>
      </c>
      <c r="AL144" s="11"/>
      <c r="AM144" s="11"/>
      <c r="AN144" s="11"/>
    </row>
    <row r="145" spans="1:40" ht="14.25">
      <c r="A145" s="787"/>
      <c r="B145" s="31" t="s">
        <v>191</v>
      </c>
      <c r="C145" s="184" t="s">
        <v>123</v>
      </c>
      <c r="D145" s="413" t="s">
        <v>171</v>
      </c>
      <c r="E145" s="49">
        <v>0.33333333333333331</v>
      </c>
      <c r="F145" s="49">
        <v>0.79166666666666663</v>
      </c>
      <c r="G145" s="93">
        <f t="shared" si="62"/>
        <v>0.45833333333333331</v>
      </c>
      <c r="H145" s="555" t="str">
        <f t="shared" si="72"/>
        <v>0:00</v>
      </c>
      <c r="I145" s="556">
        <f t="shared" si="63"/>
        <v>0</v>
      </c>
      <c r="J145" s="94">
        <f t="shared" si="64"/>
        <v>0.125</v>
      </c>
      <c r="K145" s="32">
        <f t="shared" si="65"/>
        <v>1</v>
      </c>
      <c r="L145" s="95" t="str">
        <f t="shared" si="66"/>
        <v/>
      </c>
      <c r="M145" s="96">
        <f t="shared" si="67"/>
        <v>1</v>
      </c>
      <c r="N145" s="97">
        <f>IF(M145=0,0,IF(SUM($M$5:M145)&gt;251,1,0))</f>
        <v>0</v>
      </c>
      <c r="O145" s="162">
        <v>40</v>
      </c>
      <c r="P145" s="163">
        <v>1</v>
      </c>
      <c r="Q145" s="98"/>
      <c r="R145" s="415" t="s">
        <v>543</v>
      </c>
      <c r="S145" s="516" t="str">
        <f t="shared" si="79"/>
        <v>放課後児童支援員</v>
      </c>
      <c r="T145" s="517" t="str">
        <f t="shared" si="73"/>
        <v>対象</v>
      </c>
      <c r="U145" s="518" t="s">
        <v>539</v>
      </c>
      <c r="V145" s="99" t="str">
        <f t="shared" si="80"/>
        <v>放課後児童支援員</v>
      </c>
      <c r="W145" s="100" t="str">
        <f t="shared" si="74"/>
        <v>対象</v>
      </c>
      <c r="X145" s="418" t="s">
        <v>546</v>
      </c>
      <c r="Y145" s="99" t="str">
        <f t="shared" si="81"/>
        <v>放課後児童支援員</v>
      </c>
      <c r="Z145" s="100" t="str">
        <f t="shared" si="75"/>
        <v>対象</v>
      </c>
      <c r="AA145" s="418"/>
      <c r="AB145" s="99">
        <f t="shared" si="82"/>
        <v>0</v>
      </c>
      <c r="AC145" s="100">
        <f t="shared" si="76"/>
        <v>0</v>
      </c>
      <c r="AD145" s="418"/>
      <c r="AE145" s="99">
        <f t="shared" si="83"/>
        <v>0</v>
      </c>
      <c r="AF145" s="100">
        <f t="shared" si="77"/>
        <v>0</v>
      </c>
      <c r="AG145" s="351" t="str">
        <f t="shared" si="78"/>
        <v/>
      </c>
      <c r="AH145" s="272" t="str">
        <f t="shared" si="68"/>
        <v/>
      </c>
      <c r="AI145" s="358" t="str">
        <f t="shared" si="69"/>
        <v/>
      </c>
      <c r="AJ145" s="272" t="str">
        <f t="shared" si="70"/>
        <v/>
      </c>
      <c r="AK145" s="361" t="str">
        <f t="shared" si="71"/>
        <v/>
      </c>
      <c r="AL145" s="11"/>
      <c r="AM145" s="11"/>
      <c r="AN145" s="11"/>
    </row>
    <row r="146" spans="1:40" ht="14.25">
      <c r="A146" s="787"/>
      <c r="B146" s="31" t="s">
        <v>192</v>
      </c>
      <c r="C146" s="184" t="s">
        <v>119</v>
      </c>
      <c r="D146" s="413" t="s">
        <v>171</v>
      </c>
      <c r="E146" s="49">
        <v>0.33333333333333331</v>
      </c>
      <c r="F146" s="49">
        <v>0.79166666666666663</v>
      </c>
      <c r="G146" s="93">
        <f t="shared" si="62"/>
        <v>0.45833333333333331</v>
      </c>
      <c r="H146" s="555" t="str">
        <f t="shared" si="72"/>
        <v>0:00</v>
      </c>
      <c r="I146" s="556">
        <f t="shared" si="63"/>
        <v>0</v>
      </c>
      <c r="J146" s="94">
        <f t="shared" si="64"/>
        <v>0.125</v>
      </c>
      <c r="K146" s="32">
        <f t="shared" si="65"/>
        <v>1</v>
      </c>
      <c r="L146" s="95" t="str">
        <f t="shared" si="66"/>
        <v/>
      </c>
      <c r="M146" s="96">
        <f t="shared" si="67"/>
        <v>1</v>
      </c>
      <c r="N146" s="97">
        <f>IF(M146=0,0,IF(SUM($M$5:M146)&gt;251,1,0))</f>
        <v>0</v>
      </c>
      <c r="O146" s="162">
        <v>40</v>
      </c>
      <c r="P146" s="163">
        <v>1</v>
      </c>
      <c r="Q146" s="98"/>
      <c r="R146" s="520" t="s">
        <v>543</v>
      </c>
      <c r="S146" s="521" t="str">
        <f t="shared" si="79"/>
        <v>放課後児童支援員</v>
      </c>
      <c r="T146" s="522" t="str">
        <f t="shared" si="73"/>
        <v>対象</v>
      </c>
      <c r="U146" s="523" t="s">
        <v>539</v>
      </c>
      <c r="V146" s="99" t="str">
        <f t="shared" si="80"/>
        <v>放課後児童支援員</v>
      </c>
      <c r="W146" s="100" t="str">
        <f t="shared" si="74"/>
        <v>対象</v>
      </c>
      <c r="X146" s="418" t="s">
        <v>546</v>
      </c>
      <c r="Y146" s="99" t="str">
        <f t="shared" si="81"/>
        <v>放課後児童支援員</v>
      </c>
      <c r="Z146" s="100" t="str">
        <f t="shared" si="75"/>
        <v>対象</v>
      </c>
      <c r="AA146" s="418"/>
      <c r="AB146" s="99">
        <f t="shared" si="82"/>
        <v>0</v>
      </c>
      <c r="AC146" s="100">
        <f t="shared" si="76"/>
        <v>0</v>
      </c>
      <c r="AD146" s="418"/>
      <c r="AE146" s="99">
        <f t="shared" si="83"/>
        <v>0</v>
      </c>
      <c r="AF146" s="100">
        <f t="shared" si="77"/>
        <v>0</v>
      </c>
      <c r="AG146" s="351" t="str">
        <f t="shared" si="78"/>
        <v/>
      </c>
      <c r="AH146" s="272" t="str">
        <f t="shared" si="68"/>
        <v/>
      </c>
      <c r="AI146" s="358" t="str">
        <f t="shared" si="69"/>
        <v/>
      </c>
      <c r="AJ146" s="272" t="str">
        <f t="shared" si="70"/>
        <v/>
      </c>
      <c r="AK146" s="361" t="str">
        <f t="shared" si="71"/>
        <v/>
      </c>
      <c r="AL146" s="11"/>
      <c r="AM146" s="11"/>
      <c r="AN146" s="11"/>
    </row>
    <row r="147" spans="1:40" ht="14.25">
      <c r="A147" s="787"/>
      <c r="B147" s="31" t="s">
        <v>193</v>
      </c>
      <c r="C147" s="184" t="s">
        <v>120</v>
      </c>
      <c r="D147" s="413" t="s">
        <v>171</v>
      </c>
      <c r="E147" s="49">
        <v>0.33333333333333331</v>
      </c>
      <c r="F147" s="49">
        <v>0.79166666666666663</v>
      </c>
      <c r="G147" s="93">
        <f t="shared" si="62"/>
        <v>0.45833333333333331</v>
      </c>
      <c r="H147" s="555" t="str">
        <f t="shared" si="72"/>
        <v>0:00</v>
      </c>
      <c r="I147" s="556">
        <f t="shared" si="63"/>
        <v>0</v>
      </c>
      <c r="J147" s="94">
        <f t="shared" si="64"/>
        <v>0.125</v>
      </c>
      <c r="K147" s="32">
        <f t="shared" si="65"/>
        <v>1</v>
      </c>
      <c r="L147" s="95" t="str">
        <f t="shared" si="66"/>
        <v/>
      </c>
      <c r="M147" s="96">
        <f t="shared" si="67"/>
        <v>1</v>
      </c>
      <c r="N147" s="97">
        <f>IF(M147=0,0,IF(SUM($M$5:M147)&gt;251,1,0))</f>
        <v>0</v>
      </c>
      <c r="O147" s="162">
        <v>40</v>
      </c>
      <c r="P147" s="163">
        <v>1</v>
      </c>
      <c r="Q147" s="98"/>
      <c r="R147" s="415" t="s">
        <v>543</v>
      </c>
      <c r="S147" s="516" t="str">
        <f t="shared" si="79"/>
        <v>放課後児童支援員</v>
      </c>
      <c r="T147" s="517" t="str">
        <f t="shared" si="73"/>
        <v>対象</v>
      </c>
      <c r="U147" s="518" t="s">
        <v>539</v>
      </c>
      <c r="V147" s="99" t="str">
        <f t="shared" si="80"/>
        <v>放課後児童支援員</v>
      </c>
      <c r="W147" s="100" t="str">
        <f t="shared" si="74"/>
        <v>対象</v>
      </c>
      <c r="X147" s="418" t="s">
        <v>546</v>
      </c>
      <c r="Y147" s="99" t="str">
        <f t="shared" si="81"/>
        <v>放課後児童支援員</v>
      </c>
      <c r="Z147" s="100" t="str">
        <f t="shared" si="75"/>
        <v>対象</v>
      </c>
      <c r="AA147" s="418"/>
      <c r="AB147" s="99">
        <f t="shared" si="82"/>
        <v>0</v>
      </c>
      <c r="AC147" s="100">
        <f t="shared" si="76"/>
        <v>0</v>
      </c>
      <c r="AD147" s="418"/>
      <c r="AE147" s="99">
        <f t="shared" si="83"/>
        <v>0</v>
      </c>
      <c r="AF147" s="100">
        <f t="shared" si="77"/>
        <v>0</v>
      </c>
      <c r="AG147" s="351" t="str">
        <f t="shared" si="78"/>
        <v/>
      </c>
      <c r="AH147" s="272" t="str">
        <f t="shared" si="68"/>
        <v/>
      </c>
      <c r="AI147" s="358" t="str">
        <f t="shared" si="69"/>
        <v/>
      </c>
      <c r="AJ147" s="272" t="str">
        <f t="shared" si="70"/>
        <v/>
      </c>
      <c r="AK147" s="361" t="str">
        <f t="shared" si="71"/>
        <v/>
      </c>
      <c r="AL147" s="11"/>
      <c r="AM147" s="11"/>
      <c r="AN147" s="11"/>
    </row>
    <row r="148" spans="1:40" ht="14.25">
      <c r="A148" s="787"/>
      <c r="B148" s="31" t="s">
        <v>194</v>
      </c>
      <c r="C148" s="184" t="s">
        <v>121</v>
      </c>
      <c r="D148" s="413" t="s">
        <v>171</v>
      </c>
      <c r="E148" s="49">
        <v>0.33333333333333331</v>
      </c>
      <c r="F148" s="49">
        <v>0.80555555555555547</v>
      </c>
      <c r="G148" s="93">
        <f t="shared" si="62"/>
        <v>0.47222222222222215</v>
      </c>
      <c r="H148" s="555" t="str">
        <f t="shared" si="72"/>
        <v>0:00</v>
      </c>
      <c r="I148" s="556">
        <f t="shared" si="63"/>
        <v>0</v>
      </c>
      <c r="J148" s="94">
        <f t="shared" si="64"/>
        <v>0.13888888888888884</v>
      </c>
      <c r="K148" s="32">
        <f t="shared" si="65"/>
        <v>1</v>
      </c>
      <c r="L148" s="95" t="str">
        <f t="shared" si="66"/>
        <v/>
      </c>
      <c r="M148" s="96">
        <f t="shared" si="67"/>
        <v>1</v>
      </c>
      <c r="N148" s="97">
        <f>IF(M148=0,0,IF(SUM($M$5:M148)&gt;251,1,0))</f>
        <v>0</v>
      </c>
      <c r="O148" s="162">
        <v>40</v>
      </c>
      <c r="P148" s="163">
        <v>1</v>
      </c>
      <c r="Q148" s="98"/>
      <c r="R148" s="513" t="s">
        <v>543</v>
      </c>
      <c r="S148" s="99" t="str">
        <f t="shared" si="79"/>
        <v>放課後児童支援員</v>
      </c>
      <c r="T148" s="100" t="str">
        <f t="shared" si="73"/>
        <v>対象</v>
      </c>
      <c r="U148" s="514" t="s">
        <v>539</v>
      </c>
      <c r="V148" s="99" t="str">
        <f t="shared" si="80"/>
        <v>放課後児童支援員</v>
      </c>
      <c r="W148" s="100" t="str">
        <f t="shared" si="74"/>
        <v>対象</v>
      </c>
      <c r="X148" s="418" t="s">
        <v>546</v>
      </c>
      <c r="Y148" s="99" t="str">
        <f t="shared" si="81"/>
        <v>放課後児童支援員</v>
      </c>
      <c r="Z148" s="100" t="str">
        <f t="shared" si="75"/>
        <v>対象</v>
      </c>
      <c r="AA148" s="418"/>
      <c r="AB148" s="99">
        <f t="shared" si="82"/>
        <v>0</v>
      </c>
      <c r="AC148" s="100">
        <f t="shared" si="76"/>
        <v>0</v>
      </c>
      <c r="AD148" s="418"/>
      <c r="AE148" s="99">
        <f t="shared" si="83"/>
        <v>0</v>
      </c>
      <c r="AF148" s="100">
        <f t="shared" si="77"/>
        <v>0</v>
      </c>
      <c r="AG148" s="351" t="str">
        <f t="shared" si="78"/>
        <v/>
      </c>
      <c r="AH148" s="272" t="str">
        <f t="shared" si="68"/>
        <v/>
      </c>
      <c r="AI148" s="358" t="str">
        <f t="shared" si="69"/>
        <v/>
      </c>
      <c r="AJ148" s="272" t="str">
        <f t="shared" si="70"/>
        <v/>
      </c>
      <c r="AK148" s="361" t="str">
        <f t="shared" si="71"/>
        <v/>
      </c>
      <c r="AL148" s="11"/>
      <c r="AM148" s="11"/>
      <c r="AN148" s="11"/>
    </row>
    <row r="149" spans="1:40" ht="14.25">
      <c r="A149" s="787"/>
      <c r="B149" s="31" t="s">
        <v>195</v>
      </c>
      <c r="C149" s="184" t="s">
        <v>122</v>
      </c>
      <c r="D149" s="413" t="s">
        <v>171</v>
      </c>
      <c r="E149" s="49">
        <v>0.33333333333333331</v>
      </c>
      <c r="F149" s="49">
        <v>0.6875</v>
      </c>
      <c r="G149" s="93">
        <f t="shared" si="62"/>
        <v>0.35416666666666669</v>
      </c>
      <c r="H149" s="555" t="str">
        <f t="shared" si="72"/>
        <v>0:00</v>
      </c>
      <c r="I149" s="556">
        <f t="shared" si="63"/>
        <v>0</v>
      </c>
      <c r="J149" s="94">
        <f t="shared" si="64"/>
        <v>2.083333333333337E-2</v>
      </c>
      <c r="K149" s="32">
        <f t="shared" si="65"/>
        <v>1</v>
      </c>
      <c r="L149" s="95" t="str">
        <f t="shared" si="66"/>
        <v/>
      </c>
      <c r="M149" s="96">
        <f t="shared" si="67"/>
        <v>1</v>
      </c>
      <c r="N149" s="97">
        <f>IF(M149=0,0,IF(SUM($M$5:M149)&gt;251,1,0))</f>
        <v>0</v>
      </c>
      <c r="O149" s="162">
        <v>5</v>
      </c>
      <c r="P149" s="163">
        <v>0</v>
      </c>
      <c r="Q149" s="98"/>
      <c r="R149" s="415" t="s">
        <v>543</v>
      </c>
      <c r="S149" s="99" t="str">
        <f t="shared" si="79"/>
        <v>放課後児童支援員</v>
      </c>
      <c r="T149" s="100" t="str">
        <f t="shared" si="73"/>
        <v>対象</v>
      </c>
      <c r="U149" s="418" t="s">
        <v>539</v>
      </c>
      <c r="V149" s="99" t="str">
        <f t="shared" si="80"/>
        <v>放課後児童支援員</v>
      </c>
      <c r="W149" s="100" t="str">
        <f t="shared" si="74"/>
        <v>対象</v>
      </c>
      <c r="X149" s="418" t="s">
        <v>546</v>
      </c>
      <c r="Y149" s="99" t="str">
        <f t="shared" si="81"/>
        <v>放課後児童支援員</v>
      </c>
      <c r="Z149" s="100" t="str">
        <f t="shared" si="75"/>
        <v>対象</v>
      </c>
      <c r="AA149" s="418"/>
      <c r="AB149" s="99">
        <f t="shared" si="82"/>
        <v>0</v>
      </c>
      <c r="AC149" s="100">
        <f t="shared" si="76"/>
        <v>0</v>
      </c>
      <c r="AD149" s="418"/>
      <c r="AE149" s="99">
        <f t="shared" si="83"/>
        <v>0</v>
      </c>
      <c r="AF149" s="100">
        <f t="shared" si="77"/>
        <v>0</v>
      </c>
      <c r="AG149" s="351" t="str">
        <f t="shared" si="78"/>
        <v/>
      </c>
      <c r="AH149" s="272" t="str">
        <f t="shared" si="68"/>
        <v/>
      </c>
      <c r="AI149" s="358" t="str">
        <f t="shared" si="69"/>
        <v/>
      </c>
      <c r="AJ149" s="272" t="str">
        <f t="shared" si="70"/>
        <v/>
      </c>
      <c r="AK149" s="361" t="str">
        <f t="shared" si="71"/>
        <v/>
      </c>
      <c r="AL149" s="11"/>
      <c r="AM149" s="11"/>
      <c r="AN149" s="11"/>
    </row>
    <row r="150" spans="1:40" ht="14.25">
      <c r="A150" s="787"/>
      <c r="B150" s="31" t="s">
        <v>196</v>
      </c>
      <c r="C150" s="184" t="s">
        <v>183</v>
      </c>
      <c r="D150" s="413" t="s">
        <v>173</v>
      </c>
      <c r="E150" s="49"/>
      <c r="F150" s="49"/>
      <c r="G150" s="93">
        <f t="shared" si="62"/>
        <v>0</v>
      </c>
      <c r="H150" s="555" t="str">
        <f t="shared" si="72"/>
        <v>0:00</v>
      </c>
      <c r="I150" s="556">
        <f t="shared" si="63"/>
        <v>0</v>
      </c>
      <c r="J150" s="94">
        <f t="shared" si="64"/>
        <v>0</v>
      </c>
      <c r="K150" s="32">
        <f t="shared" si="65"/>
        <v>0</v>
      </c>
      <c r="L150" s="95" t="str">
        <f t="shared" si="66"/>
        <v/>
      </c>
      <c r="M150" s="96">
        <f t="shared" si="67"/>
        <v>0</v>
      </c>
      <c r="N150" s="97">
        <f>IF(M150=0,0,IF(SUM($M$5:M150)&gt;251,1,0))</f>
        <v>0</v>
      </c>
      <c r="O150" s="162"/>
      <c r="P150" s="163"/>
      <c r="Q150" s="98"/>
      <c r="R150" s="524"/>
      <c r="S150" s="521">
        <f t="shared" si="79"/>
        <v>0</v>
      </c>
      <c r="T150" s="522">
        <f t="shared" si="73"/>
        <v>0</v>
      </c>
      <c r="U150" s="525"/>
      <c r="V150" s="99">
        <f t="shared" si="80"/>
        <v>0</v>
      </c>
      <c r="W150" s="100">
        <f t="shared" si="74"/>
        <v>0</v>
      </c>
      <c r="X150" s="418"/>
      <c r="Y150" s="99">
        <f t="shared" si="81"/>
        <v>0</v>
      </c>
      <c r="Z150" s="100">
        <f t="shared" si="75"/>
        <v>0</v>
      </c>
      <c r="AA150" s="418"/>
      <c r="AB150" s="99">
        <f t="shared" si="82"/>
        <v>0</v>
      </c>
      <c r="AC150" s="100">
        <f t="shared" si="76"/>
        <v>0</v>
      </c>
      <c r="AD150" s="418"/>
      <c r="AE150" s="99">
        <f t="shared" si="83"/>
        <v>0</v>
      </c>
      <c r="AF150" s="100">
        <f t="shared" si="77"/>
        <v>0</v>
      </c>
      <c r="AG150" s="351" t="str">
        <f t="shared" si="78"/>
        <v/>
      </c>
      <c r="AH150" s="272" t="str">
        <f t="shared" si="68"/>
        <v/>
      </c>
      <c r="AI150" s="358" t="str">
        <f t="shared" si="69"/>
        <v/>
      </c>
      <c r="AJ150" s="272" t="str">
        <f t="shared" si="70"/>
        <v/>
      </c>
      <c r="AK150" s="361" t="str">
        <f t="shared" si="71"/>
        <v/>
      </c>
      <c r="AL150" s="11"/>
      <c r="AM150" s="11"/>
      <c r="AN150" s="11"/>
    </row>
    <row r="151" spans="1:40" ht="14.25">
      <c r="A151" s="787"/>
      <c r="B151" s="31" t="s">
        <v>197</v>
      </c>
      <c r="C151" s="184" t="s">
        <v>118</v>
      </c>
      <c r="D151" s="413" t="s">
        <v>171</v>
      </c>
      <c r="E151" s="49">
        <v>0.33333333333333331</v>
      </c>
      <c r="F151" s="49">
        <v>0.7715277777777777</v>
      </c>
      <c r="G151" s="93">
        <f t="shared" si="62"/>
        <v>0.43819444444444439</v>
      </c>
      <c r="H151" s="555" t="str">
        <f t="shared" si="72"/>
        <v>0:00</v>
      </c>
      <c r="I151" s="556">
        <f t="shared" si="63"/>
        <v>0</v>
      </c>
      <c r="J151" s="94">
        <f t="shared" si="64"/>
        <v>0.10486111111111107</v>
      </c>
      <c r="K151" s="32">
        <f t="shared" si="65"/>
        <v>1</v>
      </c>
      <c r="L151" s="95" t="str">
        <f t="shared" si="66"/>
        <v/>
      </c>
      <c r="M151" s="96">
        <f t="shared" si="67"/>
        <v>1</v>
      </c>
      <c r="N151" s="97">
        <f>IF(M151=0,0,IF(SUM($M$5:M151)&gt;251,1,0))</f>
        <v>0</v>
      </c>
      <c r="O151" s="162">
        <v>40</v>
      </c>
      <c r="P151" s="163">
        <v>1</v>
      </c>
      <c r="Q151" s="98"/>
      <c r="R151" s="415" t="s">
        <v>543</v>
      </c>
      <c r="S151" s="516" t="str">
        <f t="shared" si="79"/>
        <v>放課後児童支援員</v>
      </c>
      <c r="T151" s="517" t="str">
        <f t="shared" si="73"/>
        <v>対象</v>
      </c>
      <c r="U151" s="518" t="s">
        <v>539</v>
      </c>
      <c r="V151" s="99" t="str">
        <f t="shared" si="80"/>
        <v>放課後児童支援員</v>
      </c>
      <c r="W151" s="100" t="str">
        <f t="shared" si="74"/>
        <v>対象</v>
      </c>
      <c r="X151" s="418"/>
      <c r="Y151" s="99">
        <f t="shared" si="81"/>
        <v>0</v>
      </c>
      <c r="Z151" s="100">
        <f t="shared" si="75"/>
        <v>0</v>
      </c>
      <c r="AA151" s="418"/>
      <c r="AB151" s="99">
        <f t="shared" si="82"/>
        <v>0</v>
      </c>
      <c r="AC151" s="100">
        <f t="shared" si="76"/>
        <v>0</v>
      </c>
      <c r="AD151" s="418"/>
      <c r="AE151" s="99">
        <f t="shared" si="83"/>
        <v>0</v>
      </c>
      <c r="AF151" s="100">
        <f t="shared" si="77"/>
        <v>0</v>
      </c>
      <c r="AG151" s="351" t="str">
        <f t="shared" si="78"/>
        <v/>
      </c>
      <c r="AH151" s="272" t="str">
        <f t="shared" si="68"/>
        <v/>
      </c>
      <c r="AI151" s="358" t="str">
        <f t="shared" si="69"/>
        <v/>
      </c>
      <c r="AJ151" s="272" t="str">
        <f t="shared" si="70"/>
        <v/>
      </c>
      <c r="AK151" s="361" t="str">
        <f t="shared" si="71"/>
        <v/>
      </c>
      <c r="AL151" s="11"/>
      <c r="AM151" s="11"/>
      <c r="AN151" s="11"/>
    </row>
    <row r="152" spans="1:40" ht="14.25">
      <c r="A152" s="787"/>
      <c r="B152" s="31" t="s">
        <v>198</v>
      </c>
      <c r="C152" s="184" t="s">
        <v>123</v>
      </c>
      <c r="D152" s="413" t="s">
        <v>171</v>
      </c>
      <c r="E152" s="49">
        <v>0.33333333333333331</v>
      </c>
      <c r="F152" s="49">
        <v>0.79166666666666663</v>
      </c>
      <c r="G152" s="93">
        <f t="shared" si="62"/>
        <v>0.45833333333333331</v>
      </c>
      <c r="H152" s="555" t="str">
        <f t="shared" si="72"/>
        <v>0:00</v>
      </c>
      <c r="I152" s="556">
        <f t="shared" si="63"/>
        <v>0</v>
      </c>
      <c r="J152" s="94">
        <f t="shared" si="64"/>
        <v>0.125</v>
      </c>
      <c r="K152" s="32">
        <f t="shared" si="65"/>
        <v>1</v>
      </c>
      <c r="L152" s="95" t="str">
        <f t="shared" si="66"/>
        <v/>
      </c>
      <c r="M152" s="96">
        <f t="shared" si="67"/>
        <v>1</v>
      </c>
      <c r="N152" s="97">
        <f>IF(M152=0,0,IF(SUM($M$5:M152)&gt;251,1,0))</f>
        <v>0</v>
      </c>
      <c r="O152" s="162">
        <v>40</v>
      </c>
      <c r="P152" s="163">
        <v>1</v>
      </c>
      <c r="Q152" s="98"/>
      <c r="R152" s="520" t="s">
        <v>543</v>
      </c>
      <c r="S152" s="521" t="str">
        <f t="shared" si="79"/>
        <v>放課後児童支援員</v>
      </c>
      <c r="T152" s="522" t="str">
        <f t="shared" si="73"/>
        <v>対象</v>
      </c>
      <c r="U152" s="523" t="s">
        <v>539</v>
      </c>
      <c r="V152" s="99" t="str">
        <f t="shared" si="80"/>
        <v>放課後児童支援員</v>
      </c>
      <c r="W152" s="100" t="str">
        <f t="shared" si="74"/>
        <v>対象</v>
      </c>
      <c r="X152" s="418" t="s">
        <v>546</v>
      </c>
      <c r="Y152" s="99" t="str">
        <f t="shared" si="81"/>
        <v>放課後児童支援員</v>
      </c>
      <c r="Z152" s="100" t="str">
        <f t="shared" si="75"/>
        <v>対象</v>
      </c>
      <c r="AA152" s="418"/>
      <c r="AB152" s="99">
        <f t="shared" si="82"/>
        <v>0</v>
      </c>
      <c r="AC152" s="100">
        <f t="shared" si="76"/>
        <v>0</v>
      </c>
      <c r="AD152" s="418"/>
      <c r="AE152" s="99">
        <f t="shared" si="83"/>
        <v>0</v>
      </c>
      <c r="AF152" s="100">
        <f t="shared" si="77"/>
        <v>0</v>
      </c>
      <c r="AG152" s="351" t="str">
        <f t="shared" si="78"/>
        <v/>
      </c>
      <c r="AH152" s="272" t="str">
        <f t="shared" si="68"/>
        <v/>
      </c>
      <c r="AI152" s="358" t="str">
        <f t="shared" si="69"/>
        <v/>
      </c>
      <c r="AJ152" s="272" t="str">
        <f t="shared" si="70"/>
        <v/>
      </c>
      <c r="AK152" s="361" t="str">
        <f t="shared" si="71"/>
        <v/>
      </c>
      <c r="AL152" s="11"/>
      <c r="AM152" s="11"/>
      <c r="AN152" s="11"/>
    </row>
    <row r="153" spans="1:40" ht="14.25">
      <c r="A153" s="787"/>
      <c r="B153" s="31" t="s">
        <v>199</v>
      </c>
      <c r="C153" s="184" t="s">
        <v>119</v>
      </c>
      <c r="D153" s="413" t="s">
        <v>171</v>
      </c>
      <c r="E153" s="49">
        <v>0.33333333333333331</v>
      </c>
      <c r="F153" s="49">
        <v>0.79166666666666663</v>
      </c>
      <c r="G153" s="93">
        <f t="shared" si="62"/>
        <v>0.45833333333333331</v>
      </c>
      <c r="H153" s="555" t="str">
        <f t="shared" si="72"/>
        <v>0:00</v>
      </c>
      <c r="I153" s="556">
        <f t="shared" si="63"/>
        <v>0</v>
      </c>
      <c r="J153" s="94">
        <f t="shared" si="64"/>
        <v>0.125</v>
      </c>
      <c r="K153" s="32">
        <f t="shared" si="65"/>
        <v>1</v>
      </c>
      <c r="L153" s="95" t="str">
        <f t="shared" si="66"/>
        <v/>
      </c>
      <c r="M153" s="96">
        <f t="shared" si="67"/>
        <v>1</v>
      </c>
      <c r="N153" s="97">
        <f>IF(M153=0,0,IF(SUM($M$5:M153)&gt;251,1,0))</f>
        <v>0</v>
      </c>
      <c r="O153" s="162">
        <v>40</v>
      </c>
      <c r="P153" s="163">
        <v>1</v>
      </c>
      <c r="Q153" s="98"/>
      <c r="R153" s="415" t="s">
        <v>543</v>
      </c>
      <c r="S153" s="516" t="str">
        <f t="shared" si="79"/>
        <v>放課後児童支援員</v>
      </c>
      <c r="T153" s="517" t="str">
        <f t="shared" si="73"/>
        <v>対象</v>
      </c>
      <c r="U153" s="518" t="s">
        <v>539</v>
      </c>
      <c r="V153" s="99" t="str">
        <f t="shared" si="80"/>
        <v>放課後児童支援員</v>
      </c>
      <c r="W153" s="100" t="str">
        <f t="shared" si="74"/>
        <v>対象</v>
      </c>
      <c r="X153" s="418" t="s">
        <v>546</v>
      </c>
      <c r="Y153" s="99" t="str">
        <f t="shared" si="81"/>
        <v>放課後児童支援員</v>
      </c>
      <c r="Z153" s="100" t="str">
        <f t="shared" si="75"/>
        <v>対象</v>
      </c>
      <c r="AA153" s="418"/>
      <c r="AB153" s="99">
        <f t="shared" si="82"/>
        <v>0</v>
      </c>
      <c r="AC153" s="100">
        <f t="shared" si="76"/>
        <v>0</v>
      </c>
      <c r="AD153" s="418"/>
      <c r="AE153" s="99">
        <f t="shared" si="83"/>
        <v>0</v>
      </c>
      <c r="AF153" s="100">
        <f t="shared" si="77"/>
        <v>0</v>
      </c>
      <c r="AG153" s="351" t="str">
        <f t="shared" si="78"/>
        <v/>
      </c>
      <c r="AH153" s="272" t="str">
        <f t="shared" si="68"/>
        <v/>
      </c>
      <c r="AI153" s="358" t="str">
        <f t="shared" si="69"/>
        <v/>
      </c>
      <c r="AJ153" s="272" t="str">
        <f t="shared" si="70"/>
        <v/>
      </c>
      <c r="AK153" s="361" t="str">
        <f t="shared" si="71"/>
        <v/>
      </c>
      <c r="AL153" s="11"/>
      <c r="AM153" s="11"/>
      <c r="AN153" s="11"/>
    </row>
    <row r="154" spans="1:40" ht="14.25">
      <c r="A154" s="787"/>
      <c r="B154" s="31" t="s">
        <v>200</v>
      </c>
      <c r="C154" s="184" t="s">
        <v>120</v>
      </c>
      <c r="D154" s="413" t="s">
        <v>171</v>
      </c>
      <c r="E154" s="49">
        <v>0.33333333333333331</v>
      </c>
      <c r="F154" s="49">
        <v>0.79166666666666663</v>
      </c>
      <c r="G154" s="93">
        <f t="shared" si="62"/>
        <v>0.45833333333333331</v>
      </c>
      <c r="H154" s="555" t="str">
        <f t="shared" si="72"/>
        <v>0:00</v>
      </c>
      <c r="I154" s="556">
        <f t="shared" si="63"/>
        <v>0</v>
      </c>
      <c r="J154" s="94">
        <f t="shared" si="64"/>
        <v>0.125</v>
      </c>
      <c r="K154" s="32">
        <f t="shared" si="65"/>
        <v>1</v>
      </c>
      <c r="L154" s="95" t="str">
        <f t="shared" si="66"/>
        <v/>
      </c>
      <c r="M154" s="96">
        <f t="shared" si="67"/>
        <v>1</v>
      </c>
      <c r="N154" s="97">
        <f>IF(M154=0,0,IF(SUM($M$5:M154)&gt;251,1,0))</f>
        <v>0</v>
      </c>
      <c r="O154" s="162">
        <v>40</v>
      </c>
      <c r="P154" s="163">
        <v>1</v>
      </c>
      <c r="Q154" s="98"/>
      <c r="R154" s="520" t="s">
        <v>543</v>
      </c>
      <c r="S154" s="521" t="str">
        <f t="shared" si="79"/>
        <v>放課後児童支援員</v>
      </c>
      <c r="T154" s="522" t="str">
        <f t="shared" si="73"/>
        <v>対象</v>
      </c>
      <c r="U154" s="523" t="s">
        <v>539</v>
      </c>
      <c r="V154" s="99" t="str">
        <f t="shared" si="80"/>
        <v>放課後児童支援員</v>
      </c>
      <c r="W154" s="100" t="str">
        <f t="shared" si="74"/>
        <v>対象</v>
      </c>
      <c r="X154" s="418" t="s">
        <v>546</v>
      </c>
      <c r="Y154" s="99" t="str">
        <f t="shared" si="81"/>
        <v>放課後児童支援員</v>
      </c>
      <c r="Z154" s="100" t="str">
        <f t="shared" si="75"/>
        <v>対象</v>
      </c>
      <c r="AA154" s="418"/>
      <c r="AB154" s="99">
        <f t="shared" si="82"/>
        <v>0</v>
      </c>
      <c r="AC154" s="100">
        <f t="shared" si="76"/>
        <v>0</v>
      </c>
      <c r="AD154" s="418"/>
      <c r="AE154" s="99">
        <f t="shared" si="83"/>
        <v>0</v>
      </c>
      <c r="AF154" s="100">
        <f t="shared" si="77"/>
        <v>0</v>
      </c>
      <c r="AG154" s="351" t="str">
        <f t="shared" si="78"/>
        <v/>
      </c>
      <c r="AH154" s="272" t="str">
        <f t="shared" si="68"/>
        <v/>
      </c>
      <c r="AI154" s="358" t="str">
        <f t="shared" si="69"/>
        <v/>
      </c>
      <c r="AJ154" s="272" t="str">
        <f t="shared" si="70"/>
        <v/>
      </c>
      <c r="AK154" s="361" t="str">
        <f t="shared" si="71"/>
        <v/>
      </c>
      <c r="AL154" s="11"/>
      <c r="AM154" s="11"/>
      <c r="AN154" s="11"/>
    </row>
    <row r="155" spans="1:40" ht="14.25">
      <c r="A155" s="787"/>
      <c r="B155" s="31" t="s">
        <v>201</v>
      </c>
      <c r="C155" s="184" t="s">
        <v>121</v>
      </c>
      <c r="D155" s="413" t="s">
        <v>171</v>
      </c>
      <c r="E155" s="49">
        <v>0.33333333333333331</v>
      </c>
      <c r="F155" s="49">
        <v>0.80555555555555547</v>
      </c>
      <c r="G155" s="93">
        <f t="shared" si="62"/>
        <v>0.47222222222222215</v>
      </c>
      <c r="H155" s="555" t="str">
        <f t="shared" si="72"/>
        <v>0:00</v>
      </c>
      <c r="I155" s="556">
        <f t="shared" si="63"/>
        <v>0</v>
      </c>
      <c r="J155" s="94">
        <f t="shared" si="64"/>
        <v>0.13888888888888884</v>
      </c>
      <c r="K155" s="32">
        <f t="shared" si="65"/>
        <v>1</v>
      </c>
      <c r="L155" s="95" t="str">
        <f t="shared" si="66"/>
        <v/>
      </c>
      <c r="M155" s="96">
        <f t="shared" si="67"/>
        <v>1</v>
      </c>
      <c r="N155" s="97">
        <f>IF(M155=0,0,IF(SUM($M$5:M155)&gt;251,1,0))</f>
        <v>0</v>
      </c>
      <c r="O155" s="162">
        <v>40</v>
      </c>
      <c r="P155" s="163">
        <v>1</v>
      </c>
      <c r="Q155" s="98"/>
      <c r="R155" s="415" t="s">
        <v>543</v>
      </c>
      <c r="S155" s="516" t="str">
        <f t="shared" si="79"/>
        <v>放課後児童支援員</v>
      </c>
      <c r="T155" s="517" t="str">
        <f t="shared" si="73"/>
        <v>対象</v>
      </c>
      <c r="U155" s="518" t="s">
        <v>539</v>
      </c>
      <c r="V155" s="99" t="str">
        <f t="shared" si="80"/>
        <v>放課後児童支援員</v>
      </c>
      <c r="W155" s="100" t="str">
        <f t="shared" si="74"/>
        <v>対象</v>
      </c>
      <c r="X155" s="418" t="s">
        <v>546</v>
      </c>
      <c r="Y155" s="99" t="str">
        <f t="shared" si="81"/>
        <v>放課後児童支援員</v>
      </c>
      <c r="Z155" s="100" t="str">
        <f t="shared" si="75"/>
        <v>対象</v>
      </c>
      <c r="AA155" s="418"/>
      <c r="AB155" s="99">
        <f t="shared" si="82"/>
        <v>0</v>
      </c>
      <c r="AC155" s="100">
        <f t="shared" si="76"/>
        <v>0</v>
      </c>
      <c r="AD155" s="418"/>
      <c r="AE155" s="99">
        <f t="shared" si="83"/>
        <v>0</v>
      </c>
      <c r="AF155" s="100">
        <f t="shared" si="77"/>
        <v>0</v>
      </c>
      <c r="AG155" s="351" t="str">
        <f t="shared" si="78"/>
        <v/>
      </c>
      <c r="AH155" s="272" t="str">
        <f t="shared" si="68"/>
        <v/>
      </c>
      <c r="AI155" s="358" t="str">
        <f t="shared" si="69"/>
        <v/>
      </c>
      <c r="AJ155" s="272" t="str">
        <f t="shared" si="70"/>
        <v/>
      </c>
      <c r="AK155" s="361" t="str">
        <f t="shared" si="71"/>
        <v/>
      </c>
      <c r="AL155" s="11"/>
      <c r="AM155" s="11"/>
      <c r="AN155" s="11"/>
    </row>
    <row r="156" spans="1:40" ht="14.25">
      <c r="A156" s="787"/>
      <c r="B156" s="31" t="s">
        <v>202</v>
      </c>
      <c r="C156" s="184" t="s">
        <v>122</v>
      </c>
      <c r="D156" s="413" t="s">
        <v>171</v>
      </c>
      <c r="E156" s="49">
        <v>0.33333333333333331</v>
      </c>
      <c r="F156" s="49">
        <v>0.6875</v>
      </c>
      <c r="G156" s="93">
        <f t="shared" si="62"/>
        <v>0.35416666666666669</v>
      </c>
      <c r="H156" s="555" t="str">
        <f t="shared" si="72"/>
        <v>0:00</v>
      </c>
      <c r="I156" s="556">
        <f t="shared" si="63"/>
        <v>0</v>
      </c>
      <c r="J156" s="94">
        <f t="shared" si="64"/>
        <v>2.083333333333337E-2</v>
      </c>
      <c r="K156" s="32">
        <f t="shared" si="65"/>
        <v>1</v>
      </c>
      <c r="L156" s="95" t="str">
        <f t="shared" si="66"/>
        <v/>
      </c>
      <c r="M156" s="96">
        <f t="shared" si="67"/>
        <v>1</v>
      </c>
      <c r="N156" s="97">
        <f>IF(M156=0,0,IF(SUM($M$5:M156)&gt;251,1,0))</f>
        <v>0</v>
      </c>
      <c r="O156" s="162">
        <v>5</v>
      </c>
      <c r="P156" s="163">
        <v>0</v>
      </c>
      <c r="Q156" s="98"/>
      <c r="R156" s="415" t="s">
        <v>543</v>
      </c>
      <c r="S156" s="99" t="str">
        <f t="shared" si="79"/>
        <v>放課後児童支援員</v>
      </c>
      <c r="T156" s="100" t="str">
        <f t="shared" si="73"/>
        <v>対象</v>
      </c>
      <c r="U156" s="418" t="s">
        <v>539</v>
      </c>
      <c r="V156" s="99" t="str">
        <f t="shared" si="80"/>
        <v>放課後児童支援員</v>
      </c>
      <c r="W156" s="100" t="str">
        <f t="shared" si="74"/>
        <v>対象</v>
      </c>
      <c r="X156" s="418" t="s">
        <v>546</v>
      </c>
      <c r="Y156" s="99" t="str">
        <f t="shared" si="81"/>
        <v>放課後児童支援員</v>
      </c>
      <c r="Z156" s="100" t="str">
        <f t="shared" si="75"/>
        <v>対象</v>
      </c>
      <c r="AA156" s="418"/>
      <c r="AB156" s="99">
        <f t="shared" si="82"/>
        <v>0</v>
      </c>
      <c r="AC156" s="100">
        <f t="shared" si="76"/>
        <v>0</v>
      </c>
      <c r="AD156" s="418"/>
      <c r="AE156" s="99">
        <f t="shared" si="83"/>
        <v>0</v>
      </c>
      <c r="AF156" s="100">
        <f t="shared" si="77"/>
        <v>0</v>
      </c>
      <c r="AG156" s="351" t="str">
        <f t="shared" si="78"/>
        <v/>
      </c>
      <c r="AH156" s="272" t="str">
        <f t="shared" si="68"/>
        <v/>
      </c>
      <c r="AI156" s="358" t="str">
        <f t="shared" si="69"/>
        <v/>
      </c>
      <c r="AJ156" s="272" t="str">
        <f t="shared" si="70"/>
        <v/>
      </c>
      <c r="AK156" s="361" t="str">
        <f t="shared" si="71"/>
        <v/>
      </c>
      <c r="AL156" s="11"/>
      <c r="AM156" s="11"/>
      <c r="AN156" s="11"/>
    </row>
    <row r="157" spans="1:40" ht="15" thickBot="1">
      <c r="A157" s="788"/>
      <c r="B157" s="33" t="s">
        <v>213</v>
      </c>
      <c r="C157" s="184" t="s">
        <v>183</v>
      </c>
      <c r="D157" s="413" t="s">
        <v>173</v>
      </c>
      <c r="E157" s="50"/>
      <c r="F157" s="50"/>
      <c r="G157" s="101">
        <f t="shared" si="62"/>
        <v>0</v>
      </c>
      <c r="H157" s="555" t="str">
        <f t="shared" si="72"/>
        <v>0:00</v>
      </c>
      <c r="I157" s="557">
        <f t="shared" si="63"/>
        <v>0</v>
      </c>
      <c r="J157" s="102">
        <f t="shared" si="64"/>
        <v>0</v>
      </c>
      <c r="K157" s="34">
        <f t="shared" si="65"/>
        <v>0</v>
      </c>
      <c r="L157" s="103" t="str">
        <f t="shared" si="66"/>
        <v/>
      </c>
      <c r="M157" s="104">
        <f t="shared" si="67"/>
        <v>0</v>
      </c>
      <c r="N157" s="105">
        <f>IF(M157=0,0,IF(SUM($M$5:M157)&gt;251,1,0))</f>
        <v>0</v>
      </c>
      <c r="O157" s="195"/>
      <c r="P157" s="196"/>
      <c r="Q157" s="108">
        <f>SUM(O127:O157)</f>
        <v>855</v>
      </c>
      <c r="R157" s="416"/>
      <c r="S157" s="185">
        <f t="shared" si="79"/>
        <v>0</v>
      </c>
      <c r="T157" s="107">
        <f t="shared" si="73"/>
        <v>0</v>
      </c>
      <c r="U157" s="419"/>
      <c r="V157" s="185">
        <f t="shared" si="80"/>
        <v>0</v>
      </c>
      <c r="W157" s="107">
        <f t="shared" si="74"/>
        <v>0</v>
      </c>
      <c r="X157" s="419"/>
      <c r="Y157" s="185">
        <f t="shared" si="81"/>
        <v>0</v>
      </c>
      <c r="Z157" s="107">
        <f t="shared" si="75"/>
        <v>0</v>
      </c>
      <c r="AA157" s="419"/>
      <c r="AB157" s="185">
        <f t="shared" si="82"/>
        <v>0</v>
      </c>
      <c r="AC157" s="107">
        <f t="shared" si="76"/>
        <v>0</v>
      </c>
      <c r="AD157" s="419"/>
      <c r="AE157" s="185">
        <f t="shared" si="83"/>
        <v>0</v>
      </c>
      <c r="AF157" s="107">
        <f t="shared" si="77"/>
        <v>0</v>
      </c>
      <c r="AG157" s="182" t="str">
        <f t="shared" si="78"/>
        <v/>
      </c>
      <c r="AH157" s="273" t="str">
        <f t="shared" si="68"/>
        <v/>
      </c>
      <c r="AI157" s="464" t="str">
        <f t="shared" si="69"/>
        <v/>
      </c>
      <c r="AJ157" s="273" t="str">
        <f t="shared" si="70"/>
        <v/>
      </c>
      <c r="AK157" s="362" t="str">
        <f t="shared" si="71"/>
        <v/>
      </c>
      <c r="AL157" s="11"/>
      <c r="AM157" s="11"/>
      <c r="AN157" s="11"/>
    </row>
    <row r="158" spans="1:40" ht="14.25">
      <c r="A158" s="786" t="s">
        <v>206</v>
      </c>
      <c r="B158" s="27" t="s">
        <v>170</v>
      </c>
      <c r="C158" s="184" t="s">
        <v>118</v>
      </c>
      <c r="D158" s="413" t="s">
        <v>171</v>
      </c>
      <c r="E158" s="49">
        <v>0.33333333333333331</v>
      </c>
      <c r="F158" s="49">
        <v>0.7715277777777777</v>
      </c>
      <c r="G158" s="85">
        <f t="shared" si="62"/>
        <v>0.43819444444444439</v>
      </c>
      <c r="H158" s="555" t="str">
        <f t="shared" si="72"/>
        <v>0:00</v>
      </c>
      <c r="I158" s="558">
        <f t="shared" si="63"/>
        <v>0</v>
      </c>
      <c r="J158" s="86">
        <f t="shared" si="64"/>
        <v>0.10486111111111107</v>
      </c>
      <c r="K158" s="29">
        <f t="shared" si="65"/>
        <v>1</v>
      </c>
      <c r="L158" s="87" t="str">
        <f t="shared" si="66"/>
        <v/>
      </c>
      <c r="M158" s="88">
        <f t="shared" si="67"/>
        <v>1</v>
      </c>
      <c r="N158" s="89">
        <f>IF(M158=0,0,IF(SUM($M$5:M158)&gt;251,1,0))</f>
        <v>0</v>
      </c>
      <c r="O158" s="162">
        <v>40</v>
      </c>
      <c r="P158" s="163">
        <v>1</v>
      </c>
      <c r="Q158" s="90"/>
      <c r="R158" s="526" t="s">
        <v>543</v>
      </c>
      <c r="S158" s="527" t="str">
        <f t="shared" si="79"/>
        <v>放課後児童支援員</v>
      </c>
      <c r="T158" s="528" t="str">
        <f t="shared" si="73"/>
        <v>対象</v>
      </c>
      <c r="U158" s="529" t="s">
        <v>539</v>
      </c>
      <c r="V158" s="91" t="str">
        <f t="shared" si="80"/>
        <v>放課後児童支援員</v>
      </c>
      <c r="W158" s="92" t="str">
        <f t="shared" si="74"/>
        <v>対象</v>
      </c>
      <c r="X158" s="417"/>
      <c r="Y158" s="91">
        <f t="shared" si="81"/>
        <v>0</v>
      </c>
      <c r="Z158" s="92">
        <f t="shared" si="75"/>
        <v>0</v>
      </c>
      <c r="AA158" s="417"/>
      <c r="AB158" s="91">
        <f t="shared" si="82"/>
        <v>0</v>
      </c>
      <c r="AC158" s="92">
        <f t="shared" si="76"/>
        <v>0</v>
      </c>
      <c r="AD158" s="417"/>
      <c r="AE158" s="91">
        <f t="shared" si="83"/>
        <v>0</v>
      </c>
      <c r="AF158" s="92">
        <f t="shared" si="77"/>
        <v>0</v>
      </c>
      <c r="AG158" s="363" t="str">
        <f t="shared" si="78"/>
        <v/>
      </c>
      <c r="AH158" s="359" t="str">
        <f t="shared" si="68"/>
        <v/>
      </c>
      <c r="AI158" s="359" t="str">
        <f t="shared" si="69"/>
        <v/>
      </c>
      <c r="AJ158" s="359" t="str">
        <f t="shared" si="70"/>
        <v/>
      </c>
      <c r="AK158" s="360" t="str">
        <f t="shared" si="71"/>
        <v/>
      </c>
      <c r="AL158" s="11"/>
      <c r="AM158" s="11"/>
      <c r="AN158" s="11"/>
    </row>
    <row r="159" spans="1:40" ht="14.25">
      <c r="A159" s="787"/>
      <c r="B159" s="31" t="s">
        <v>172</v>
      </c>
      <c r="C159" s="184" t="s">
        <v>123</v>
      </c>
      <c r="D159" s="413" t="s">
        <v>171</v>
      </c>
      <c r="E159" s="49">
        <v>0.33333333333333331</v>
      </c>
      <c r="F159" s="49">
        <v>0.79166666666666663</v>
      </c>
      <c r="G159" s="93">
        <f t="shared" si="62"/>
        <v>0.45833333333333331</v>
      </c>
      <c r="H159" s="555" t="str">
        <f t="shared" si="72"/>
        <v>0:00</v>
      </c>
      <c r="I159" s="556">
        <f t="shared" si="63"/>
        <v>0</v>
      </c>
      <c r="J159" s="94">
        <f t="shared" si="64"/>
        <v>0.125</v>
      </c>
      <c r="K159" s="32">
        <f t="shared" si="65"/>
        <v>1</v>
      </c>
      <c r="L159" s="95" t="str">
        <f t="shared" si="66"/>
        <v/>
      </c>
      <c r="M159" s="96">
        <f t="shared" si="67"/>
        <v>1</v>
      </c>
      <c r="N159" s="97">
        <f>IF(M159=0,0,IF(SUM($M$5:M159)&gt;251,1,0))</f>
        <v>0</v>
      </c>
      <c r="O159" s="162">
        <v>40</v>
      </c>
      <c r="P159" s="163">
        <v>1</v>
      </c>
      <c r="Q159" s="98"/>
      <c r="R159" s="415" t="s">
        <v>543</v>
      </c>
      <c r="S159" s="516" t="str">
        <f t="shared" si="79"/>
        <v>放課後児童支援員</v>
      </c>
      <c r="T159" s="517" t="str">
        <f t="shared" si="73"/>
        <v>対象</v>
      </c>
      <c r="U159" s="518" t="s">
        <v>539</v>
      </c>
      <c r="V159" s="99" t="str">
        <f t="shared" si="80"/>
        <v>放課後児童支援員</v>
      </c>
      <c r="W159" s="100" t="str">
        <f t="shared" si="74"/>
        <v>対象</v>
      </c>
      <c r="X159" s="418" t="s">
        <v>546</v>
      </c>
      <c r="Y159" s="99" t="str">
        <f t="shared" si="81"/>
        <v>放課後児童支援員</v>
      </c>
      <c r="Z159" s="100" t="str">
        <f t="shared" si="75"/>
        <v>対象</v>
      </c>
      <c r="AA159" s="418"/>
      <c r="AB159" s="99">
        <f t="shared" si="82"/>
        <v>0</v>
      </c>
      <c r="AC159" s="100">
        <f t="shared" si="76"/>
        <v>0</v>
      </c>
      <c r="AD159" s="418"/>
      <c r="AE159" s="99">
        <f t="shared" si="83"/>
        <v>0</v>
      </c>
      <c r="AF159" s="100">
        <f t="shared" si="77"/>
        <v>0</v>
      </c>
      <c r="AG159" s="351" t="str">
        <f t="shared" si="78"/>
        <v/>
      </c>
      <c r="AH159" s="272" t="str">
        <f t="shared" si="68"/>
        <v/>
      </c>
      <c r="AI159" s="358" t="str">
        <f t="shared" si="69"/>
        <v/>
      </c>
      <c r="AJ159" s="272" t="str">
        <f t="shared" si="70"/>
        <v/>
      </c>
      <c r="AK159" s="361" t="str">
        <f t="shared" si="71"/>
        <v/>
      </c>
      <c r="AL159" s="11"/>
      <c r="AM159" s="11"/>
      <c r="AN159" s="11"/>
    </row>
    <row r="160" spans="1:40" ht="14.25">
      <c r="A160" s="787"/>
      <c r="B160" s="31" t="s">
        <v>174</v>
      </c>
      <c r="C160" s="184" t="s">
        <v>119</v>
      </c>
      <c r="D160" s="413" t="s">
        <v>171</v>
      </c>
      <c r="E160" s="49">
        <v>0.33333333333333331</v>
      </c>
      <c r="F160" s="49">
        <v>0.79166666666666663</v>
      </c>
      <c r="G160" s="93">
        <f t="shared" si="62"/>
        <v>0.45833333333333331</v>
      </c>
      <c r="H160" s="555" t="str">
        <f t="shared" si="72"/>
        <v>0:00</v>
      </c>
      <c r="I160" s="556">
        <f t="shared" si="63"/>
        <v>0</v>
      </c>
      <c r="J160" s="94">
        <f t="shared" si="64"/>
        <v>0.125</v>
      </c>
      <c r="K160" s="32">
        <f t="shared" si="65"/>
        <v>1</v>
      </c>
      <c r="L160" s="95" t="str">
        <f t="shared" si="66"/>
        <v/>
      </c>
      <c r="M160" s="96">
        <f t="shared" si="67"/>
        <v>1</v>
      </c>
      <c r="N160" s="97">
        <f>IF(M160=0,0,IF(SUM($M$5:M160)&gt;251,1,0))</f>
        <v>0</v>
      </c>
      <c r="O160" s="162">
        <v>40</v>
      </c>
      <c r="P160" s="163">
        <v>1</v>
      </c>
      <c r="Q160" s="98"/>
      <c r="R160" s="520" t="s">
        <v>543</v>
      </c>
      <c r="S160" s="521" t="str">
        <f t="shared" si="79"/>
        <v>放課後児童支援員</v>
      </c>
      <c r="T160" s="522" t="str">
        <f t="shared" si="73"/>
        <v>対象</v>
      </c>
      <c r="U160" s="523" t="s">
        <v>539</v>
      </c>
      <c r="V160" s="99" t="str">
        <f t="shared" si="80"/>
        <v>放課後児童支援員</v>
      </c>
      <c r="W160" s="100" t="str">
        <f t="shared" si="74"/>
        <v>対象</v>
      </c>
      <c r="X160" s="418" t="s">
        <v>546</v>
      </c>
      <c r="Y160" s="99" t="str">
        <f t="shared" si="81"/>
        <v>放課後児童支援員</v>
      </c>
      <c r="Z160" s="100" t="str">
        <f t="shared" si="75"/>
        <v>対象</v>
      </c>
      <c r="AA160" s="418"/>
      <c r="AB160" s="99">
        <f t="shared" si="82"/>
        <v>0</v>
      </c>
      <c r="AC160" s="100">
        <f t="shared" si="76"/>
        <v>0</v>
      </c>
      <c r="AD160" s="418"/>
      <c r="AE160" s="99">
        <f t="shared" si="83"/>
        <v>0</v>
      </c>
      <c r="AF160" s="100">
        <f t="shared" si="77"/>
        <v>0</v>
      </c>
      <c r="AG160" s="351" t="str">
        <f t="shared" si="78"/>
        <v/>
      </c>
      <c r="AH160" s="272" t="str">
        <f t="shared" si="68"/>
        <v/>
      </c>
      <c r="AI160" s="358" t="str">
        <f t="shared" si="69"/>
        <v/>
      </c>
      <c r="AJ160" s="272" t="str">
        <f t="shared" si="70"/>
        <v/>
      </c>
      <c r="AK160" s="361" t="str">
        <f t="shared" si="71"/>
        <v/>
      </c>
      <c r="AL160" s="11"/>
      <c r="AM160" s="11"/>
      <c r="AN160" s="11"/>
    </row>
    <row r="161" spans="1:40" ht="14.25">
      <c r="A161" s="787"/>
      <c r="B161" s="31" t="s">
        <v>175</v>
      </c>
      <c r="C161" s="184" t="s">
        <v>120</v>
      </c>
      <c r="D161" s="413" t="s">
        <v>171</v>
      </c>
      <c r="E161" s="49">
        <v>0.33333333333333331</v>
      </c>
      <c r="F161" s="49">
        <v>0.79166666666666663</v>
      </c>
      <c r="G161" s="93">
        <f t="shared" si="62"/>
        <v>0.45833333333333331</v>
      </c>
      <c r="H161" s="555" t="str">
        <f t="shared" si="72"/>
        <v>0:00</v>
      </c>
      <c r="I161" s="556">
        <f t="shared" si="63"/>
        <v>0</v>
      </c>
      <c r="J161" s="94">
        <f t="shared" si="64"/>
        <v>0.125</v>
      </c>
      <c r="K161" s="32">
        <f t="shared" si="65"/>
        <v>1</v>
      </c>
      <c r="L161" s="95" t="str">
        <f t="shared" si="66"/>
        <v/>
      </c>
      <c r="M161" s="96">
        <f t="shared" si="67"/>
        <v>1</v>
      </c>
      <c r="N161" s="97">
        <f>IF(M161=0,0,IF(SUM($M$5:M161)&gt;251,1,0))</f>
        <v>0</v>
      </c>
      <c r="O161" s="162">
        <v>40</v>
      </c>
      <c r="P161" s="163">
        <v>1</v>
      </c>
      <c r="Q161" s="98"/>
      <c r="R161" s="415" t="s">
        <v>543</v>
      </c>
      <c r="S161" s="516" t="str">
        <f t="shared" si="79"/>
        <v>放課後児童支援員</v>
      </c>
      <c r="T161" s="517" t="str">
        <f t="shared" si="73"/>
        <v>対象</v>
      </c>
      <c r="U161" s="518" t="s">
        <v>539</v>
      </c>
      <c r="V161" s="99" t="str">
        <f t="shared" si="80"/>
        <v>放課後児童支援員</v>
      </c>
      <c r="W161" s="100" t="str">
        <f t="shared" si="74"/>
        <v>対象</v>
      </c>
      <c r="X161" s="418" t="s">
        <v>546</v>
      </c>
      <c r="Y161" s="99" t="str">
        <f t="shared" si="81"/>
        <v>放課後児童支援員</v>
      </c>
      <c r="Z161" s="100" t="str">
        <f t="shared" si="75"/>
        <v>対象</v>
      </c>
      <c r="AA161" s="418"/>
      <c r="AB161" s="99">
        <f t="shared" si="82"/>
        <v>0</v>
      </c>
      <c r="AC161" s="100">
        <f t="shared" si="76"/>
        <v>0</v>
      </c>
      <c r="AD161" s="418"/>
      <c r="AE161" s="99">
        <f t="shared" si="83"/>
        <v>0</v>
      </c>
      <c r="AF161" s="100">
        <f t="shared" si="77"/>
        <v>0</v>
      </c>
      <c r="AG161" s="351" t="str">
        <f t="shared" si="78"/>
        <v/>
      </c>
      <c r="AH161" s="272" t="str">
        <f t="shared" si="68"/>
        <v/>
      </c>
      <c r="AI161" s="358" t="str">
        <f t="shared" si="69"/>
        <v/>
      </c>
      <c r="AJ161" s="272" t="str">
        <f t="shared" si="70"/>
        <v/>
      </c>
      <c r="AK161" s="361" t="str">
        <f t="shared" si="71"/>
        <v/>
      </c>
      <c r="AL161" s="11"/>
      <c r="AM161" s="11"/>
      <c r="AN161" s="11"/>
    </row>
    <row r="162" spans="1:40" ht="14.25">
      <c r="A162" s="787"/>
      <c r="B162" s="31" t="s">
        <v>176</v>
      </c>
      <c r="C162" s="184" t="s">
        <v>121</v>
      </c>
      <c r="D162" s="413" t="s">
        <v>171</v>
      </c>
      <c r="E162" s="49">
        <v>0.33333333333333331</v>
      </c>
      <c r="F162" s="49">
        <v>0.80555555555555547</v>
      </c>
      <c r="G162" s="93">
        <f t="shared" si="62"/>
        <v>0.47222222222222215</v>
      </c>
      <c r="H162" s="555" t="str">
        <f t="shared" si="72"/>
        <v>0:00</v>
      </c>
      <c r="I162" s="556">
        <f t="shared" si="63"/>
        <v>0</v>
      </c>
      <c r="J162" s="94">
        <f t="shared" si="64"/>
        <v>0.13888888888888884</v>
      </c>
      <c r="K162" s="32">
        <f t="shared" si="65"/>
        <v>1</v>
      </c>
      <c r="L162" s="95" t="str">
        <f t="shared" si="66"/>
        <v/>
      </c>
      <c r="M162" s="96">
        <f t="shared" si="67"/>
        <v>1</v>
      </c>
      <c r="N162" s="97">
        <f>IF(M162=0,0,IF(SUM($M$5:M162)&gt;251,1,0))</f>
        <v>0</v>
      </c>
      <c r="O162" s="162">
        <v>40</v>
      </c>
      <c r="P162" s="163">
        <v>1</v>
      </c>
      <c r="Q162" s="98"/>
      <c r="R162" s="513" t="s">
        <v>543</v>
      </c>
      <c r="S162" s="99" t="str">
        <f t="shared" si="79"/>
        <v>放課後児童支援員</v>
      </c>
      <c r="T162" s="100" t="str">
        <f t="shared" si="73"/>
        <v>対象</v>
      </c>
      <c r="U162" s="514" t="s">
        <v>539</v>
      </c>
      <c r="V162" s="99" t="str">
        <f t="shared" si="80"/>
        <v>放課後児童支援員</v>
      </c>
      <c r="W162" s="100" t="str">
        <f t="shared" si="74"/>
        <v>対象</v>
      </c>
      <c r="X162" s="418" t="s">
        <v>546</v>
      </c>
      <c r="Y162" s="99" t="str">
        <f t="shared" si="81"/>
        <v>放課後児童支援員</v>
      </c>
      <c r="Z162" s="100" t="str">
        <f t="shared" si="75"/>
        <v>対象</v>
      </c>
      <c r="AA162" s="418"/>
      <c r="AB162" s="99">
        <f t="shared" si="82"/>
        <v>0</v>
      </c>
      <c r="AC162" s="100">
        <f t="shared" si="76"/>
        <v>0</v>
      </c>
      <c r="AD162" s="418"/>
      <c r="AE162" s="99">
        <f t="shared" si="83"/>
        <v>0</v>
      </c>
      <c r="AF162" s="100">
        <f t="shared" si="77"/>
        <v>0</v>
      </c>
      <c r="AG162" s="351" t="str">
        <f t="shared" si="78"/>
        <v/>
      </c>
      <c r="AH162" s="272" t="str">
        <f t="shared" si="68"/>
        <v/>
      </c>
      <c r="AI162" s="358" t="str">
        <f t="shared" si="69"/>
        <v/>
      </c>
      <c r="AJ162" s="272" t="str">
        <f t="shared" si="70"/>
        <v/>
      </c>
      <c r="AK162" s="361" t="str">
        <f t="shared" si="71"/>
        <v/>
      </c>
      <c r="AL162" s="11"/>
      <c r="AM162" s="11"/>
      <c r="AN162" s="11"/>
    </row>
    <row r="163" spans="1:40" ht="14.25">
      <c r="A163" s="787"/>
      <c r="B163" s="31" t="s">
        <v>177</v>
      </c>
      <c r="C163" s="184" t="s">
        <v>122</v>
      </c>
      <c r="D163" s="413" t="s">
        <v>173</v>
      </c>
      <c r="E163" s="49"/>
      <c r="F163" s="49"/>
      <c r="G163" s="93">
        <f t="shared" si="62"/>
        <v>0</v>
      </c>
      <c r="H163" s="555" t="str">
        <f t="shared" si="72"/>
        <v>0:00</v>
      </c>
      <c r="I163" s="556">
        <f t="shared" si="63"/>
        <v>0</v>
      </c>
      <c r="J163" s="94">
        <f t="shared" si="64"/>
        <v>0</v>
      </c>
      <c r="K163" s="32">
        <f t="shared" si="65"/>
        <v>0</v>
      </c>
      <c r="L163" s="95" t="str">
        <f t="shared" si="66"/>
        <v/>
      </c>
      <c r="M163" s="96">
        <f t="shared" si="67"/>
        <v>0</v>
      </c>
      <c r="N163" s="97">
        <f>IF(M163=0,0,IF(SUM($M$5:M163)&gt;251,1,0))</f>
        <v>0</v>
      </c>
      <c r="O163" s="162"/>
      <c r="P163" s="163"/>
      <c r="Q163" s="98"/>
      <c r="R163" s="524"/>
      <c r="S163" s="521">
        <f t="shared" si="79"/>
        <v>0</v>
      </c>
      <c r="T163" s="522">
        <f t="shared" si="73"/>
        <v>0</v>
      </c>
      <c r="U163" s="525"/>
      <c r="V163" s="99">
        <f t="shared" si="80"/>
        <v>0</v>
      </c>
      <c r="W163" s="100">
        <f t="shared" si="74"/>
        <v>0</v>
      </c>
      <c r="X163" s="418"/>
      <c r="Y163" s="99">
        <f t="shared" si="81"/>
        <v>0</v>
      </c>
      <c r="Z163" s="100">
        <f t="shared" si="75"/>
        <v>0</v>
      </c>
      <c r="AA163" s="418"/>
      <c r="AB163" s="99">
        <f t="shared" si="82"/>
        <v>0</v>
      </c>
      <c r="AC163" s="100">
        <f t="shared" si="76"/>
        <v>0</v>
      </c>
      <c r="AD163" s="418"/>
      <c r="AE163" s="99">
        <f t="shared" si="83"/>
        <v>0</v>
      </c>
      <c r="AF163" s="100">
        <f t="shared" si="77"/>
        <v>0</v>
      </c>
      <c r="AG163" s="351" t="str">
        <f t="shared" si="78"/>
        <v/>
      </c>
      <c r="AH163" s="272" t="str">
        <f t="shared" si="68"/>
        <v/>
      </c>
      <c r="AI163" s="358" t="str">
        <f t="shared" si="69"/>
        <v/>
      </c>
      <c r="AJ163" s="272" t="str">
        <f t="shared" si="70"/>
        <v/>
      </c>
      <c r="AK163" s="361" t="str">
        <f t="shared" si="71"/>
        <v/>
      </c>
      <c r="AL163" s="11"/>
      <c r="AM163" s="11"/>
      <c r="AN163" s="11"/>
    </row>
    <row r="164" spans="1:40" ht="14.25">
      <c r="A164" s="787"/>
      <c r="B164" s="31" t="s">
        <v>178</v>
      </c>
      <c r="C164" s="184" t="s">
        <v>183</v>
      </c>
      <c r="D164" s="413" t="s">
        <v>173</v>
      </c>
      <c r="E164" s="49"/>
      <c r="F164" s="49"/>
      <c r="G164" s="93">
        <f t="shared" si="62"/>
        <v>0</v>
      </c>
      <c r="H164" s="555" t="str">
        <f t="shared" si="72"/>
        <v>0:00</v>
      </c>
      <c r="I164" s="556">
        <f t="shared" si="63"/>
        <v>0</v>
      </c>
      <c r="J164" s="94">
        <f t="shared" si="64"/>
        <v>0</v>
      </c>
      <c r="K164" s="32">
        <f t="shared" si="65"/>
        <v>0</v>
      </c>
      <c r="L164" s="95" t="str">
        <f t="shared" si="66"/>
        <v/>
      </c>
      <c r="M164" s="96">
        <f t="shared" si="67"/>
        <v>0</v>
      </c>
      <c r="N164" s="97">
        <f>IF(M164=0,0,IF(SUM($M$5:M164)&gt;251,1,0))</f>
        <v>0</v>
      </c>
      <c r="O164" s="162"/>
      <c r="P164" s="163"/>
      <c r="Q164" s="98"/>
      <c r="R164" s="415"/>
      <c r="S164" s="516">
        <f t="shared" si="79"/>
        <v>0</v>
      </c>
      <c r="T164" s="517">
        <f t="shared" si="73"/>
        <v>0</v>
      </c>
      <c r="U164" s="518"/>
      <c r="V164" s="99">
        <f t="shared" si="80"/>
        <v>0</v>
      </c>
      <c r="W164" s="100">
        <f t="shared" si="74"/>
        <v>0</v>
      </c>
      <c r="X164" s="418"/>
      <c r="Y164" s="99">
        <f t="shared" si="81"/>
        <v>0</v>
      </c>
      <c r="Z164" s="100">
        <f t="shared" si="75"/>
        <v>0</v>
      </c>
      <c r="AA164" s="418"/>
      <c r="AB164" s="99">
        <f t="shared" si="82"/>
        <v>0</v>
      </c>
      <c r="AC164" s="100">
        <f t="shared" si="76"/>
        <v>0</v>
      </c>
      <c r="AD164" s="418"/>
      <c r="AE164" s="99">
        <f t="shared" si="83"/>
        <v>0</v>
      </c>
      <c r="AF164" s="100">
        <f t="shared" si="77"/>
        <v>0</v>
      </c>
      <c r="AG164" s="351" t="str">
        <f t="shared" si="78"/>
        <v/>
      </c>
      <c r="AH164" s="272" t="str">
        <f t="shared" si="68"/>
        <v/>
      </c>
      <c r="AI164" s="358" t="str">
        <f t="shared" si="69"/>
        <v/>
      </c>
      <c r="AJ164" s="272" t="str">
        <f t="shared" si="70"/>
        <v/>
      </c>
      <c r="AK164" s="361" t="str">
        <f t="shared" si="71"/>
        <v/>
      </c>
      <c r="AL164" s="11"/>
      <c r="AM164" s="11"/>
      <c r="AN164" s="11"/>
    </row>
    <row r="165" spans="1:40" ht="14.25">
      <c r="A165" s="787"/>
      <c r="B165" s="31" t="s">
        <v>179</v>
      </c>
      <c r="C165" s="184" t="s">
        <v>118</v>
      </c>
      <c r="D165" s="413" t="s">
        <v>171</v>
      </c>
      <c r="E165" s="49">
        <v>0.33333333333333331</v>
      </c>
      <c r="F165" s="49">
        <v>0.7715277777777777</v>
      </c>
      <c r="G165" s="93">
        <f t="shared" si="62"/>
        <v>0.43819444444444439</v>
      </c>
      <c r="H165" s="555" t="str">
        <f t="shared" si="72"/>
        <v>0:00</v>
      </c>
      <c r="I165" s="556">
        <f t="shared" si="63"/>
        <v>0</v>
      </c>
      <c r="J165" s="94">
        <f t="shared" si="64"/>
        <v>0.10486111111111107</v>
      </c>
      <c r="K165" s="32">
        <f t="shared" si="65"/>
        <v>1</v>
      </c>
      <c r="L165" s="95" t="str">
        <f t="shared" si="66"/>
        <v/>
      </c>
      <c r="M165" s="96">
        <f t="shared" si="67"/>
        <v>1</v>
      </c>
      <c r="N165" s="97">
        <f>IF(M165=0,0,IF(SUM($M$5:M165)&gt;251,1,0))</f>
        <v>0</v>
      </c>
      <c r="O165" s="162">
        <v>40</v>
      </c>
      <c r="P165" s="163">
        <v>1</v>
      </c>
      <c r="Q165" s="98"/>
      <c r="R165" s="520" t="s">
        <v>543</v>
      </c>
      <c r="S165" s="521" t="str">
        <f t="shared" si="79"/>
        <v>放課後児童支援員</v>
      </c>
      <c r="T165" s="522" t="str">
        <f t="shared" si="73"/>
        <v>対象</v>
      </c>
      <c r="U165" s="523" t="s">
        <v>539</v>
      </c>
      <c r="V165" s="99" t="str">
        <f t="shared" si="80"/>
        <v>放課後児童支援員</v>
      </c>
      <c r="W165" s="100" t="str">
        <f t="shared" si="74"/>
        <v>対象</v>
      </c>
      <c r="X165" s="418"/>
      <c r="Y165" s="99">
        <f t="shared" si="81"/>
        <v>0</v>
      </c>
      <c r="Z165" s="100">
        <f t="shared" si="75"/>
        <v>0</v>
      </c>
      <c r="AA165" s="418"/>
      <c r="AB165" s="99">
        <f t="shared" si="82"/>
        <v>0</v>
      </c>
      <c r="AC165" s="100">
        <f t="shared" si="76"/>
        <v>0</v>
      </c>
      <c r="AD165" s="418"/>
      <c r="AE165" s="99">
        <f t="shared" si="83"/>
        <v>0</v>
      </c>
      <c r="AF165" s="100">
        <f t="shared" si="77"/>
        <v>0</v>
      </c>
      <c r="AG165" s="351" t="str">
        <f t="shared" si="78"/>
        <v/>
      </c>
      <c r="AH165" s="272" t="str">
        <f t="shared" si="68"/>
        <v/>
      </c>
      <c r="AI165" s="358" t="str">
        <f t="shared" si="69"/>
        <v/>
      </c>
      <c r="AJ165" s="272" t="str">
        <f t="shared" si="70"/>
        <v/>
      </c>
      <c r="AK165" s="361" t="str">
        <f t="shared" si="71"/>
        <v/>
      </c>
      <c r="AL165" s="11"/>
      <c r="AM165" s="11"/>
      <c r="AN165" s="11"/>
    </row>
    <row r="166" spans="1:40" ht="14.25">
      <c r="A166" s="787"/>
      <c r="B166" s="31" t="s">
        <v>180</v>
      </c>
      <c r="C166" s="184" t="s">
        <v>123</v>
      </c>
      <c r="D166" s="413" t="s">
        <v>171</v>
      </c>
      <c r="E166" s="49">
        <v>0.33333333333333331</v>
      </c>
      <c r="F166" s="49">
        <v>0.79166666666666663</v>
      </c>
      <c r="G166" s="93">
        <f t="shared" si="62"/>
        <v>0.45833333333333331</v>
      </c>
      <c r="H166" s="555" t="str">
        <f t="shared" si="72"/>
        <v>0:00</v>
      </c>
      <c r="I166" s="556">
        <f t="shared" si="63"/>
        <v>0</v>
      </c>
      <c r="J166" s="94">
        <f t="shared" si="64"/>
        <v>0.125</v>
      </c>
      <c r="K166" s="32">
        <f t="shared" si="65"/>
        <v>1</v>
      </c>
      <c r="L166" s="95" t="str">
        <f t="shared" si="66"/>
        <v/>
      </c>
      <c r="M166" s="96">
        <f t="shared" si="67"/>
        <v>1</v>
      </c>
      <c r="N166" s="97">
        <f>IF(M166=0,0,IF(SUM($M$5:M166)&gt;251,1,0))</f>
        <v>0</v>
      </c>
      <c r="O166" s="162">
        <v>40</v>
      </c>
      <c r="P166" s="163">
        <v>1</v>
      </c>
      <c r="Q166" s="98"/>
      <c r="R166" s="524" t="s">
        <v>543</v>
      </c>
      <c r="S166" s="530" t="str">
        <f t="shared" si="79"/>
        <v>放課後児童支援員</v>
      </c>
      <c r="T166" s="531" t="str">
        <f t="shared" si="73"/>
        <v>対象</v>
      </c>
      <c r="U166" s="532" t="s">
        <v>539</v>
      </c>
      <c r="V166" s="99" t="str">
        <f t="shared" si="80"/>
        <v>放課後児童支援員</v>
      </c>
      <c r="W166" s="100" t="str">
        <f t="shared" si="74"/>
        <v>対象</v>
      </c>
      <c r="X166" s="418" t="s">
        <v>546</v>
      </c>
      <c r="Y166" s="99" t="str">
        <f t="shared" si="81"/>
        <v>放課後児童支援員</v>
      </c>
      <c r="Z166" s="100" t="str">
        <f t="shared" si="75"/>
        <v>対象</v>
      </c>
      <c r="AA166" s="418"/>
      <c r="AB166" s="99">
        <f t="shared" si="82"/>
        <v>0</v>
      </c>
      <c r="AC166" s="100">
        <f t="shared" si="76"/>
        <v>0</v>
      </c>
      <c r="AD166" s="418"/>
      <c r="AE166" s="99">
        <f t="shared" si="83"/>
        <v>0</v>
      </c>
      <c r="AF166" s="100">
        <f t="shared" si="77"/>
        <v>0</v>
      </c>
      <c r="AG166" s="351" t="str">
        <f t="shared" si="78"/>
        <v/>
      </c>
      <c r="AH166" s="272" t="str">
        <f t="shared" si="68"/>
        <v/>
      </c>
      <c r="AI166" s="358" t="str">
        <f t="shared" si="69"/>
        <v/>
      </c>
      <c r="AJ166" s="272" t="str">
        <f t="shared" si="70"/>
        <v/>
      </c>
      <c r="AK166" s="361" t="str">
        <f t="shared" si="71"/>
        <v/>
      </c>
      <c r="AL166" s="11"/>
      <c r="AM166" s="11"/>
      <c r="AN166" s="11"/>
    </row>
    <row r="167" spans="1:40" ht="14.25">
      <c r="A167" s="787"/>
      <c r="B167" s="31" t="s">
        <v>181</v>
      </c>
      <c r="C167" s="184" t="s">
        <v>119</v>
      </c>
      <c r="D167" s="413" t="s">
        <v>171</v>
      </c>
      <c r="E167" s="49">
        <v>0.33333333333333331</v>
      </c>
      <c r="F167" s="49">
        <v>0.79166666666666663</v>
      </c>
      <c r="G167" s="93">
        <f t="shared" si="62"/>
        <v>0.45833333333333331</v>
      </c>
      <c r="H167" s="555" t="str">
        <f t="shared" si="72"/>
        <v>0:00</v>
      </c>
      <c r="I167" s="556">
        <f t="shared" si="63"/>
        <v>0</v>
      </c>
      <c r="J167" s="94">
        <f t="shared" si="64"/>
        <v>0.125</v>
      </c>
      <c r="K167" s="32">
        <f t="shared" si="65"/>
        <v>1</v>
      </c>
      <c r="L167" s="95" t="str">
        <f t="shared" si="66"/>
        <v/>
      </c>
      <c r="M167" s="96">
        <f t="shared" si="67"/>
        <v>1</v>
      </c>
      <c r="N167" s="97">
        <f>IF(M167=0,0,IF(SUM($M$5:M167)&gt;251,1,0))</f>
        <v>0</v>
      </c>
      <c r="O167" s="162">
        <v>40</v>
      </c>
      <c r="P167" s="163">
        <v>1</v>
      </c>
      <c r="Q167" s="98"/>
      <c r="R167" s="415" t="s">
        <v>543</v>
      </c>
      <c r="S167" s="516" t="str">
        <f t="shared" si="79"/>
        <v>放課後児童支援員</v>
      </c>
      <c r="T167" s="517" t="str">
        <f t="shared" si="73"/>
        <v>対象</v>
      </c>
      <c r="U167" s="518" t="s">
        <v>539</v>
      </c>
      <c r="V167" s="99" t="str">
        <f t="shared" si="80"/>
        <v>放課後児童支援員</v>
      </c>
      <c r="W167" s="100" t="str">
        <f t="shared" si="74"/>
        <v>対象</v>
      </c>
      <c r="X167" s="418" t="s">
        <v>546</v>
      </c>
      <c r="Y167" s="99" t="str">
        <f t="shared" si="81"/>
        <v>放課後児童支援員</v>
      </c>
      <c r="Z167" s="100" t="str">
        <f t="shared" si="75"/>
        <v>対象</v>
      </c>
      <c r="AA167" s="418"/>
      <c r="AB167" s="99">
        <f t="shared" si="82"/>
        <v>0</v>
      </c>
      <c r="AC167" s="100">
        <f t="shared" si="76"/>
        <v>0</v>
      </c>
      <c r="AD167" s="418"/>
      <c r="AE167" s="99">
        <f t="shared" si="83"/>
        <v>0</v>
      </c>
      <c r="AF167" s="100">
        <f t="shared" si="77"/>
        <v>0</v>
      </c>
      <c r="AG167" s="351" t="str">
        <f t="shared" si="78"/>
        <v/>
      </c>
      <c r="AH167" s="272" t="str">
        <f t="shared" si="68"/>
        <v/>
      </c>
      <c r="AI167" s="358" t="str">
        <f t="shared" si="69"/>
        <v/>
      </c>
      <c r="AJ167" s="272" t="str">
        <f t="shared" si="70"/>
        <v/>
      </c>
      <c r="AK167" s="361" t="str">
        <f t="shared" si="71"/>
        <v/>
      </c>
      <c r="AL167" s="11"/>
      <c r="AM167" s="11"/>
      <c r="AN167" s="11"/>
    </row>
    <row r="168" spans="1:40" ht="14.25">
      <c r="A168" s="787"/>
      <c r="B168" s="31" t="s">
        <v>182</v>
      </c>
      <c r="C168" s="184" t="s">
        <v>120</v>
      </c>
      <c r="D168" s="413" t="s">
        <v>171</v>
      </c>
      <c r="E168" s="49">
        <v>0.33333333333333331</v>
      </c>
      <c r="F168" s="49">
        <v>0.79166666666666663</v>
      </c>
      <c r="G168" s="93">
        <f t="shared" si="62"/>
        <v>0.45833333333333331</v>
      </c>
      <c r="H168" s="555" t="str">
        <f t="shared" si="72"/>
        <v>0:00</v>
      </c>
      <c r="I168" s="556">
        <f t="shared" si="63"/>
        <v>0</v>
      </c>
      <c r="J168" s="94">
        <f t="shared" si="64"/>
        <v>0.125</v>
      </c>
      <c r="K168" s="32">
        <f t="shared" si="65"/>
        <v>1</v>
      </c>
      <c r="L168" s="95" t="str">
        <f t="shared" si="66"/>
        <v/>
      </c>
      <c r="M168" s="96">
        <f t="shared" si="67"/>
        <v>1</v>
      </c>
      <c r="N168" s="97">
        <f>IF(M168=0,0,IF(SUM($M$5:M168)&gt;251,1,0))</f>
        <v>0</v>
      </c>
      <c r="O168" s="162">
        <v>40</v>
      </c>
      <c r="P168" s="163">
        <v>1</v>
      </c>
      <c r="Q168" s="98"/>
      <c r="R168" s="513" t="s">
        <v>543</v>
      </c>
      <c r="S168" s="99" t="str">
        <f t="shared" si="79"/>
        <v>放課後児童支援員</v>
      </c>
      <c r="T168" s="100" t="str">
        <f t="shared" si="73"/>
        <v>対象</v>
      </c>
      <c r="U168" s="519" t="s">
        <v>539</v>
      </c>
      <c r="V168" s="99" t="str">
        <f t="shared" si="80"/>
        <v>放課後児童支援員</v>
      </c>
      <c r="W168" s="100" t="str">
        <f t="shared" si="74"/>
        <v>対象</v>
      </c>
      <c r="X168" s="418" t="s">
        <v>546</v>
      </c>
      <c r="Y168" s="99" t="str">
        <f t="shared" si="81"/>
        <v>放課後児童支援員</v>
      </c>
      <c r="Z168" s="100" t="str">
        <f t="shared" si="75"/>
        <v>対象</v>
      </c>
      <c r="AA168" s="418"/>
      <c r="AB168" s="99">
        <f t="shared" si="82"/>
        <v>0</v>
      </c>
      <c r="AC168" s="100">
        <f t="shared" si="76"/>
        <v>0</v>
      </c>
      <c r="AD168" s="418"/>
      <c r="AE168" s="99">
        <f t="shared" si="83"/>
        <v>0</v>
      </c>
      <c r="AF168" s="100">
        <f t="shared" si="77"/>
        <v>0</v>
      </c>
      <c r="AG168" s="351" t="str">
        <f t="shared" si="78"/>
        <v/>
      </c>
      <c r="AH168" s="272" t="str">
        <f t="shared" si="68"/>
        <v/>
      </c>
      <c r="AI168" s="358" t="str">
        <f t="shared" si="69"/>
        <v/>
      </c>
      <c r="AJ168" s="272" t="str">
        <f t="shared" si="70"/>
        <v/>
      </c>
      <c r="AK168" s="361" t="str">
        <f t="shared" si="71"/>
        <v/>
      </c>
      <c r="AL168" s="11"/>
      <c r="AM168" s="11"/>
      <c r="AN168" s="11"/>
    </row>
    <row r="169" spans="1:40" ht="14.25">
      <c r="A169" s="787"/>
      <c r="B169" s="31" t="s">
        <v>184</v>
      </c>
      <c r="C169" s="184" t="s">
        <v>121</v>
      </c>
      <c r="D169" s="413" t="s">
        <v>171</v>
      </c>
      <c r="E169" s="49">
        <v>0.33333333333333331</v>
      </c>
      <c r="F169" s="49">
        <v>0.80555555555555547</v>
      </c>
      <c r="G169" s="93">
        <f t="shared" si="62"/>
        <v>0.47222222222222215</v>
      </c>
      <c r="H169" s="555" t="str">
        <f t="shared" si="72"/>
        <v>0:00</v>
      </c>
      <c r="I169" s="556">
        <f t="shared" si="63"/>
        <v>0</v>
      </c>
      <c r="J169" s="94">
        <f t="shared" si="64"/>
        <v>0.13888888888888884</v>
      </c>
      <c r="K169" s="32">
        <f t="shared" si="65"/>
        <v>1</v>
      </c>
      <c r="L169" s="95" t="str">
        <f t="shared" si="66"/>
        <v/>
      </c>
      <c r="M169" s="96">
        <f t="shared" si="67"/>
        <v>1</v>
      </c>
      <c r="N169" s="97">
        <f>IF(M169=0,0,IF(SUM($M$5:M169)&gt;251,1,0))</f>
        <v>0</v>
      </c>
      <c r="O169" s="162">
        <v>40</v>
      </c>
      <c r="P169" s="163">
        <v>1</v>
      </c>
      <c r="Q169" s="98"/>
      <c r="R169" s="513" t="s">
        <v>543</v>
      </c>
      <c r="S169" s="99" t="str">
        <f t="shared" si="79"/>
        <v>放課後児童支援員</v>
      </c>
      <c r="T169" s="100" t="str">
        <f t="shared" si="73"/>
        <v>対象</v>
      </c>
      <c r="U169" s="514" t="s">
        <v>539</v>
      </c>
      <c r="V169" s="99" t="str">
        <f t="shared" si="80"/>
        <v>放課後児童支援員</v>
      </c>
      <c r="W169" s="100" t="str">
        <f t="shared" si="74"/>
        <v>対象</v>
      </c>
      <c r="X169" s="418" t="s">
        <v>546</v>
      </c>
      <c r="Y169" s="99" t="str">
        <f t="shared" si="81"/>
        <v>放課後児童支援員</v>
      </c>
      <c r="Z169" s="100" t="str">
        <f t="shared" si="75"/>
        <v>対象</v>
      </c>
      <c r="AA169" s="418"/>
      <c r="AB169" s="99">
        <f t="shared" si="82"/>
        <v>0</v>
      </c>
      <c r="AC169" s="100">
        <f t="shared" si="76"/>
        <v>0</v>
      </c>
      <c r="AD169" s="418"/>
      <c r="AE169" s="99">
        <f t="shared" si="83"/>
        <v>0</v>
      </c>
      <c r="AF169" s="100">
        <f t="shared" si="77"/>
        <v>0</v>
      </c>
      <c r="AG169" s="351" t="str">
        <f t="shared" si="78"/>
        <v/>
      </c>
      <c r="AH169" s="272" t="str">
        <f t="shared" si="68"/>
        <v/>
      </c>
      <c r="AI169" s="358" t="str">
        <f t="shared" si="69"/>
        <v/>
      </c>
      <c r="AJ169" s="272" t="str">
        <f t="shared" si="70"/>
        <v/>
      </c>
      <c r="AK169" s="361" t="str">
        <f t="shared" si="71"/>
        <v/>
      </c>
      <c r="AL169" s="11"/>
      <c r="AM169" s="11"/>
      <c r="AN169" s="11"/>
    </row>
    <row r="170" spans="1:40" ht="14.25">
      <c r="A170" s="787"/>
      <c r="B170" s="31" t="s">
        <v>185</v>
      </c>
      <c r="C170" s="184" t="s">
        <v>122</v>
      </c>
      <c r="D170" s="413" t="s">
        <v>171</v>
      </c>
      <c r="E170" s="49">
        <v>0.33333333333333331</v>
      </c>
      <c r="F170" s="49">
        <v>0.6875</v>
      </c>
      <c r="G170" s="93">
        <f t="shared" si="62"/>
        <v>0.35416666666666669</v>
      </c>
      <c r="H170" s="555" t="str">
        <f t="shared" si="72"/>
        <v>0:00</v>
      </c>
      <c r="I170" s="556">
        <f t="shared" si="63"/>
        <v>0</v>
      </c>
      <c r="J170" s="94">
        <f t="shared" si="64"/>
        <v>2.083333333333337E-2</v>
      </c>
      <c r="K170" s="32">
        <f t="shared" si="65"/>
        <v>1</v>
      </c>
      <c r="L170" s="95" t="str">
        <f t="shared" si="66"/>
        <v/>
      </c>
      <c r="M170" s="96">
        <f t="shared" si="67"/>
        <v>1</v>
      </c>
      <c r="N170" s="97">
        <f>IF(M170=0,0,IF(SUM($M$5:M170)&gt;251,1,0))</f>
        <v>0</v>
      </c>
      <c r="O170" s="162">
        <v>5</v>
      </c>
      <c r="P170" s="163">
        <v>0</v>
      </c>
      <c r="Q170" s="98"/>
      <c r="R170" s="415" t="s">
        <v>543</v>
      </c>
      <c r="S170" s="99" t="str">
        <f t="shared" si="79"/>
        <v>放課後児童支援員</v>
      </c>
      <c r="T170" s="100" t="str">
        <f t="shared" si="73"/>
        <v>対象</v>
      </c>
      <c r="U170" s="418" t="s">
        <v>539</v>
      </c>
      <c r="V170" s="99" t="str">
        <f t="shared" si="80"/>
        <v>放課後児童支援員</v>
      </c>
      <c r="W170" s="100" t="str">
        <f t="shared" si="74"/>
        <v>対象</v>
      </c>
      <c r="X170" s="418" t="s">
        <v>546</v>
      </c>
      <c r="Y170" s="99" t="str">
        <f t="shared" si="81"/>
        <v>放課後児童支援員</v>
      </c>
      <c r="Z170" s="100" t="str">
        <f t="shared" si="75"/>
        <v>対象</v>
      </c>
      <c r="AA170" s="418"/>
      <c r="AB170" s="99">
        <f t="shared" si="82"/>
        <v>0</v>
      </c>
      <c r="AC170" s="100">
        <f t="shared" si="76"/>
        <v>0</v>
      </c>
      <c r="AD170" s="418"/>
      <c r="AE170" s="99">
        <f t="shared" si="83"/>
        <v>0</v>
      </c>
      <c r="AF170" s="100">
        <f t="shared" si="77"/>
        <v>0</v>
      </c>
      <c r="AG170" s="351" t="str">
        <f t="shared" si="78"/>
        <v/>
      </c>
      <c r="AH170" s="272" t="str">
        <f t="shared" si="68"/>
        <v/>
      </c>
      <c r="AI170" s="358" t="str">
        <f t="shared" si="69"/>
        <v/>
      </c>
      <c r="AJ170" s="272" t="str">
        <f t="shared" si="70"/>
        <v/>
      </c>
      <c r="AK170" s="361" t="str">
        <f t="shared" si="71"/>
        <v/>
      </c>
      <c r="AL170" s="11"/>
      <c r="AM170" s="11"/>
      <c r="AN170" s="11"/>
    </row>
    <row r="171" spans="1:40" ht="14.25">
      <c r="A171" s="787"/>
      <c r="B171" s="31" t="s">
        <v>186</v>
      </c>
      <c r="C171" s="184" t="s">
        <v>183</v>
      </c>
      <c r="D171" s="413" t="s">
        <v>173</v>
      </c>
      <c r="E171" s="49"/>
      <c r="F171" s="49"/>
      <c r="G171" s="93">
        <f t="shared" si="62"/>
        <v>0</v>
      </c>
      <c r="H171" s="555" t="str">
        <f t="shared" si="72"/>
        <v>0:00</v>
      </c>
      <c r="I171" s="556">
        <f t="shared" si="63"/>
        <v>0</v>
      </c>
      <c r="J171" s="94">
        <f t="shared" si="64"/>
        <v>0</v>
      </c>
      <c r="K171" s="32">
        <f t="shared" si="65"/>
        <v>0</v>
      </c>
      <c r="L171" s="95" t="str">
        <f t="shared" si="66"/>
        <v/>
      </c>
      <c r="M171" s="96">
        <f t="shared" si="67"/>
        <v>0</v>
      </c>
      <c r="N171" s="97">
        <f>IF(M171=0,0,IF(SUM($M$5:M171)&gt;251,1,0))</f>
        <v>0</v>
      </c>
      <c r="O171" s="162"/>
      <c r="P171" s="163"/>
      <c r="Q171" s="98"/>
      <c r="R171" s="524"/>
      <c r="S171" s="521">
        <f t="shared" si="79"/>
        <v>0</v>
      </c>
      <c r="T171" s="522">
        <f t="shared" si="73"/>
        <v>0</v>
      </c>
      <c r="U171" s="525"/>
      <c r="V171" s="99">
        <f t="shared" si="80"/>
        <v>0</v>
      </c>
      <c r="W171" s="100">
        <f t="shared" si="74"/>
        <v>0</v>
      </c>
      <c r="X171" s="418"/>
      <c r="Y171" s="99">
        <f t="shared" si="81"/>
        <v>0</v>
      </c>
      <c r="Z171" s="100">
        <f t="shared" si="75"/>
        <v>0</v>
      </c>
      <c r="AA171" s="418"/>
      <c r="AB171" s="99">
        <f t="shared" si="82"/>
        <v>0</v>
      </c>
      <c r="AC171" s="100">
        <f t="shared" si="76"/>
        <v>0</v>
      </c>
      <c r="AD171" s="418"/>
      <c r="AE171" s="99">
        <f t="shared" si="83"/>
        <v>0</v>
      </c>
      <c r="AF171" s="100">
        <f t="shared" si="77"/>
        <v>0</v>
      </c>
      <c r="AG171" s="351" t="str">
        <f t="shared" si="78"/>
        <v/>
      </c>
      <c r="AH171" s="272" t="str">
        <f t="shared" si="68"/>
        <v/>
      </c>
      <c r="AI171" s="358" t="str">
        <f t="shared" si="69"/>
        <v/>
      </c>
      <c r="AJ171" s="272" t="str">
        <f t="shared" si="70"/>
        <v/>
      </c>
      <c r="AK171" s="361" t="str">
        <f t="shared" si="71"/>
        <v/>
      </c>
      <c r="AL171" s="11"/>
      <c r="AM171" s="11"/>
      <c r="AN171" s="11"/>
    </row>
    <row r="172" spans="1:40" ht="14.25">
      <c r="A172" s="787"/>
      <c r="B172" s="31" t="s">
        <v>187</v>
      </c>
      <c r="C172" s="184" t="s">
        <v>118</v>
      </c>
      <c r="D172" s="413" t="s">
        <v>171</v>
      </c>
      <c r="E172" s="49">
        <v>0.33333333333333331</v>
      </c>
      <c r="F172" s="49">
        <v>0.7715277777777777</v>
      </c>
      <c r="G172" s="93">
        <f t="shared" si="62"/>
        <v>0.43819444444444439</v>
      </c>
      <c r="H172" s="555" t="str">
        <f t="shared" si="72"/>
        <v>0:00</v>
      </c>
      <c r="I172" s="556">
        <f t="shared" si="63"/>
        <v>0</v>
      </c>
      <c r="J172" s="94">
        <f t="shared" si="64"/>
        <v>0.10486111111111107</v>
      </c>
      <c r="K172" s="32">
        <f t="shared" si="65"/>
        <v>1</v>
      </c>
      <c r="L172" s="95" t="str">
        <f t="shared" si="66"/>
        <v/>
      </c>
      <c r="M172" s="96">
        <f t="shared" si="67"/>
        <v>1</v>
      </c>
      <c r="N172" s="97">
        <f>IF(M172=0,0,IF(SUM($M$5:M172)&gt;251,1,0))</f>
        <v>0</v>
      </c>
      <c r="O172" s="162">
        <v>40</v>
      </c>
      <c r="P172" s="163">
        <v>1</v>
      </c>
      <c r="Q172" s="98"/>
      <c r="R172" s="415" t="s">
        <v>543</v>
      </c>
      <c r="S172" s="516" t="str">
        <f t="shared" si="79"/>
        <v>放課後児童支援員</v>
      </c>
      <c r="T172" s="517" t="str">
        <f t="shared" si="73"/>
        <v>対象</v>
      </c>
      <c r="U172" s="518" t="s">
        <v>539</v>
      </c>
      <c r="V172" s="99" t="str">
        <f t="shared" si="80"/>
        <v>放課後児童支援員</v>
      </c>
      <c r="W172" s="100" t="str">
        <f t="shared" si="74"/>
        <v>対象</v>
      </c>
      <c r="X172" s="418"/>
      <c r="Y172" s="99">
        <f t="shared" si="81"/>
        <v>0</v>
      </c>
      <c r="Z172" s="100">
        <f t="shared" si="75"/>
        <v>0</v>
      </c>
      <c r="AA172" s="418"/>
      <c r="AB172" s="99">
        <f t="shared" si="82"/>
        <v>0</v>
      </c>
      <c r="AC172" s="100">
        <f t="shared" si="76"/>
        <v>0</v>
      </c>
      <c r="AD172" s="418"/>
      <c r="AE172" s="99">
        <f t="shared" si="83"/>
        <v>0</v>
      </c>
      <c r="AF172" s="100">
        <f t="shared" si="77"/>
        <v>0</v>
      </c>
      <c r="AG172" s="351" t="str">
        <f t="shared" si="78"/>
        <v/>
      </c>
      <c r="AH172" s="272" t="str">
        <f t="shared" si="68"/>
        <v/>
      </c>
      <c r="AI172" s="358" t="str">
        <f t="shared" si="69"/>
        <v/>
      </c>
      <c r="AJ172" s="272" t="str">
        <f t="shared" si="70"/>
        <v/>
      </c>
      <c r="AK172" s="361" t="str">
        <f t="shared" si="71"/>
        <v/>
      </c>
      <c r="AL172" s="11"/>
      <c r="AM172" s="11"/>
      <c r="AN172" s="11"/>
    </row>
    <row r="173" spans="1:40" ht="14.25">
      <c r="A173" s="787"/>
      <c r="B173" s="31" t="s">
        <v>188</v>
      </c>
      <c r="C173" s="184" t="s">
        <v>123</v>
      </c>
      <c r="D173" s="413" t="s">
        <v>171</v>
      </c>
      <c r="E173" s="49">
        <v>0.33333333333333331</v>
      </c>
      <c r="F173" s="49">
        <v>0.79166666666666663</v>
      </c>
      <c r="G173" s="93">
        <f t="shared" si="62"/>
        <v>0.45833333333333331</v>
      </c>
      <c r="H173" s="555" t="str">
        <f t="shared" si="72"/>
        <v>0:00</v>
      </c>
      <c r="I173" s="556">
        <f t="shared" si="63"/>
        <v>0</v>
      </c>
      <c r="J173" s="94">
        <f t="shared" si="64"/>
        <v>0.125</v>
      </c>
      <c r="K173" s="32">
        <f t="shared" si="65"/>
        <v>1</v>
      </c>
      <c r="L173" s="95" t="str">
        <f t="shared" si="66"/>
        <v/>
      </c>
      <c r="M173" s="96">
        <f t="shared" si="67"/>
        <v>1</v>
      </c>
      <c r="N173" s="97">
        <f>IF(M173=0,0,IF(SUM($M$5:M173)&gt;251,1,0))</f>
        <v>0</v>
      </c>
      <c r="O173" s="162">
        <v>40</v>
      </c>
      <c r="P173" s="163">
        <v>1</v>
      </c>
      <c r="Q173" s="98"/>
      <c r="R173" s="520" t="s">
        <v>543</v>
      </c>
      <c r="S173" s="521" t="str">
        <f t="shared" si="79"/>
        <v>放課後児童支援員</v>
      </c>
      <c r="T173" s="522" t="str">
        <f t="shared" si="73"/>
        <v>対象</v>
      </c>
      <c r="U173" s="523" t="s">
        <v>539</v>
      </c>
      <c r="V173" s="99" t="str">
        <f t="shared" si="80"/>
        <v>放課後児童支援員</v>
      </c>
      <c r="W173" s="100" t="str">
        <f t="shared" si="74"/>
        <v>対象</v>
      </c>
      <c r="X173" s="418"/>
      <c r="Y173" s="99">
        <f t="shared" si="81"/>
        <v>0</v>
      </c>
      <c r="Z173" s="100">
        <f t="shared" si="75"/>
        <v>0</v>
      </c>
      <c r="AA173" s="418"/>
      <c r="AB173" s="99">
        <f t="shared" si="82"/>
        <v>0</v>
      </c>
      <c r="AC173" s="100">
        <f t="shared" si="76"/>
        <v>0</v>
      </c>
      <c r="AD173" s="418"/>
      <c r="AE173" s="99">
        <f t="shared" si="83"/>
        <v>0</v>
      </c>
      <c r="AF173" s="100">
        <f t="shared" si="77"/>
        <v>0</v>
      </c>
      <c r="AG173" s="351" t="str">
        <f t="shared" si="78"/>
        <v/>
      </c>
      <c r="AH173" s="272" t="str">
        <f t="shared" si="68"/>
        <v/>
      </c>
      <c r="AI173" s="358" t="str">
        <f t="shared" si="69"/>
        <v/>
      </c>
      <c r="AJ173" s="272" t="str">
        <f t="shared" si="70"/>
        <v/>
      </c>
      <c r="AK173" s="361" t="str">
        <f t="shared" si="71"/>
        <v/>
      </c>
      <c r="AL173" s="11"/>
      <c r="AM173" s="11"/>
      <c r="AN173" s="11"/>
    </row>
    <row r="174" spans="1:40" ht="14.25">
      <c r="A174" s="787"/>
      <c r="B174" s="31" t="s">
        <v>189</v>
      </c>
      <c r="C174" s="184" t="s">
        <v>119</v>
      </c>
      <c r="D174" s="413" t="s">
        <v>171</v>
      </c>
      <c r="E174" s="49">
        <v>0.33333333333333331</v>
      </c>
      <c r="F174" s="49">
        <v>0.79166666666666663</v>
      </c>
      <c r="G174" s="93">
        <f t="shared" si="62"/>
        <v>0.45833333333333331</v>
      </c>
      <c r="H174" s="555" t="str">
        <f t="shared" si="72"/>
        <v>0:00</v>
      </c>
      <c r="I174" s="556">
        <f t="shared" si="63"/>
        <v>0</v>
      </c>
      <c r="J174" s="94">
        <f t="shared" si="64"/>
        <v>0.125</v>
      </c>
      <c r="K174" s="32">
        <f t="shared" si="65"/>
        <v>1</v>
      </c>
      <c r="L174" s="95" t="str">
        <f t="shared" si="66"/>
        <v/>
      </c>
      <c r="M174" s="96">
        <f t="shared" si="67"/>
        <v>1</v>
      </c>
      <c r="N174" s="97">
        <f>IF(M174=0,0,IF(SUM($M$5:M174)&gt;251,1,0))</f>
        <v>0</v>
      </c>
      <c r="O174" s="162">
        <v>40</v>
      </c>
      <c r="P174" s="163">
        <v>1</v>
      </c>
      <c r="Q174" s="98"/>
      <c r="R174" s="415" t="s">
        <v>543</v>
      </c>
      <c r="S174" s="516" t="str">
        <f t="shared" si="79"/>
        <v>放課後児童支援員</v>
      </c>
      <c r="T174" s="517" t="str">
        <f t="shared" si="73"/>
        <v>対象</v>
      </c>
      <c r="U174" s="518" t="s">
        <v>539</v>
      </c>
      <c r="V174" s="99" t="str">
        <f t="shared" si="80"/>
        <v>放課後児童支援員</v>
      </c>
      <c r="W174" s="100" t="str">
        <f t="shared" si="74"/>
        <v>対象</v>
      </c>
      <c r="X174" s="418" t="s">
        <v>546</v>
      </c>
      <c r="Y174" s="99" t="str">
        <f t="shared" si="81"/>
        <v>放課後児童支援員</v>
      </c>
      <c r="Z174" s="100" t="str">
        <f t="shared" si="75"/>
        <v>対象</v>
      </c>
      <c r="AA174" s="418"/>
      <c r="AB174" s="99">
        <f t="shared" si="82"/>
        <v>0</v>
      </c>
      <c r="AC174" s="100">
        <f t="shared" si="76"/>
        <v>0</v>
      </c>
      <c r="AD174" s="418"/>
      <c r="AE174" s="99">
        <f t="shared" si="83"/>
        <v>0</v>
      </c>
      <c r="AF174" s="100">
        <f t="shared" si="77"/>
        <v>0</v>
      </c>
      <c r="AG174" s="351" t="str">
        <f t="shared" si="78"/>
        <v/>
      </c>
      <c r="AH174" s="272" t="str">
        <f t="shared" si="68"/>
        <v/>
      </c>
      <c r="AI174" s="358" t="str">
        <f t="shared" si="69"/>
        <v/>
      </c>
      <c r="AJ174" s="272" t="str">
        <f t="shared" si="70"/>
        <v/>
      </c>
      <c r="AK174" s="361" t="str">
        <f t="shared" si="71"/>
        <v/>
      </c>
      <c r="AL174" s="11"/>
      <c r="AM174" s="11"/>
      <c r="AN174" s="11"/>
    </row>
    <row r="175" spans="1:40" ht="14.25">
      <c r="A175" s="787"/>
      <c r="B175" s="31" t="s">
        <v>190</v>
      </c>
      <c r="C175" s="184" t="s">
        <v>120</v>
      </c>
      <c r="D175" s="413" t="s">
        <v>171</v>
      </c>
      <c r="E175" s="49">
        <v>0.33333333333333331</v>
      </c>
      <c r="F175" s="49">
        <v>0.79166666666666663</v>
      </c>
      <c r="G175" s="93">
        <f t="shared" si="62"/>
        <v>0.45833333333333331</v>
      </c>
      <c r="H175" s="555" t="str">
        <f t="shared" si="72"/>
        <v>0:00</v>
      </c>
      <c r="I175" s="556">
        <f t="shared" si="63"/>
        <v>0</v>
      </c>
      <c r="J175" s="94">
        <f t="shared" si="64"/>
        <v>0.125</v>
      </c>
      <c r="K175" s="32">
        <f t="shared" si="65"/>
        <v>1</v>
      </c>
      <c r="L175" s="95" t="str">
        <f t="shared" si="66"/>
        <v/>
      </c>
      <c r="M175" s="96">
        <f t="shared" si="67"/>
        <v>1</v>
      </c>
      <c r="N175" s="97">
        <f>IF(M175=0,0,IF(SUM($M$5:M175)&gt;251,1,0))</f>
        <v>0</v>
      </c>
      <c r="O175" s="162">
        <v>40</v>
      </c>
      <c r="P175" s="163">
        <v>1</v>
      </c>
      <c r="Q175" s="98"/>
      <c r="R175" s="520" t="s">
        <v>543</v>
      </c>
      <c r="S175" s="521" t="str">
        <f t="shared" si="79"/>
        <v>放課後児童支援員</v>
      </c>
      <c r="T175" s="522" t="str">
        <f t="shared" si="73"/>
        <v>対象</v>
      </c>
      <c r="U175" s="523" t="s">
        <v>539</v>
      </c>
      <c r="V175" s="99" t="str">
        <f t="shared" si="80"/>
        <v>放課後児童支援員</v>
      </c>
      <c r="W175" s="100" t="str">
        <f t="shared" si="74"/>
        <v>対象</v>
      </c>
      <c r="X175" s="418" t="s">
        <v>546</v>
      </c>
      <c r="Y175" s="99" t="str">
        <f t="shared" si="81"/>
        <v>放課後児童支援員</v>
      </c>
      <c r="Z175" s="100" t="str">
        <f t="shared" si="75"/>
        <v>対象</v>
      </c>
      <c r="AA175" s="418"/>
      <c r="AB175" s="99">
        <f t="shared" si="82"/>
        <v>0</v>
      </c>
      <c r="AC175" s="100">
        <f t="shared" si="76"/>
        <v>0</v>
      </c>
      <c r="AD175" s="418"/>
      <c r="AE175" s="99">
        <f t="shared" si="83"/>
        <v>0</v>
      </c>
      <c r="AF175" s="100">
        <f t="shared" si="77"/>
        <v>0</v>
      </c>
      <c r="AG175" s="351" t="str">
        <f t="shared" si="78"/>
        <v/>
      </c>
      <c r="AH175" s="272" t="str">
        <f t="shared" si="68"/>
        <v/>
      </c>
      <c r="AI175" s="358" t="str">
        <f t="shared" si="69"/>
        <v/>
      </c>
      <c r="AJ175" s="272" t="str">
        <f t="shared" si="70"/>
        <v/>
      </c>
      <c r="AK175" s="361" t="str">
        <f t="shared" si="71"/>
        <v/>
      </c>
      <c r="AL175" s="11"/>
      <c r="AM175" s="11"/>
      <c r="AN175" s="11"/>
    </row>
    <row r="176" spans="1:40" ht="14.25">
      <c r="A176" s="787"/>
      <c r="B176" s="31" t="s">
        <v>191</v>
      </c>
      <c r="C176" s="184" t="s">
        <v>121</v>
      </c>
      <c r="D176" s="413" t="s">
        <v>171</v>
      </c>
      <c r="E176" s="49">
        <v>0.33333333333333331</v>
      </c>
      <c r="F176" s="49">
        <v>0.80555555555555547</v>
      </c>
      <c r="G176" s="93">
        <f t="shared" si="62"/>
        <v>0.47222222222222215</v>
      </c>
      <c r="H176" s="555" t="str">
        <f t="shared" si="72"/>
        <v>0:00</v>
      </c>
      <c r="I176" s="556">
        <f t="shared" si="63"/>
        <v>0</v>
      </c>
      <c r="J176" s="94">
        <f t="shared" si="64"/>
        <v>0.13888888888888884</v>
      </c>
      <c r="K176" s="32">
        <f t="shared" si="65"/>
        <v>1</v>
      </c>
      <c r="L176" s="95" t="str">
        <f t="shared" si="66"/>
        <v/>
      </c>
      <c r="M176" s="96">
        <f t="shared" si="67"/>
        <v>1</v>
      </c>
      <c r="N176" s="97">
        <f>IF(M176=0,0,IF(SUM($M$5:M176)&gt;251,1,0))</f>
        <v>0</v>
      </c>
      <c r="O176" s="162">
        <v>40</v>
      </c>
      <c r="P176" s="163">
        <v>1</v>
      </c>
      <c r="Q176" s="98"/>
      <c r="R176" s="415" t="s">
        <v>543</v>
      </c>
      <c r="S176" s="516" t="str">
        <f t="shared" si="79"/>
        <v>放課後児童支援員</v>
      </c>
      <c r="T176" s="517" t="str">
        <f t="shared" si="73"/>
        <v>対象</v>
      </c>
      <c r="U176" s="518" t="s">
        <v>539</v>
      </c>
      <c r="V176" s="99" t="str">
        <f t="shared" si="80"/>
        <v>放課後児童支援員</v>
      </c>
      <c r="W176" s="100" t="str">
        <f t="shared" si="74"/>
        <v>対象</v>
      </c>
      <c r="X176" s="418" t="s">
        <v>546</v>
      </c>
      <c r="Y176" s="99" t="str">
        <f t="shared" si="81"/>
        <v>放課後児童支援員</v>
      </c>
      <c r="Z176" s="100" t="str">
        <f t="shared" si="75"/>
        <v>対象</v>
      </c>
      <c r="AA176" s="418"/>
      <c r="AB176" s="99">
        <f t="shared" si="82"/>
        <v>0</v>
      </c>
      <c r="AC176" s="100">
        <f t="shared" si="76"/>
        <v>0</v>
      </c>
      <c r="AD176" s="418"/>
      <c r="AE176" s="99">
        <f t="shared" si="83"/>
        <v>0</v>
      </c>
      <c r="AF176" s="100">
        <f t="shared" si="77"/>
        <v>0</v>
      </c>
      <c r="AG176" s="351" t="str">
        <f t="shared" si="78"/>
        <v/>
      </c>
      <c r="AH176" s="272" t="str">
        <f t="shared" si="68"/>
        <v/>
      </c>
      <c r="AI176" s="358" t="str">
        <f t="shared" si="69"/>
        <v/>
      </c>
      <c r="AJ176" s="272" t="str">
        <f t="shared" si="70"/>
        <v/>
      </c>
      <c r="AK176" s="361" t="str">
        <f t="shared" si="71"/>
        <v/>
      </c>
      <c r="AL176" s="11"/>
      <c r="AM176" s="11"/>
      <c r="AN176" s="11"/>
    </row>
    <row r="177" spans="1:40" ht="14.25">
      <c r="A177" s="787"/>
      <c r="B177" s="31" t="s">
        <v>192</v>
      </c>
      <c r="C177" s="184" t="s">
        <v>122</v>
      </c>
      <c r="D177" s="413" t="s">
        <v>171</v>
      </c>
      <c r="E177" s="49">
        <v>0.33333333333333331</v>
      </c>
      <c r="F177" s="49">
        <v>0.6875</v>
      </c>
      <c r="G177" s="93">
        <f t="shared" si="62"/>
        <v>0.35416666666666669</v>
      </c>
      <c r="H177" s="555" t="str">
        <f t="shared" si="72"/>
        <v>0:00</v>
      </c>
      <c r="I177" s="556">
        <f t="shared" si="63"/>
        <v>0</v>
      </c>
      <c r="J177" s="94">
        <f t="shared" si="64"/>
        <v>2.083333333333337E-2</v>
      </c>
      <c r="K177" s="32">
        <f t="shared" si="65"/>
        <v>1</v>
      </c>
      <c r="L177" s="95" t="str">
        <f t="shared" si="66"/>
        <v/>
      </c>
      <c r="M177" s="96">
        <f t="shared" si="67"/>
        <v>1</v>
      </c>
      <c r="N177" s="97">
        <f>IF(M177=0,0,IF(SUM($M$5:M177)&gt;251,1,0))</f>
        <v>0</v>
      </c>
      <c r="O177" s="162">
        <v>5</v>
      </c>
      <c r="P177" s="163">
        <v>0</v>
      </c>
      <c r="Q177" s="98"/>
      <c r="R177" s="415" t="s">
        <v>543</v>
      </c>
      <c r="S177" s="99" t="str">
        <f t="shared" si="79"/>
        <v>放課後児童支援員</v>
      </c>
      <c r="T177" s="100" t="str">
        <f t="shared" si="73"/>
        <v>対象</v>
      </c>
      <c r="U177" s="418" t="s">
        <v>539</v>
      </c>
      <c r="V177" s="99" t="str">
        <f t="shared" si="80"/>
        <v>放課後児童支援員</v>
      </c>
      <c r="W177" s="100" t="str">
        <f t="shared" si="74"/>
        <v>対象</v>
      </c>
      <c r="X177" s="418" t="s">
        <v>546</v>
      </c>
      <c r="Y177" s="99" t="str">
        <f t="shared" si="81"/>
        <v>放課後児童支援員</v>
      </c>
      <c r="Z177" s="100" t="str">
        <f t="shared" si="75"/>
        <v>対象</v>
      </c>
      <c r="AA177" s="418"/>
      <c r="AB177" s="99">
        <f t="shared" si="82"/>
        <v>0</v>
      </c>
      <c r="AC177" s="100">
        <f t="shared" si="76"/>
        <v>0</v>
      </c>
      <c r="AD177" s="418"/>
      <c r="AE177" s="99">
        <f t="shared" si="83"/>
        <v>0</v>
      </c>
      <c r="AF177" s="100">
        <f t="shared" si="77"/>
        <v>0</v>
      </c>
      <c r="AG177" s="351" t="str">
        <f t="shared" si="78"/>
        <v/>
      </c>
      <c r="AH177" s="272" t="str">
        <f t="shared" si="68"/>
        <v/>
      </c>
      <c r="AI177" s="358" t="str">
        <f t="shared" si="69"/>
        <v/>
      </c>
      <c r="AJ177" s="272" t="str">
        <f t="shared" si="70"/>
        <v/>
      </c>
      <c r="AK177" s="361" t="str">
        <f t="shared" si="71"/>
        <v/>
      </c>
      <c r="AL177" s="11"/>
      <c r="AM177" s="11"/>
      <c r="AN177" s="11"/>
    </row>
    <row r="178" spans="1:40" ht="14.25">
      <c r="A178" s="787"/>
      <c r="B178" s="31" t="s">
        <v>193</v>
      </c>
      <c r="C178" s="184" t="s">
        <v>183</v>
      </c>
      <c r="D178" s="413" t="s">
        <v>173</v>
      </c>
      <c r="E178" s="49"/>
      <c r="F178" s="49"/>
      <c r="G178" s="93">
        <f t="shared" si="62"/>
        <v>0</v>
      </c>
      <c r="H178" s="555" t="str">
        <f t="shared" si="72"/>
        <v>0:00</v>
      </c>
      <c r="I178" s="556">
        <f t="shared" si="63"/>
        <v>0</v>
      </c>
      <c r="J178" s="94">
        <f t="shared" si="64"/>
        <v>0</v>
      </c>
      <c r="K178" s="32">
        <f t="shared" si="65"/>
        <v>0</v>
      </c>
      <c r="L178" s="95" t="str">
        <f t="shared" si="66"/>
        <v/>
      </c>
      <c r="M178" s="96">
        <f t="shared" si="67"/>
        <v>0</v>
      </c>
      <c r="N178" s="97">
        <f>IF(M178=0,0,IF(SUM($M$5:M178)&gt;251,1,0))</f>
        <v>0</v>
      </c>
      <c r="O178" s="162"/>
      <c r="P178" s="163"/>
      <c r="Q178" s="98"/>
      <c r="R178" s="524"/>
      <c r="S178" s="521">
        <f t="shared" si="79"/>
        <v>0</v>
      </c>
      <c r="T178" s="522">
        <f t="shared" si="73"/>
        <v>0</v>
      </c>
      <c r="U178" s="525"/>
      <c r="V178" s="99">
        <f t="shared" si="80"/>
        <v>0</v>
      </c>
      <c r="W178" s="100">
        <f t="shared" si="74"/>
        <v>0</v>
      </c>
      <c r="X178" s="418"/>
      <c r="Y178" s="99">
        <f t="shared" si="81"/>
        <v>0</v>
      </c>
      <c r="Z178" s="100">
        <f t="shared" si="75"/>
        <v>0</v>
      </c>
      <c r="AA178" s="418"/>
      <c r="AB178" s="99">
        <f t="shared" si="82"/>
        <v>0</v>
      </c>
      <c r="AC178" s="100">
        <f t="shared" si="76"/>
        <v>0</v>
      </c>
      <c r="AD178" s="418"/>
      <c r="AE178" s="99">
        <f t="shared" si="83"/>
        <v>0</v>
      </c>
      <c r="AF178" s="100">
        <f t="shared" si="77"/>
        <v>0</v>
      </c>
      <c r="AG178" s="351" t="str">
        <f t="shared" si="78"/>
        <v/>
      </c>
      <c r="AH178" s="272" t="str">
        <f t="shared" si="68"/>
        <v/>
      </c>
      <c r="AI178" s="358" t="str">
        <f t="shared" si="69"/>
        <v/>
      </c>
      <c r="AJ178" s="272" t="str">
        <f t="shared" si="70"/>
        <v/>
      </c>
      <c r="AK178" s="361" t="str">
        <f t="shared" si="71"/>
        <v/>
      </c>
      <c r="AL178" s="11"/>
      <c r="AM178" s="11"/>
      <c r="AN178" s="11"/>
    </row>
    <row r="179" spans="1:40" ht="14.25">
      <c r="A179" s="787"/>
      <c r="B179" s="31" t="s">
        <v>194</v>
      </c>
      <c r="C179" s="184" t="s">
        <v>118</v>
      </c>
      <c r="D179" s="413" t="s">
        <v>171</v>
      </c>
      <c r="E179" s="49">
        <v>0.33333333333333331</v>
      </c>
      <c r="F179" s="49">
        <v>0.7715277777777777</v>
      </c>
      <c r="G179" s="93">
        <f t="shared" si="62"/>
        <v>0.43819444444444439</v>
      </c>
      <c r="H179" s="555" t="str">
        <f t="shared" si="72"/>
        <v>0:00</v>
      </c>
      <c r="I179" s="556">
        <f t="shared" si="63"/>
        <v>0</v>
      </c>
      <c r="J179" s="94">
        <f t="shared" si="64"/>
        <v>0.10486111111111107</v>
      </c>
      <c r="K179" s="32">
        <f t="shared" si="65"/>
        <v>1</v>
      </c>
      <c r="L179" s="95" t="str">
        <f t="shared" si="66"/>
        <v/>
      </c>
      <c r="M179" s="96">
        <f t="shared" si="67"/>
        <v>1</v>
      </c>
      <c r="N179" s="97">
        <f>IF(M179=0,0,IF(SUM($M$5:M179)&gt;251,1,0))</f>
        <v>0</v>
      </c>
      <c r="O179" s="162">
        <v>40</v>
      </c>
      <c r="P179" s="163">
        <v>1</v>
      </c>
      <c r="Q179" s="98"/>
      <c r="R179" s="415" t="s">
        <v>543</v>
      </c>
      <c r="S179" s="516" t="str">
        <f t="shared" si="79"/>
        <v>放課後児童支援員</v>
      </c>
      <c r="T179" s="517" t="str">
        <f t="shared" si="73"/>
        <v>対象</v>
      </c>
      <c r="U179" s="518" t="s">
        <v>539</v>
      </c>
      <c r="V179" s="99" t="str">
        <f t="shared" si="80"/>
        <v>放課後児童支援員</v>
      </c>
      <c r="W179" s="100" t="str">
        <f t="shared" si="74"/>
        <v>対象</v>
      </c>
      <c r="X179" s="418"/>
      <c r="Y179" s="99">
        <f t="shared" si="81"/>
        <v>0</v>
      </c>
      <c r="Z179" s="100">
        <f t="shared" si="75"/>
        <v>0</v>
      </c>
      <c r="AA179" s="418"/>
      <c r="AB179" s="99">
        <f t="shared" si="82"/>
        <v>0</v>
      </c>
      <c r="AC179" s="100">
        <f t="shared" si="76"/>
        <v>0</v>
      </c>
      <c r="AD179" s="418"/>
      <c r="AE179" s="99">
        <f t="shared" si="83"/>
        <v>0</v>
      </c>
      <c r="AF179" s="100">
        <f t="shared" si="77"/>
        <v>0</v>
      </c>
      <c r="AG179" s="351" t="str">
        <f t="shared" si="78"/>
        <v/>
      </c>
      <c r="AH179" s="272" t="str">
        <f t="shared" si="68"/>
        <v/>
      </c>
      <c r="AI179" s="358" t="str">
        <f t="shared" si="69"/>
        <v/>
      </c>
      <c r="AJ179" s="272" t="str">
        <f t="shared" si="70"/>
        <v/>
      </c>
      <c r="AK179" s="361" t="str">
        <f t="shared" si="71"/>
        <v/>
      </c>
      <c r="AL179" s="11"/>
      <c r="AM179" s="11"/>
      <c r="AN179" s="11"/>
    </row>
    <row r="180" spans="1:40" ht="14.25">
      <c r="A180" s="787"/>
      <c r="B180" s="31" t="s">
        <v>195</v>
      </c>
      <c r="C180" s="184" t="s">
        <v>123</v>
      </c>
      <c r="D180" s="413" t="s">
        <v>171</v>
      </c>
      <c r="E180" s="49">
        <v>0.33333333333333331</v>
      </c>
      <c r="F180" s="49">
        <v>0.79166666666666663</v>
      </c>
      <c r="G180" s="93">
        <f t="shared" si="62"/>
        <v>0.45833333333333331</v>
      </c>
      <c r="H180" s="555" t="str">
        <f t="shared" si="72"/>
        <v>0:00</v>
      </c>
      <c r="I180" s="556">
        <f t="shared" si="63"/>
        <v>0</v>
      </c>
      <c r="J180" s="94">
        <f t="shared" si="64"/>
        <v>0.125</v>
      </c>
      <c r="K180" s="32">
        <f t="shared" si="65"/>
        <v>1</v>
      </c>
      <c r="L180" s="95" t="str">
        <f t="shared" si="66"/>
        <v/>
      </c>
      <c r="M180" s="96">
        <f t="shared" si="67"/>
        <v>1</v>
      </c>
      <c r="N180" s="97">
        <f>IF(M180=0,0,IF(SUM($M$5:M180)&gt;251,1,0))</f>
        <v>0</v>
      </c>
      <c r="O180" s="162">
        <v>40</v>
      </c>
      <c r="P180" s="163">
        <v>1</v>
      </c>
      <c r="Q180" s="98"/>
      <c r="R180" s="520" t="s">
        <v>543</v>
      </c>
      <c r="S180" s="521" t="str">
        <f t="shared" si="79"/>
        <v>放課後児童支援員</v>
      </c>
      <c r="T180" s="522" t="str">
        <f t="shared" si="73"/>
        <v>対象</v>
      </c>
      <c r="U180" s="523" t="s">
        <v>539</v>
      </c>
      <c r="V180" s="99" t="str">
        <f t="shared" si="80"/>
        <v>放課後児童支援員</v>
      </c>
      <c r="W180" s="100" t="str">
        <f t="shared" si="74"/>
        <v>対象</v>
      </c>
      <c r="X180" s="418"/>
      <c r="Y180" s="99">
        <f t="shared" si="81"/>
        <v>0</v>
      </c>
      <c r="Z180" s="100">
        <f t="shared" si="75"/>
        <v>0</v>
      </c>
      <c r="AA180" s="418"/>
      <c r="AB180" s="99">
        <f t="shared" si="82"/>
        <v>0</v>
      </c>
      <c r="AC180" s="100">
        <f t="shared" si="76"/>
        <v>0</v>
      </c>
      <c r="AD180" s="418"/>
      <c r="AE180" s="99">
        <f t="shared" si="83"/>
        <v>0</v>
      </c>
      <c r="AF180" s="100">
        <f t="shared" si="77"/>
        <v>0</v>
      </c>
      <c r="AG180" s="351" t="str">
        <f t="shared" si="78"/>
        <v/>
      </c>
      <c r="AH180" s="272" t="str">
        <f t="shared" si="68"/>
        <v/>
      </c>
      <c r="AI180" s="358" t="str">
        <f t="shared" si="69"/>
        <v/>
      </c>
      <c r="AJ180" s="272" t="str">
        <f t="shared" si="70"/>
        <v/>
      </c>
      <c r="AK180" s="361" t="str">
        <f t="shared" si="71"/>
        <v/>
      </c>
      <c r="AL180" s="11"/>
      <c r="AM180" s="11"/>
      <c r="AN180" s="11"/>
    </row>
    <row r="181" spans="1:40" ht="14.25">
      <c r="A181" s="787"/>
      <c r="B181" s="31" t="s">
        <v>196</v>
      </c>
      <c r="C181" s="184" t="s">
        <v>119</v>
      </c>
      <c r="D181" s="413" t="s">
        <v>171</v>
      </c>
      <c r="E181" s="49">
        <v>0.33333333333333331</v>
      </c>
      <c r="F181" s="49">
        <v>0.79166666666666663</v>
      </c>
      <c r="G181" s="93">
        <f t="shared" si="62"/>
        <v>0.45833333333333331</v>
      </c>
      <c r="H181" s="555" t="str">
        <f t="shared" si="72"/>
        <v>0:00</v>
      </c>
      <c r="I181" s="556">
        <f t="shared" si="63"/>
        <v>0</v>
      </c>
      <c r="J181" s="94">
        <f t="shared" si="64"/>
        <v>0.125</v>
      </c>
      <c r="K181" s="32">
        <f t="shared" si="65"/>
        <v>1</v>
      </c>
      <c r="L181" s="95" t="str">
        <f t="shared" si="66"/>
        <v/>
      </c>
      <c r="M181" s="96">
        <f t="shared" si="67"/>
        <v>1</v>
      </c>
      <c r="N181" s="97">
        <f>IF(M181=0,0,IF(SUM($M$5:M181)&gt;251,1,0))</f>
        <v>0</v>
      </c>
      <c r="O181" s="162">
        <v>40</v>
      </c>
      <c r="P181" s="163">
        <v>1</v>
      </c>
      <c r="Q181" s="98"/>
      <c r="R181" s="415" t="s">
        <v>543</v>
      </c>
      <c r="S181" s="516" t="str">
        <f t="shared" si="79"/>
        <v>放課後児童支援員</v>
      </c>
      <c r="T181" s="517" t="str">
        <f t="shared" si="73"/>
        <v>対象</v>
      </c>
      <c r="U181" s="518" t="s">
        <v>539</v>
      </c>
      <c r="V181" s="99" t="str">
        <f t="shared" si="80"/>
        <v>放課後児童支援員</v>
      </c>
      <c r="W181" s="100" t="str">
        <f t="shared" si="74"/>
        <v>対象</v>
      </c>
      <c r="X181" s="418" t="s">
        <v>546</v>
      </c>
      <c r="Y181" s="99" t="str">
        <f t="shared" si="81"/>
        <v>放課後児童支援員</v>
      </c>
      <c r="Z181" s="100" t="str">
        <f t="shared" si="75"/>
        <v>対象</v>
      </c>
      <c r="AA181" s="418"/>
      <c r="AB181" s="99">
        <f t="shared" si="82"/>
        <v>0</v>
      </c>
      <c r="AC181" s="100">
        <f t="shared" si="76"/>
        <v>0</v>
      </c>
      <c r="AD181" s="418"/>
      <c r="AE181" s="99">
        <f t="shared" si="83"/>
        <v>0</v>
      </c>
      <c r="AF181" s="100">
        <f t="shared" si="77"/>
        <v>0</v>
      </c>
      <c r="AG181" s="351" t="str">
        <f t="shared" si="78"/>
        <v/>
      </c>
      <c r="AH181" s="272" t="str">
        <f t="shared" si="68"/>
        <v/>
      </c>
      <c r="AI181" s="358" t="str">
        <f t="shared" si="69"/>
        <v/>
      </c>
      <c r="AJ181" s="272" t="str">
        <f t="shared" si="70"/>
        <v/>
      </c>
      <c r="AK181" s="361" t="str">
        <f t="shared" si="71"/>
        <v/>
      </c>
      <c r="AL181" s="11"/>
      <c r="AM181" s="11"/>
      <c r="AN181" s="11"/>
    </row>
    <row r="182" spans="1:40" ht="14.25">
      <c r="A182" s="787"/>
      <c r="B182" s="31" t="s">
        <v>197</v>
      </c>
      <c r="C182" s="184" t="s">
        <v>120</v>
      </c>
      <c r="D182" s="413" t="s">
        <v>171</v>
      </c>
      <c r="E182" s="49">
        <v>0.33333333333333331</v>
      </c>
      <c r="F182" s="49">
        <v>0.79166666666666663</v>
      </c>
      <c r="G182" s="93">
        <f t="shared" si="62"/>
        <v>0.45833333333333331</v>
      </c>
      <c r="H182" s="555" t="str">
        <f t="shared" si="72"/>
        <v>0:00</v>
      </c>
      <c r="I182" s="556">
        <f t="shared" si="63"/>
        <v>0</v>
      </c>
      <c r="J182" s="94">
        <f t="shared" si="64"/>
        <v>0.125</v>
      </c>
      <c r="K182" s="32">
        <f t="shared" si="65"/>
        <v>1</v>
      </c>
      <c r="L182" s="95" t="str">
        <f t="shared" si="66"/>
        <v/>
      </c>
      <c r="M182" s="96">
        <f t="shared" si="67"/>
        <v>1</v>
      </c>
      <c r="N182" s="97">
        <f>IF(M182=0,0,IF(SUM($M$5:M182)&gt;251,1,0))</f>
        <v>0</v>
      </c>
      <c r="O182" s="162">
        <v>40</v>
      </c>
      <c r="P182" s="163">
        <v>1</v>
      </c>
      <c r="Q182" s="98"/>
      <c r="R182" s="520" t="s">
        <v>543</v>
      </c>
      <c r="S182" s="521" t="str">
        <f t="shared" si="79"/>
        <v>放課後児童支援員</v>
      </c>
      <c r="T182" s="522" t="str">
        <f t="shared" si="73"/>
        <v>対象</v>
      </c>
      <c r="U182" s="523" t="s">
        <v>539</v>
      </c>
      <c r="V182" s="99" t="str">
        <f t="shared" si="80"/>
        <v>放課後児童支援員</v>
      </c>
      <c r="W182" s="100" t="str">
        <f t="shared" si="74"/>
        <v>対象</v>
      </c>
      <c r="X182" s="418" t="s">
        <v>546</v>
      </c>
      <c r="Y182" s="99" t="str">
        <f t="shared" si="81"/>
        <v>放課後児童支援員</v>
      </c>
      <c r="Z182" s="100" t="str">
        <f t="shared" si="75"/>
        <v>対象</v>
      </c>
      <c r="AA182" s="418"/>
      <c r="AB182" s="99">
        <f t="shared" si="82"/>
        <v>0</v>
      </c>
      <c r="AC182" s="100">
        <f t="shared" si="76"/>
        <v>0</v>
      </c>
      <c r="AD182" s="418"/>
      <c r="AE182" s="99">
        <f t="shared" si="83"/>
        <v>0</v>
      </c>
      <c r="AF182" s="100">
        <f t="shared" si="77"/>
        <v>0</v>
      </c>
      <c r="AG182" s="351" t="str">
        <f t="shared" si="78"/>
        <v/>
      </c>
      <c r="AH182" s="272" t="str">
        <f t="shared" si="68"/>
        <v/>
      </c>
      <c r="AI182" s="358" t="str">
        <f t="shared" si="69"/>
        <v/>
      </c>
      <c r="AJ182" s="272" t="str">
        <f t="shared" si="70"/>
        <v/>
      </c>
      <c r="AK182" s="361" t="str">
        <f t="shared" si="71"/>
        <v/>
      </c>
      <c r="AL182" s="11"/>
      <c r="AM182" s="11"/>
      <c r="AN182" s="11"/>
    </row>
    <row r="183" spans="1:40" ht="14.25">
      <c r="A183" s="787"/>
      <c r="B183" s="31" t="s">
        <v>198</v>
      </c>
      <c r="C183" s="184" t="s">
        <v>121</v>
      </c>
      <c r="D183" s="413" t="s">
        <v>171</v>
      </c>
      <c r="E183" s="49">
        <v>0.33333333333333331</v>
      </c>
      <c r="F183" s="49">
        <v>0.80555555555555547</v>
      </c>
      <c r="G183" s="93">
        <f t="shared" si="62"/>
        <v>0.47222222222222215</v>
      </c>
      <c r="H183" s="555" t="str">
        <f t="shared" si="72"/>
        <v>0:00</v>
      </c>
      <c r="I183" s="556">
        <f t="shared" si="63"/>
        <v>0</v>
      </c>
      <c r="J183" s="94">
        <f t="shared" si="64"/>
        <v>0.13888888888888884</v>
      </c>
      <c r="K183" s="32">
        <f t="shared" si="65"/>
        <v>1</v>
      </c>
      <c r="L183" s="95" t="str">
        <f t="shared" si="66"/>
        <v/>
      </c>
      <c r="M183" s="96">
        <f t="shared" si="67"/>
        <v>1</v>
      </c>
      <c r="N183" s="97">
        <f>IF(M183=0,0,IF(SUM($M$5:M183)&gt;251,1,0))</f>
        <v>0</v>
      </c>
      <c r="O183" s="162">
        <v>40</v>
      </c>
      <c r="P183" s="163">
        <v>1</v>
      </c>
      <c r="Q183" s="98"/>
      <c r="R183" s="415" t="s">
        <v>543</v>
      </c>
      <c r="S183" s="516" t="str">
        <f t="shared" si="79"/>
        <v>放課後児童支援員</v>
      </c>
      <c r="T183" s="517" t="str">
        <f t="shared" si="73"/>
        <v>対象</v>
      </c>
      <c r="U183" s="518" t="s">
        <v>539</v>
      </c>
      <c r="V183" s="99" t="str">
        <f t="shared" si="80"/>
        <v>放課後児童支援員</v>
      </c>
      <c r="W183" s="100" t="str">
        <f t="shared" si="74"/>
        <v>対象</v>
      </c>
      <c r="X183" s="418" t="s">
        <v>546</v>
      </c>
      <c r="Y183" s="99" t="str">
        <f t="shared" si="81"/>
        <v>放課後児童支援員</v>
      </c>
      <c r="Z183" s="100" t="str">
        <f t="shared" si="75"/>
        <v>対象</v>
      </c>
      <c r="AA183" s="418"/>
      <c r="AB183" s="99">
        <f t="shared" si="82"/>
        <v>0</v>
      </c>
      <c r="AC183" s="100">
        <f t="shared" si="76"/>
        <v>0</v>
      </c>
      <c r="AD183" s="418"/>
      <c r="AE183" s="99">
        <f t="shared" si="83"/>
        <v>0</v>
      </c>
      <c r="AF183" s="100">
        <f t="shared" si="77"/>
        <v>0</v>
      </c>
      <c r="AG183" s="351" t="str">
        <f t="shared" si="78"/>
        <v/>
      </c>
      <c r="AH183" s="272" t="str">
        <f t="shared" si="68"/>
        <v/>
      </c>
      <c r="AI183" s="358" t="str">
        <f t="shared" si="69"/>
        <v/>
      </c>
      <c r="AJ183" s="272" t="str">
        <f t="shared" si="70"/>
        <v/>
      </c>
      <c r="AK183" s="361" t="str">
        <f t="shared" si="71"/>
        <v/>
      </c>
      <c r="AL183" s="11"/>
      <c r="AM183" s="11"/>
      <c r="AN183" s="11"/>
    </row>
    <row r="184" spans="1:40" ht="14.25">
      <c r="A184" s="787"/>
      <c r="B184" s="31" t="s">
        <v>199</v>
      </c>
      <c r="C184" s="184" t="s">
        <v>122</v>
      </c>
      <c r="D184" s="413" t="s">
        <v>173</v>
      </c>
      <c r="E184" s="49"/>
      <c r="F184" s="49"/>
      <c r="G184" s="93">
        <f t="shared" si="62"/>
        <v>0</v>
      </c>
      <c r="H184" s="555" t="str">
        <f t="shared" si="72"/>
        <v>0:00</v>
      </c>
      <c r="I184" s="556">
        <f t="shared" si="63"/>
        <v>0</v>
      </c>
      <c r="J184" s="94">
        <f t="shared" si="64"/>
        <v>0</v>
      </c>
      <c r="K184" s="32">
        <f t="shared" si="65"/>
        <v>0</v>
      </c>
      <c r="L184" s="95" t="str">
        <f t="shared" si="66"/>
        <v/>
      </c>
      <c r="M184" s="96">
        <f t="shared" si="67"/>
        <v>0</v>
      </c>
      <c r="N184" s="97">
        <f>IF(M184=0,0,IF(SUM($M$5:M184)&gt;251,1,0))</f>
        <v>0</v>
      </c>
      <c r="O184" s="162"/>
      <c r="P184" s="163"/>
      <c r="Q184" s="98"/>
      <c r="R184" s="415"/>
      <c r="S184" s="99">
        <f t="shared" si="79"/>
        <v>0</v>
      </c>
      <c r="T184" s="100">
        <f t="shared" si="73"/>
        <v>0</v>
      </c>
      <c r="U184" s="418"/>
      <c r="V184" s="99">
        <f t="shared" si="80"/>
        <v>0</v>
      </c>
      <c r="W184" s="100">
        <f t="shared" si="74"/>
        <v>0</v>
      </c>
      <c r="X184" s="418"/>
      <c r="Y184" s="99">
        <f t="shared" si="81"/>
        <v>0</v>
      </c>
      <c r="Z184" s="100">
        <f t="shared" si="75"/>
        <v>0</v>
      </c>
      <c r="AA184" s="418"/>
      <c r="AB184" s="99">
        <f t="shared" si="82"/>
        <v>0</v>
      </c>
      <c r="AC184" s="100">
        <f t="shared" si="76"/>
        <v>0</v>
      </c>
      <c r="AD184" s="418"/>
      <c r="AE184" s="99">
        <f t="shared" si="83"/>
        <v>0</v>
      </c>
      <c r="AF184" s="100">
        <f t="shared" si="77"/>
        <v>0</v>
      </c>
      <c r="AG184" s="351" t="str">
        <f t="shared" si="78"/>
        <v/>
      </c>
      <c r="AH184" s="272" t="str">
        <f t="shared" si="68"/>
        <v/>
      </c>
      <c r="AI184" s="358" t="str">
        <f t="shared" si="69"/>
        <v/>
      </c>
      <c r="AJ184" s="272" t="str">
        <f t="shared" si="70"/>
        <v/>
      </c>
      <c r="AK184" s="361" t="str">
        <f t="shared" si="71"/>
        <v/>
      </c>
      <c r="AL184" s="11"/>
      <c r="AM184" s="11"/>
      <c r="AN184" s="11"/>
    </row>
    <row r="185" spans="1:40" ht="14.25">
      <c r="A185" s="787"/>
      <c r="B185" s="31" t="s">
        <v>200</v>
      </c>
      <c r="C185" s="184" t="s">
        <v>183</v>
      </c>
      <c r="D185" s="413" t="s">
        <v>173</v>
      </c>
      <c r="E185" s="49"/>
      <c r="F185" s="49"/>
      <c r="G185" s="93">
        <f t="shared" si="62"/>
        <v>0</v>
      </c>
      <c r="H185" s="555" t="str">
        <f t="shared" si="72"/>
        <v>0:00</v>
      </c>
      <c r="I185" s="556">
        <f t="shared" si="63"/>
        <v>0</v>
      </c>
      <c r="J185" s="94">
        <f t="shared" si="64"/>
        <v>0</v>
      </c>
      <c r="K185" s="32">
        <f t="shared" si="65"/>
        <v>0</v>
      </c>
      <c r="L185" s="95" t="str">
        <f t="shared" si="66"/>
        <v/>
      </c>
      <c r="M185" s="96">
        <f t="shared" si="67"/>
        <v>0</v>
      </c>
      <c r="N185" s="97">
        <f>IF(M185=0,0,IF(SUM($M$5:M185)&gt;251,1,0))</f>
        <v>0</v>
      </c>
      <c r="O185" s="162"/>
      <c r="P185" s="163"/>
      <c r="Q185" s="98"/>
      <c r="R185" s="524"/>
      <c r="S185" s="521">
        <f t="shared" si="79"/>
        <v>0</v>
      </c>
      <c r="T185" s="522">
        <f t="shared" si="73"/>
        <v>0</v>
      </c>
      <c r="U185" s="525"/>
      <c r="V185" s="99">
        <f t="shared" si="80"/>
        <v>0</v>
      </c>
      <c r="W185" s="100">
        <f t="shared" si="74"/>
        <v>0</v>
      </c>
      <c r="X185" s="418"/>
      <c r="Y185" s="99">
        <f t="shared" si="81"/>
        <v>0</v>
      </c>
      <c r="Z185" s="100">
        <f t="shared" si="75"/>
        <v>0</v>
      </c>
      <c r="AA185" s="418"/>
      <c r="AB185" s="99">
        <f t="shared" si="82"/>
        <v>0</v>
      </c>
      <c r="AC185" s="100">
        <f t="shared" si="76"/>
        <v>0</v>
      </c>
      <c r="AD185" s="418"/>
      <c r="AE185" s="99">
        <f t="shared" si="83"/>
        <v>0</v>
      </c>
      <c r="AF185" s="100">
        <f t="shared" si="77"/>
        <v>0</v>
      </c>
      <c r="AG185" s="351" t="str">
        <f t="shared" si="78"/>
        <v/>
      </c>
      <c r="AH185" s="272" t="str">
        <f t="shared" si="68"/>
        <v/>
      </c>
      <c r="AI185" s="358" t="str">
        <f t="shared" si="69"/>
        <v/>
      </c>
      <c r="AJ185" s="272" t="str">
        <f t="shared" si="70"/>
        <v/>
      </c>
      <c r="AK185" s="361" t="str">
        <f t="shared" si="71"/>
        <v/>
      </c>
      <c r="AL185" s="11"/>
      <c r="AM185" s="11"/>
      <c r="AN185" s="11"/>
    </row>
    <row r="186" spans="1:40" ht="14.25">
      <c r="A186" s="787"/>
      <c r="B186" s="31" t="s">
        <v>201</v>
      </c>
      <c r="C186" s="184" t="s">
        <v>118</v>
      </c>
      <c r="D186" s="413" t="s">
        <v>171</v>
      </c>
      <c r="E186" s="49">
        <v>0.33333333333333331</v>
      </c>
      <c r="F186" s="49">
        <v>0.7715277777777777</v>
      </c>
      <c r="G186" s="93">
        <f t="shared" si="62"/>
        <v>0.43819444444444439</v>
      </c>
      <c r="H186" s="555" t="str">
        <f t="shared" si="72"/>
        <v>0:00</v>
      </c>
      <c r="I186" s="556">
        <f t="shared" si="63"/>
        <v>0</v>
      </c>
      <c r="J186" s="94">
        <f t="shared" si="64"/>
        <v>0.10486111111111107</v>
      </c>
      <c r="K186" s="32">
        <f t="shared" si="65"/>
        <v>1</v>
      </c>
      <c r="L186" s="95" t="str">
        <f t="shared" si="66"/>
        <v/>
      </c>
      <c r="M186" s="96">
        <f t="shared" si="67"/>
        <v>1</v>
      </c>
      <c r="N186" s="97">
        <f>IF(M186=0,0,IF(SUM($M$5:M186)&gt;251,1,0))</f>
        <v>0</v>
      </c>
      <c r="O186" s="162">
        <v>40</v>
      </c>
      <c r="P186" s="163">
        <v>1</v>
      </c>
      <c r="Q186" s="98"/>
      <c r="R186" s="415" t="s">
        <v>543</v>
      </c>
      <c r="S186" s="516" t="str">
        <f t="shared" si="79"/>
        <v>放課後児童支援員</v>
      </c>
      <c r="T186" s="517" t="str">
        <f t="shared" si="73"/>
        <v>対象</v>
      </c>
      <c r="U186" s="518" t="s">
        <v>539</v>
      </c>
      <c r="V186" s="99" t="str">
        <f t="shared" si="80"/>
        <v>放課後児童支援員</v>
      </c>
      <c r="W186" s="100" t="str">
        <f t="shared" si="74"/>
        <v>対象</v>
      </c>
      <c r="X186" s="418"/>
      <c r="Y186" s="99">
        <f t="shared" si="81"/>
        <v>0</v>
      </c>
      <c r="Z186" s="100">
        <f t="shared" si="75"/>
        <v>0</v>
      </c>
      <c r="AA186" s="418"/>
      <c r="AB186" s="99">
        <f t="shared" si="82"/>
        <v>0</v>
      </c>
      <c r="AC186" s="100">
        <f t="shared" si="76"/>
        <v>0</v>
      </c>
      <c r="AD186" s="418"/>
      <c r="AE186" s="99">
        <f t="shared" si="83"/>
        <v>0</v>
      </c>
      <c r="AF186" s="100">
        <f t="shared" si="77"/>
        <v>0</v>
      </c>
      <c r="AG186" s="351" t="str">
        <f t="shared" si="78"/>
        <v/>
      </c>
      <c r="AH186" s="272" t="str">
        <f t="shared" si="68"/>
        <v/>
      </c>
      <c r="AI186" s="358" t="str">
        <f t="shared" si="69"/>
        <v/>
      </c>
      <c r="AJ186" s="272" t="str">
        <f t="shared" si="70"/>
        <v/>
      </c>
      <c r="AK186" s="361" t="str">
        <f t="shared" si="71"/>
        <v/>
      </c>
      <c r="AL186" s="11"/>
      <c r="AM186" s="11"/>
      <c r="AN186" s="11"/>
    </row>
    <row r="187" spans="1:40" ht="15" thickBot="1">
      <c r="A187" s="788"/>
      <c r="B187" s="33" t="s">
        <v>202</v>
      </c>
      <c r="C187" s="184" t="s">
        <v>123</v>
      </c>
      <c r="D187" s="413" t="s">
        <v>171</v>
      </c>
      <c r="E187" s="49">
        <v>0.33333333333333331</v>
      </c>
      <c r="F187" s="49">
        <v>0.79166666666666663</v>
      </c>
      <c r="G187" s="101">
        <f t="shared" si="62"/>
        <v>0.45833333333333331</v>
      </c>
      <c r="H187" s="555" t="str">
        <f t="shared" si="72"/>
        <v>0:00</v>
      </c>
      <c r="I187" s="557">
        <f t="shared" si="63"/>
        <v>0</v>
      </c>
      <c r="J187" s="102">
        <f t="shared" si="64"/>
        <v>0.125</v>
      </c>
      <c r="K187" s="34">
        <f t="shared" si="65"/>
        <v>1</v>
      </c>
      <c r="L187" s="103" t="str">
        <f t="shared" si="66"/>
        <v/>
      </c>
      <c r="M187" s="104">
        <f t="shared" si="67"/>
        <v>1</v>
      </c>
      <c r="N187" s="105">
        <f>IF(M187=0,0,IF(SUM($M$5:M187)&gt;251,1,0))</f>
        <v>0</v>
      </c>
      <c r="O187" s="162">
        <v>40</v>
      </c>
      <c r="P187" s="163">
        <v>1</v>
      </c>
      <c r="Q187" s="108">
        <f>SUM(O158:O187)</f>
        <v>890</v>
      </c>
      <c r="R187" s="513" t="s">
        <v>543</v>
      </c>
      <c r="S187" s="185" t="str">
        <f t="shared" si="79"/>
        <v>放課後児童支援員</v>
      </c>
      <c r="T187" s="107" t="str">
        <f t="shared" si="73"/>
        <v>対象</v>
      </c>
      <c r="U187" s="514" t="s">
        <v>539</v>
      </c>
      <c r="V187" s="185" t="str">
        <f t="shared" si="80"/>
        <v>放課後児童支援員</v>
      </c>
      <c r="W187" s="107" t="str">
        <f t="shared" si="74"/>
        <v>対象</v>
      </c>
      <c r="X187" s="419" t="s">
        <v>546</v>
      </c>
      <c r="Y187" s="185" t="str">
        <f t="shared" si="81"/>
        <v>放課後児童支援員</v>
      </c>
      <c r="Z187" s="107" t="str">
        <f t="shared" si="75"/>
        <v>対象</v>
      </c>
      <c r="AA187" s="419"/>
      <c r="AB187" s="185">
        <f t="shared" si="82"/>
        <v>0</v>
      </c>
      <c r="AC187" s="107">
        <f t="shared" si="76"/>
        <v>0</v>
      </c>
      <c r="AD187" s="419"/>
      <c r="AE187" s="185">
        <f t="shared" si="83"/>
        <v>0</v>
      </c>
      <c r="AF187" s="107">
        <f t="shared" si="77"/>
        <v>0</v>
      </c>
      <c r="AG187" s="182" t="str">
        <f t="shared" si="78"/>
        <v/>
      </c>
      <c r="AH187" s="273" t="str">
        <f t="shared" si="68"/>
        <v/>
      </c>
      <c r="AI187" s="464" t="str">
        <f t="shared" si="69"/>
        <v/>
      </c>
      <c r="AJ187" s="273" t="str">
        <f t="shared" si="70"/>
        <v/>
      </c>
      <c r="AK187" s="362" t="str">
        <f t="shared" si="71"/>
        <v/>
      </c>
      <c r="AL187" s="11"/>
      <c r="AM187" s="11"/>
      <c r="AN187" s="11"/>
    </row>
    <row r="188" spans="1:40" ht="14.25">
      <c r="A188" s="786" t="s">
        <v>207</v>
      </c>
      <c r="B188" s="27" t="s">
        <v>170</v>
      </c>
      <c r="C188" s="184" t="s">
        <v>119</v>
      </c>
      <c r="D188" s="413" t="s">
        <v>171</v>
      </c>
      <c r="E188" s="49">
        <v>0.33333333333333331</v>
      </c>
      <c r="F188" s="49">
        <v>0.79166666666666663</v>
      </c>
      <c r="G188" s="85">
        <f t="shared" si="62"/>
        <v>0.45833333333333331</v>
      </c>
      <c r="H188" s="555" t="str">
        <f t="shared" si="72"/>
        <v>0:00</v>
      </c>
      <c r="I188" s="558">
        <f t="shared" si="63"/>
        <v>0</v>
      </c>
      <c r="J188" s="86">
        <f t="shared" si="64"/>
        <v>0.125</v>
      </c>
      <c r="K188" s="29">
        <f t="shared" si="65"/>
        <v>1</v>
      </c>
      <c r="L188" s="87" t="str">
        <f t="shared" si="66"/>
        <v/>
      </c>
      <c r="M188" s="88">
        <f t="shared" si="67"/>
        <v>1</v>
      </c>
      <c r="N188" s="89">
        <f>IF(M188=0,0,IF(SUM($M$5:M188)&gt;251,1,0))</f>
        <v>0</v>
      </c>
      <c r="O188" s="162">
        <v>40</v>
      </c>
      <c r="P188" s="163">
        <v>1</v>
      </c>
      <c r="Q188" s="90"/>
      <c r="R188" s="526" t="s">
        <v>543</v>
      </c>
      <c r="S188" s="527" t="str">
        <f t="shared" si="79"/>
        <v>放課後児童支援員</v>
      </c>
      <c r="T188" s="528" t="str">
        <f t="shared" si="73"/>
        <v>対象</v>
      </c>
      <c r="U188" s="529" t="s">
        <v>539</v>
      </c>
      <c r="V188" s="91" t="str">
        <f t="shared" si="80"/>
        <v>放課後児童支援員</v>
      </c>
      <c r="W188" s="92" t="str">
        <f t="shared" si="74"/>
        <v>対象</v>
      </c>
      <c r="X188" s="417" t="s">
        <v>546</v>
      </c>
      <c r="Y188" s="91" t="str">
        <f t="shared" si="81"/>
        <v>放課後児童支援員</v>
      </c>
      <c r="Z188" s="92" t="str">
        <f t="shared" si="75"/>
        <v>対象</v>
      </c>
      <c r="AA188" s="417"/>
      <c r="AB188" s="91">
        <f t="shared" si="82"/>
        <v>0</v>
      </c>
      <c r="AC188" s="92">
        <f t="shared" si="76"/>
        <v>0</v>
      </c>
      <c r="AD188" s="417"/>
      <c r="AE188" s="91">
        <f t="shared" si="83"/>
        <v>0</v>
      </c>
      <c r="AF188" s="92">
        <f t="shared" si="77"/>
        <v>0</v>
      </c>
      <c r="AG188" s="363" t="str">
        <f t="shared" si="78"/>
        <v/>
      </c>
      <c r="AH188" s="359" t="str">
        <f t="shared" si="68"/>
        <v/>
      </c>
      <c r="AI188" s="359" t="str">
        <f t="shared" si="69"/>
        <v/>
      </c>
      <c r="AJ188" s="359" t="str">
        <f t="shared" si="70"/>
        <v/>
      </c>
      <c r="AK188" s="360" t="str">
        <f t="shared" si="71"/>
        <v/>
      </c>
      <c r="AL188" s="11"/>
      <c r="AM188" s="11"/>
      <c r="AN188" s="11"/>
    </row>
    <row r="189" spans="1:40" ht="14.25">
      <c r="A189" s="787"/>
      <c r="B189" s="31" t="s">
        <v>172</v>
      </c>
      <c r="C189" s="184" t="s">
        <v>120</v>
      </c>
      <c r="D189" s="413" t="s">
        <v>171</v>
      </c>
      <c r="E189" s="49">
        <v>0.33333333333333331</v>
      </c>
      <c r="F189" s="49">
        <v>0.79166666666666663</v>
      </c>
      <c r="G189" s="93">
        <f t="shared" si="62"/>
        <v>0.45833333333333331</v>
      </c>
      <c r="H189" s="555" t="str">
        <f t="shared" si="72"/>
        <v>0:00</v>
      </c>
      <c r="I189" s="556">
        <f t="shared" si="63"/>
        <v>0</v>
      </c>
      <c r="J189" s="94">
        <f t="shared" si="64"/>
        <v>0.125</v>
      </c>
      <c r="K189" s="32">
        <f t="shared" si="65"/>
        <v>1</v>
      </c>
      <c r="L189" s="95" t="str">
        <f t="shared" si="66"/>
        <v/>
      </c>
      <c r="M189" s="96">
        <f t="shared" si="67"/>
        <v>1</v>
      </c>
      <c r="N189" s="97">
        <f>IF(M189=0,0,IF(SUM($M$5:M189)&gt;251,1,0))</f>
        <v>0</v>
      </c>
      <c r="O189" s="162">
        <v>40</v>
      </c>
      <c r="P189" s="163">
        <v>1</v>
      </c>
      <c r="Q189" s="98"/>
      <c r="R189" s="415" t="s">
        <v>543</v>
      </c>
      <c r="S189" s="516" t="str">
        <f t="shared" si="79"/>
        <v>放課後児童支援員</v>
      </c>
      <c r="T189" s="517" t="str">
        <f t="shared" si="73"/>
        <v>対象</v>
      </c>
      <c r="U189" s="518" t="s">
        <v>539</v>
      </c>
      <c r="V189" s="99" t="str">
        <f t="shared" si="80"/>
        <v>放課後児童支援員</v>
      </c>
      <c r="W189" s="100" t="str">
        <f t="shared" si="74"/>
        <v>対象</v>
      </c>
      <c r="X189" s="418" t="s">
        <v>546</v>
      </c>
      <c r="Y189" s="99" t="str">
        <f t="shared" si="81"/>
        <v>放課後児童支援員</v>
      </c>
      <c r="Z189" s="100" t="str">
        <f t="shared" si="75"/>
        <v>対象</v>
      </c>
      <c r="AA189" s="418"/>
      <c r="AB189" s="99">
        <f t="shared" si="82"/>
        <v>0</v>
      </c>
      <c r="AC189" s="100">
        <f t="shared" si="76"/>
        <v>0</v>
      </c>
      <c r="AD189" s="418"/>
      <c r="AE189" s="99">
        <f t="shared" si="83"/>
        <v>0</v>
      </c>
      <c r="AF189" s="100">
        <f t="shared" si="77"/>
        <v>0</v>
      </c>
      <c r="AG189" s="351" t="str">
        <f t="shared" si="78"/>
        <v/>
      </c>
      <c r="AH189" s="272" t="str">
        <f t="shared" si="68"/>
        <v/>
      </c>
      <c r="AI189" s="358" t="str">
        <f t="shared" si="69"/>
        <v/>
      </c>
      <c r="AJ189" s="272" t="str">
        <f t="shared" si="70"/>
        <v/>
      </c>
      <c r="AK189" s="361" t="str">
        <f t="shared" si="71"/>
        <v/>
      </c>
      <c r="AL189" s="11"/>
      <c r="AM189" s="11"/>
      <c r="AN189" s="11"/>
    </row>
    <row r="190" spans="1:40" ht="14.25">
      <c r="A190" s="787"/>
      <c r="B190" s="31" t="s">
        <v>174</v>
      </c>
      <c r="C190" s="184" t="s">
        <v>121</v>
      </c>
      <c r="D190" s="413" t="s">
        <v>171</v>
      </c>
      <c r="E190" s="49">
        <v>0.33333333333333331</v>
      </c>
      <c r="F190" s="49">
        <v>0.80555555555555547</v>
      </c>
      <c r="G190" s="93">
        <f t="shared" si="62"/>
        <v>0.47222222222222215</v>
      </c>
      <c r="H190" s="555" t="str">
        <f t="shared" si="72"/>
        <v>0:00</v>
      </c>
      <c r="I190" s="556">
        <f t="shared" si="63"/>
        <v>0</v>
      </c>
      <c r="J190" s="94">
        <f t="shared" si="64"/>
        <v>0.13888888888888884</v>
      </c>
      <c r="K190" s="32">
        <f t="shared" si="65"/>
        <v>1</v>
      </c>
      <c r="L190" s="95" t="str">
        <f t="shared" si="66"/>
        <v/>
      </c>
      <c r="M190" s="96">
        <f t="shared" si="67"/>
        <v>1</v>
      </c>
      <c r="N190" s="97">
        <f>IF(M190=0,0,IF(SUM($M$5:M190)&gt;251,1,0))</f>
        <v>0</v>
      </c>
      <c r="O190" s="162">
        <v>40</v>
      </c>
      <c r="P190" s="163">
        <v>1</v>
      </c>
      <c r="Q190" s="98"/>
      <c r="R190" s="513" t="s">
        <v>543</v>
      </c>
      <c r="S190" s="99" t="str">
        <f t="shared" si="79"/>
        <v>放課後児童支援員</v>
      </c>
      <c r="T190" s="100" t="str">
        <f t="shared" si="73"/>
        <v>対象</v>
      </c>
      <c r="U190" s="514" t="s">
        <v>539</v>
      </c>
      <c r="V190" s="99" t="str">
        <f t="shared" si="80"/>
        <v>放課後児童支援員</v>
      </c>
      <c r="W190" s="100" t="str">
        <f t="shared" si="74"/>
        <v>対象</v>
      </c>
      <c r="X190" s="418" t="s">
        <v>546</v>
      </c>
      <c r="Y190" s="99" t="str">
        <f t="shared" si="81"/>
        <v>放課後児童支援員</v>
      </c>
      <c r="Z190" s="100" t="str">
        <f t="shared" si="75"/>
        <v>対象</v>
      </c>
      <c r="AA190" s="418"/>
      <c r="AB190" s="99">
        <f t="shared" si="82"/>
        <v>0</v>
      </c>
      <c r="AC190" s="100">
        <f t="shared" si="76"/>
        <v>0</v>
      </c>
      <c r="AD190" s="418"/>
      <c r="AE190" s="99">
        <f t="shared" si="83"/>
        <v>0</v>
      </c>
      <c r="AF190" s="100">
        <f t="shared" si="77"/>
        <v>0</v>
      </c>
      <c r="AG190" s="351" t="str">
        <f t="shared" si="78"/>
        <v/>
      </c>
      <c r="AH190" s="272" t="str">
        <f t="shared" si="68"/>
        <v/>
      </c>
      <c r="AI190" s="358" t="str">
        <f t="shared" si="69"/>
        <v/>
      </c>
      <c r="AJ190" s="272" t="str">
        <f t="shared" si="70"/>
        <v/>
      </c>
      <c r="AK190" s="361" t="str">
        <f t="shared" si="71"/>
        <v/>
      </c>
      <c r="AL190" s="11"/>
      <c r="AM190" s="11"/>
      <c r="AN190" s="11"/>
    </row>
    <row r="191" spans="1:40" ht="14.25">
      <c r="A191" s="787"/>
      <c r="B191" s="31" t="s">
        <v>175</v>
      </c>
      <c r="C191" s="184" t="s">
        <v>122</v>
      </c>
      <c r="D191" s="413" t="s">
        <v>173</v>
      </c>
      <c r="E191" s="49"/>
      <c r="F191" s="49"/>
      <c r="G191" s="93">
        <f t="shared" si="62"/>
        <v>0</v>
      </c>
      <c r="H191" s="555" t="str">
        <f t="shared" si="72"/>
        <v>0:00</v>
      </c>
      <c r="I191" s="556">
        <f t="shared" si="63"/>
        <v>0</v>
      </c>
      <c r="J191" s="94">
        <f t="shared" si="64"/>
        <v>0</v>
      </c>
      <c r="K191" s="32">
        <f t="shared" si="65"/>
        <v>0</v>
      </c>
      <c r="L191" s="95" t="str">
        <f t="shared" si="66"/>
        <v/>
      </c>
      <c r="M191" s="96">
        <f t="shared" si="67"/>
        <v>0</v>
      </c>
      <c r="N191" s="97">
        <f>IF(M191=0,0,IF(SUM($M$5:M191)&gt;251,1,0))</f>
        <v>0</v>
      </c>
      <c r="O191" s="162"/>
      <c r="P191" s="163"/>
      <c r="Q191" s="98"/>
      <c r="R191" s="524"/>
      <c r="S191" s="521">
        <f t="shared" si="79"/>
        <v>0</v>
      </c>
      <c r="T191" s="522">
        <f t="shared" si="73"/>
        <v>0</v>
      </c>
      <c r="U191" s="525"/>
      <c r="V191" s="99">
        <f t="shared" si="80"/>
        <v>0</v>
      </c>
      <c r="W191" s="100">
        <f t="shared" si="74"/>
        <v>0</v>
      </c>
      <c r="X191" s="418"/>
      <c r="Y191" s="99">
        <f t="shared" si="81"/>
        <v>0</v>
      </c>
      <c r="Z191" s="100">
        <f t="shared" si="75"/>
        <v>0</v>
      </c>
      <c r="AA191" s="418"/>
      <c r="AB191" s="99">
        <f t="shared" si="82"/>
        <v>0</v>
      </c>
      <c r="AC191" s="100">
        <f t="shared" si="76"/>
        <v>0</v>
      </c>
      <c r="AD191" s="418"/>
      <c r="AE191" s="99">
        <f t="shared" si="83"/>
        <v>0</v>
      </c>
      <c r="AF191" s="100">
        <f t="shared" si="77"/>
        <v>0</v>
      </c>
      <c r="AG191" s="351" t="str">
        <f t="shared" si="78"/>
        <v/>
      </c>
      <c r="AH191" s="272" t="str">
        <f t="shared" si="68"/>
        <v/>
      </c>
      <c r="AI191" s="358" t="str">
        <f t="shared" si="69"/>
        <v/>
      </c>
      <c r="AJ191" s="272" t="str">
        <f t="shared" si="70"/>
        <v/>
      </c>
      <c r="AK191" s="361" t="str">
        <f t="shared" si="71"/>
        <v/>
      </c>
      <c r="AL191" s="11"/>
      <c r="AM191" s="11"/>
      <c r="AN191" s="11"/>
    </row>
    <row r="192" spans="1:40" ht="14.25">
      <c r="A192" s="787"/>
      <c r="B192" s="31" t="s">
        <v>176</v>
      </c>
      <c r="C192" s="184" t="s">
        <v>183</v>
      </c>
      <c r="D192" s="413" t="s">
        <v>173</v>
      </c>
      <c r="E192" s="49"/>
      <c r="F192" s="49"/>
      <c r="G192" s="93">
        <f t="shared" si="62"/>
        <v>0</v>
      </c>
      <c r="H192" s="555" t="str">
        <f t="shared" si="72"/>
        <v>0:00</v>
      </c>
      <c r="I192" s="556">
        <f t="shared" si="63"/>
        <v>0</v>
      </c>
      <c r="J192" s="94">
        <f t="shared" si="64"/>
        <v>0</v>
      </c>
      <c r="K192" s="32">
        <f t="shared" si="65"/>
        <v>0</v>
      </c>
      <c r="L192" s="95" t="str">
        <f t="shared" si="66"/>
        <v/>
      </c>
      <c r="M192" s="96">
        <f t="shared" si="67"/>
        <v>0</v>
      </c>
      <c r="N192" s="97">
        <f>IF(M192=0,0,IF(SUM($M$5:M192)&gt;251,1,0))</f>
        <v>0</v>
      </c>
      <c r="O192" s="162"/>
      <c r="P192" s="163"/>
      <c r="Q192" s="98"/>
      <c r="R192" s="415"/>
      <c r="S192" s="516">
        <f t="shared" si="79"/>
        <v>0</v>
      </c>
      <c r="T192" s="517">
        <f t="shared" si="73"/>
        <v>0</v>
      </c>
      <c r="U192" s="518"/>
      <c r="V192" s="99">
        <f t="shared" si="80"/>
        <v>0</v>
      </c>
      <c r="W192" s="100">
        <f t="shared" si="74"/>
        <v>0</v>
      </c>
      <c r="X192" s="418"/>
      <c r="Y192" s="99">
        <f t="shared" si="81"/>
        <v>0</v>
      </c>
      <c r="Z192" s="100">
        <f t="shared" si="75"/>
        <v>0</v>
      </c>
      <c r="AA192" s="418"/>
      <c r="AB192" s="99">
        <f t="shared" si="82"/>
        <v>0</v>
      </c>
      <c r="AC192" s="100">
        <f t="shared" si="76"/>
        <v>0</v>
      </c>
      <c r="AD192" s="418"/>
      <c r="AE192" s="99">
        <f t="shared" si="83"/>
        <v>0</v>
      </c>
      <c r="AF192" s="100">
        <f t="shared" si="77"/>
        <v>0</v>
      </c>
      <c r="AG192" s="351" t="str">
        <f t="shared" si="78"/>
        <v/>
      </c>
      <c r="AH192" s="272" t="str">
        <f t="shared" si="68"/>
        <v/>
      </c>
      <c r="AI192" s="358" t="str">
        <f t="shared" si="69"/>
        <v/>
      </c>
      <c r="AJ192" s="272" t="str">
        <f t="shared" si="70"/>
        <v/>
      </c>
      <c r="AK192" s="361" t="str">
        <f t="shared" si="71"/>
        <v/>
      </c>
      <c r="AL192" s="11"/>
      <c r="AM192" s="11"/>
      <c r="AN192" s="11"/>
    </row>
    <row r="193" spans="1:40" ht="14.25">
      <c r="A193" s="787"/>
      <c r="B193" s="31" t="s">
        <v>177</v>
      </c>
      <c r="C193" s="184" t="s">
        <v>118</v>
      </c>
      <c r="D193" s="413" t="s">
        <v>171</v>
      </c>
      <c r="E193" s="49">
        <v>0.33333333333333331</v>
      </c>
      <c r="F193" s="49">
        <v>0.7715277777777777</v>
      </c>
      <c r="G193" s="93">
        <f t="shared" si="62"/>
        <v>0.43819444444444439</v>
      </c>
      <c r="H193" s="555" t="str">
        <f t="shared" si="72"/>
        <v>0:00</v>
      </c>
      <c r="I193" s="556">
        <f t="shared" si="63"/>
        <v>0</v>
      </c>
      <c r="J193" s="94">
        <f t="shared" si="64"/>
        <v>0.10486111111111107</v>
      </c>
      <c r="K193" s="32">
        <f t="shared" si="65"/>
        <v>1</v>
      </c>
      <c r="L193" s="95" t="str">
        <f t="shared" si="66"/>
        <v/>
      </c>
      <c r="M193" s="96">
        <f t="shared" si="67"/>
        <v>1</v>
      </c>
      <c r="N193" s="97">
        <f>IF(M193=0,0,IF(SUM($M$5:M193)&gt;251,1,0))</f>
        <v>0</v>
      </c>
      <c r="O193" s="162">
        <v>40</v>
      </c>
      <c r="P193" s="163">
        <v>1</v>
      </c>
      <c r="Q193" s="98"/>
      <c r="R193" s="520" t="s">
        <v>543</v>
      </c>
      <c r="S193" s="521" t="str">
        <f t="shared" si="79"/>
        <v>放課後児童支援員</v>
      </c>
      <c r="T193" s="522" t="str">
        <f t="shared" si="73"/>
        <v>対象</v>
      </c>
      <c r="U193" s="523" t="s">
        <v>539</v>
      </c>
      <c r="V193" s="99" t="str">
        <f t="shared" si="80"/>
        <v>放課後児童支援員</v>
      </c>
      <c r="W193" s="100" t="str">
        <f t="shared" si="74"/>
        <v>対象</v>
      </c>
      <c r="X193" s="418"/>
      <c r="Y193" s="99">
        <f t="shared" si="81"/>
        <v>0</v>
      </c>
      <c r="Z193" s="100">
        <f t="shared" si="75"/>
        <v>0</v>
      </c>
      <c r="AA193" s="418"/>
      <c r="AB193" s="99">
        <f t="shared" si="82"/>
        <v>0</v>
      </c>
      <c r="AC193" s="100">
        <f t="shared" si="76"/>
        <v>0</v>
      </c>
      <c r="AD193" s="418"/>
      <c r="AE193" s="99">
        <f t="shared" si="83"/>
        <v>0</v>
      </c>
      <c r="AF193" s="100">
        <f t="shared" si="77"/>
        <v>0</v>
      </c>
      <c r="AG193" s="351" t="str">
        <f t="shared" si="78"/>
        <v/>
      </c>
      <c r="AH193" s="272" t="str">
        <f t="shared" si="68"/>
        <v/>
      </c>
      <c r="AI193" s="358" t="str">
        <f t="shared" si="69"/>
        <v/>
      </c>
      <c r="AJ193" s="272" t="str">
        <f t="shared" si="70"/>
        <v/>
      </c>
      <c r="AK193" s="361" t="str">
        <f t="shared" si="71"/>
        <v/>
      </c>
      <c r="AL193" s="11"/>
      <c r="AM193" s="11"/>
      <c r="AN193" s="11"/>
    </row>
    <row r="194" spans="1:40" ht="14.25">
      <c r="A194" s="787"/>
      <c r="B194" s="31" t="s">
        <v>178</v>
      </c>
      <c r="C194" s="184" t="s">
        <v>123</v>
      </c>
      <c r="D194" s="413" t="s">
        <v>171</v>
      </c>
      <c r="E194" s="49">
        <v>0.33333333333333331</v>
      </c>
      <c r="F194" s="49">
        <v>0.79166666666666663</v>
      </c>
      <c r="G194" s="93">
        <f t="shared" si="62"/>
        <v>0.45833333333333331</v>
      </c>
      <c r="H194" s="555" t="str">
        <f t="shared" si="72"/>
        <v>0:00</v>
      </c>
      <c r="I194" s="556">
        <f t="shared" si="63"/>
        <v>0</v>
      </c>
      <c r="J194" s="94">
        <f t="shared" si="64"/>
        <v>0.125</v>
      </c>
      <c r="K194" s="32">
        <f t="shared" si="65"/>
        <v>1</v>
      </c>
      <c r="L194" s="95" t="str">
        <f t="shared" si="66"/>
        <v/>
      </c>
      <c r="M194" s="96">
        <f t="shared" si="67"/>
        <v>1</v>
      </c>
      <c r="N194" s="97">
        <f>IF(M194=0,0,IF(SUM($M$5:M194)&gt;251,1,0))</f>
        <v>0</v>
      </c>
      <c r="O194" s="162">
        <v>40</v>
      </c>
      <c r="P194" s="163">
        <v>1</v>
      </c>
      <c r="Q194" s="98"/>
      <c r="R194" s="415" t="s">
        <v>543</v>
      </c>
      <c r="S194" s="516" t="str">
        <f t="shared" si="79"/>
        <v>放課後児童支援員</v>
      </c>
      <c r="T194" s="517" t="str">
        <f t="shared" si="73"/>
        <v>対象</v>
      </c>
      <c r="U194" s="518" t="s">
        <v>539</v>
      </c>
      <c r="V194" s="99" t="str">
        <f t="shared" si="80"/>
        <v>放課後児童支援員</v>
      </c>
      <c r="W194" s="100" t="str">
        <f t="shared" si="74"/>
        <v>対象</v>
      </c>
      <c r="X194" s="418" t="s">
        <v>546</v>
      </c>
      <c r="Y194" s="99" t="str">
        <f t="shared" si="81"/>
        <v>放課後児童支援員</v>
      </c>
      <c r="Z194" s="100" t="str">
        <f t="shared" si="75"/>
        <v>対象</v>
      </c>
      <c r="AA194" s="418"/>
      <c r="AB194" s="99">
        <f t="shared" si="82"/>
        <v>0</v>
      </c>
      <c r="AC194" s="100">
        <f t="shared" si="76"/>
        <v>0</v>
      </c>
      <c r="AD194" s="418"/>
      <c r="AE194" s="99">
        <f t="shared" si="83"/>
        <v>0</v>
      </c>
      <c r="AF194" s="100">
        <f t="shared" si="77"/>
        <v>0</v>
      </c>
      <c r="AG194" s="351" t="str">
        <f t="shared" si="78"/>
        <v/>
      </c>
      <c r="AH194" s="272" t="str">
        <f t="shared" si="68"/>
        <v/>
      </c>
      <c r="AI194" s="358" t="str">
        <f t="shared" si="69"/>
        <v/>
      </c>
      <c r="AJ194" s="272" t="str">
        <f t="shared" si="70"/>
        <v/>
      </c>
      <c r="AK194" s="361" t="str">
        <f t="shared" si="71"/>
        <v/>
      </c>
      <c r="AL194" s="11"/>
      <c r="AM194" s="11"/>
      <c r="AN194" s="11"/>
    </row>
    <row r="195" spans="1:40" ht="14.25">
      <c r="A195" s="787"/>
      <c r="B195" s="31" t="s">
        <v>179</v>
      </c>
      <c r="C195" s="184" t="s">
        <v>119</v>
      </c>
      <c r="D195" s="413" t="s">
        <v>171</v>
      </c>
      <c r="E195" s="49">
        <v>0.33333333333333331</v>
      </c>
      <c r="F195" s="49">
        <v>0.79166666666666663</v>
      </c>
      <c r="G195" s="93">
        <f t="shared" si="62"/>
        <v>0.45833333333333331</v>
      </c>
      <c r="H195" s="555" t="str">
        <f t="shared" si="72"/>
        <v>0:00</v>
      </c>
      <c r="I195" s="556">
        <f t="shared" si="63"/>
        <v>0</v>
      </c>
      <c r="J195" s="94">
        <f t="shared" si="64"/>
        <v>0.125</v>
      </c>
      <c r="K195" s="32">
        <f t="shared" si="65"/>
        <v>1</v>
      </c>
      <c r="L195" s="95" t="str">
        <f t="shared" si="66"/>
        <v/>
      </c>
      <c r="M195" s="96">
        <f t="shared" si="67"/>
        <v>1</v>
      </c>
      <c r="N195" s="97">
        <f>IF(M195=0,0,IF(SUM($M$5:M195)&gt;251,1,0))</f>
        <v>0</v>
      </c>
      <c r="O195" s="162">
        <v>40</v>
      </c>
      <c r="P195" s="163">
        <v>1</v>
      </c>
      <c r="Q195" s="98"/>
      <c r="R195" s="520" t="s">
        <v>543</v>
      </c>
      <c r="S195" s="521" t="str">
        <f t="shared" si="79"/>
        <v>放課後児童支援員</v>
      </c>
      <c r="T195" s="522" t="str">
        <f t="shared" si="73"/>
        <v>対象</v>
      </c>
      <c r="U195" s="523" t="s">
        <v>539</v>
      </c>
      <c r="V195" s="99" t="str">
        <f t="shared" si="80"/>
        <v>放課後児童支援員</v>
      </c>
      <c r="W195" s="100" t="str">
        <f t="shared" si="74"/>
        <v>対象</v>
      </c>
      <c r="X195" s="418" t="s">
        <v>546</v>
      </c>
      <c r="Y195" s="99" t="str">
        <f t="shared" si="81"/>
        <v>放課後児童支援員</v>
      </c>
      <c r="Z195" s="100" t="str">
        <f t="shared" si="75"/>
        <v>対象</v>
      </c>
      <c r="AA195" s="418"/>
      <c r="AB195" s="99">
        <f t="shared" si="82"/>
        <v>0</v>
      </c>
      <c r="AC195" s="100">
        <f t="shared" si="76"/>
        <v>0</v>
      </c>
      <c r="AD195" s="418"/>
      <c r="AE195" s="99">
        <f t="shared" si="83"/>
        <v>0</v>
      </c>
      <c r="AF195" s="100">
        <f t="shared" si="77"/>
        <v>0</v>
      </c>
      <c r="AG195" s="351" t="str">
        <f t="shared" si="78"/>
        <v/>
      </c>
      <c r="AH195" s="272" t="str">
        <f t="shared" si="68"/>
        <v/>
      </c>
      <c r="AI195" s="358" t="str">
        <f t="shared" si="69"/>
        <v/>
      </c>
      <c r="AJ195" s="272" t="str">
        <f t="shared" si="70"/>
        <v/>
      </c>
      <c r="AK195" s="361" t="str">
        <f t="shared" si="71"/>
        <v/>
      </c>
      <c r="AL195" s="11"/>
      <c r="AM195" s="11"/>
      <c r="AN195" s="11"/>
    </row>
    <row r="196" spans="1:40" ht="14.25">
      <c r="A196" s="787"/>
      <c r="B196" s="31" t="s">
        <v>180</v>
      </c>
      <c r="C196" s="184" t="s">
        <v>120</v>
      </c>
      <c r="D196" s="413" t="s">
        <v>171</v>
      </c>
      <c r="E196" s="49">
        <v>0.33333333333333331</v>
      </c>
      <c r="F196" s="49">
        <v>0.79166666666666663</v>
      </c>
      <c r="G196" s="93">
        <f t="shared" si="62"/>
        <v>0.45833333333333331</v>
      </c>
      <c r="H196" s="555" t="str">
        <f t="shared" si="72"/>
        <v>0:00</v>
      </c>
      <c r="I196" s="556">
        <f t="shared" si="63"/>
        <v>0</v>
      </c>
      <c r="J196" s="94">
        <f t="shared" si="64"/>
        <v>0.125</v>
      </c>
      <c r="K196" s="32">
        <f t="shared" si="65"/>
        <v>1</v>
      </c>
      <c r="L196" s="95" t="str">
        <f t="shared" si="66"/>
        <v/>
      </c>
      <c r="M196" s="96">
        <f t="shared" si="67"/>
        <v>1</v>
      </c>
      <c r="N196" s="97">
        <f>IF(M196=0,0,IF(SUM($M$5:M196)&gt;251,1,0))</f>
        <v>0</v>
      </c>
      <c r="O196" s="162">
        <v>40</v>
      </c>
      <c r="P196" s="163">
        <v>1</v>
      </c>
      <c r="Q196" s="98"/>
      <c r="R196" s="415" t="s">
        <v>543</v>
      </c>
      <c r="S196" s="516" t="str">
        <f t="shared" si="79"/>
        <v>放課後児童支援員</v>
      </c>
      <c r="T196" s="517" t="str">
        <f t="shared" si="73"/>
        <v>対象</v>
      </c>
      <c r="U196" s="518" t="s">
        <v>539</v>
      </c>
      <c r="V196" s="99" t="str">
        <f t="shared" si="80"/>
        <v>放課後児童支援員</v>
      </c>
      <c r="W196" s="100" t="str">
        <f t="shared" si="74"/>
        <v>対象</v>
      </c>
      <c r="X196" s="418" t="s">
        <v>546</v>
      </c>
      <c r="Y196" s="99" t="str">
        <f t="shared" si="81"/>
        <v>放課後児童支援員</v>
      </c>
      <c r="Z196" s="100" t="str">
        <f t="shared" si="75"/>
        <v>対象</v>
      </c>
      <c r="AA196" s="418"/>
      <c r="AB196" s="99">
        <f t="shared" si="82"/>
        <v>0</v>
      </c>
      <c r="AC196" s="100">
        <f t="shared" si="76"/>
        <v>0</v>
      </c>
      <c r="AD196" s="418"/>
      <c r="AE196" s="99">
        <f t="shared" si="83"/>
        <v>0</v>
      </c>
      <c r="AF196" s="100">
        <f t="shared" si="77"/>
        <v>0</v>
      </c>
      <c r="AG196" s="351" t="str">
        <f t="shared" si="78"/>
        <v/>
      </c>
      <c r="AH196" s="272" t="str">
        <f t="shared" si="68"/>
        <v/>
      </c>
      <c r="AI196" s="358" t="str">
        <f t="shared" si="69"/>
        <v/>
      </c>
      <c r="AJ196" s="272" t="str">
        <f t="shared" si="70"/>
        <v/>
      </c>
      <c r="AK196" s="361" t="str">
        <f t="shared" si="71"/>
        <v/>
      </c>
      <c r="AL196" s="11"/>
      <c r="AM196" s="11"/>
      <c r="AN196" s="11"/>
    </row>
    <row r="197" spans="1:40" ht="14.25">
      <c r="A197" s="787"/>
      <c r="B197" s="31" t="s">
        <v>181</v>
      </c>
      <c r="C197" s="184" t="s">
        <v>121</v>
      </c>
      <c r="D197" s="413" t="s">
        <v>171</v>
      </c>
      <c r="E197" s="49">
        <v>0.33333333333333331</v>
      </c>
      <c r="F197" s="49">
        <v>0.80555555555555547</v>
      </c>
      <c r="G197" s="93">
        <f t="shared" ref="G197:G260" si="84">F197-E197</f>
        <v>0.47222222222222215</v>
      </c>
      <c r="H197" s="555" t="str">
        <f t="shared" si="72"/>
        <v>0:00</v>
      </c>
      <c r="I197" s="556">
        <f t="shared" ref="I197:I260" si="85">IF(ISNUMBER(SEARCH("平日", D197)), 1, 0)</f>
        <v>0</v>
      </c>
      <c r="J197" s="94">
        <f t="shared" ref="J197:J260" si="86">IF(D197="土・日・祝・長期休暇",MAX(G197-TIME(8,0,0),0),0)</f>
        <v>0.13888888888888884</v>
      </c>
      <c r="K197" s="32">
        <f t="shared" ref="K197:K260" si="87">IF(ISNUMBER(SEARCH("長期", D197)), 1, 0)</f>
        <v>1</v>
      </c>
      <c r="L197" s="95" t="str">
        <f t="shared" ref="L197:L260" si="88">IF(D197="休所",IF(E197&lt;&gt;"","入力にエラーがあります",""),"")</f>
        <v/>
      </c>
      <c r="M197" s="96">
        <f t="shared" ref="M197:M260" si="89">IF(OR(D197="休所",D197="",D197="平日：開所とみなす閉所"),0,IF(OR(G197-TIME(7,59,59)&gt;0,D197="土日祝長期：開所とみなす閉所"),1,0))</f>
        <v>1</v>
      </c>
      <c r="N197" s="97">
        <f>IF(M197=0,0,IF(SUM($M$5:M197)&gt;251,1,0))</f>
        <v>0</v>
      </c>
      <c r="O197" s="162">
        <v>40</v>
      </c>
      <c r="P197" s="163">
        <v>1</v>
      </c>
      <c r="Q197" s="98"/>
      <c r="R197" s="513" t="s">
        <v>543</v>
      </c>
      <c r="S197" s="99" t="str">
        <f t="shared" si="79"/>
        <v>放課後児童支援員</v>
      </c>
      <c r="T197" s="100" t="str">
        <f t="shared" si="73"/>
        <v>対象</v>
      </c>
      <c r="U197" s="514" t="s">
        <v>539</v>
      </c>
      <c r="V197" s="99" t="str">
        <f t="shared" si="80"/>
        <v>放課後児童支援員</v>
      </c>
      <c r="W197" s="100" t="str">
        <f t="shared" si="74"/>
        <v>対象</v>
      </c>
      <c r="X197" s="418" t="s">
        <v>546</v>
      </c>
      <c r="Y197" s="99" t="str">
        <f t="shared" si="81"/>
        <v>放課後児童支援員</v>
      </c>
      <c r="Z197" s="100" t="str">
        <f t="shared" si="75"/>
        <v>対象</v>
      </c>
      <c r="AA197" s="418"/>
      <c r="AB197" s="99">
        <f t="shared" si="82"/>
        <v>0</v>
      </c>
      <c r="AC197" s="100">
        <f t="shared" si="76"/>
        <v>0</v>
      </c>
      <c r="AD197" s="418"/>
      <c r="AE197" s="99">
        <f t="shared" si="83"/>
        <v>0</v>
      </c>
      <c r="AF197" s="100">
        <f t="shared" si="77"/>
        <v>0</v>
      </c>
      <c r="AG197" s="351" t="str">
        <f t="shared" si="78"/>
        <v/>
      </c>
      <c r="AH197" s="272" t="str">
        <f t="shared" ref="AH197:AH260" si="90">IF(OR(D197=$AL$6,D197=$AL$7,D197=$AL$8),"",IF(P197&gt;0,IF(COUNTIF(R197:AF197,"対象")&gt;0,"","障害児加配対象職員がいません"),""))</f>
        <v/>
      </c>
      <c r="AI197" s="358" t="str">
        <f t="shared" ref="AI197:AI260" si="91">IF(OR(D197=$AL$6, D197=$AL$7, D197=$AL$8), "", IF(P197&gt;2, IF(COUNTIF(R197:AF197, "対象")&lt;=1, IF(AA197&lt;&gt;"", "", "障害児が３名以上いますが、職員の配置が３名以下です(強化加算対象外)"), IF(AA197&lt;&gt;"", "", "障害児が３名以上いますが、職員の配置が３名以下です(強化加算対象外)")), ""))</f>
        <v/>
      </c>
      <c r="AJ197" s="272" t="str">
        <f t="shared" ref="AJ197:AJ260" si="92">IF(AND(D197="平日", G197*24&lt;3), "平日は3時間以上開所", IF(AND(D197="土・日・祝・長期休暇", G197*24&lt;8), "学校の休業日は8時間以上開所", ""))</f>
        <v/>
      </c>
      <c r="AK197" s="361" t="str">
        <f t="shared" ref="AK197:AK260" si="93">IF(AND(OR(D197="平日", D197="土・日・祝・長期休暇"), OR(O197="")), "児童数が入力されていません！", "")</f>
        <v/>
      </c>
      <c r="AL197" s="11"/>
      <c r="AM197" s="11"/>
      <c r="AN197" s="11"/>
    </row>
    <row r="198" spans="1:40" ht="14.25">
      <c r="A198" s="787"/>
      <c r="B198" s="31" t="s">
        <v>182</v>
      </c>
      <c r="C198" s="184" t="s">
        <v>122</v>
      </c>
      <c r="D198" s="413" t="s">
        <v>171</v>
      </c>
      <c r="E198" s="49">
        <v>0.33333333333333331</v>
      </c>
      <c r="F198" s="49">
        <v>0.6875</v>
      </c>
      <c r="G198" s="93">
        <f t="shared" si="84"/>
        <v>0.35416666666666669</v>
      </c>
      <c r="H198" s="555" t="str">
        <f t="shared" ref="H198:H261" si="94">IF(AND(D198="平日", F198&gt;TIME(18,30,0)), (F198-TIME(18,30,0))*1440/1440, "0:00")</f>
        <v>0:00</v>
      </c>
      <c r="I198" s="556">
        <f t="shared" si="85"/>
        <v>0</v>
      </c>
      <c r="J198" s="94">
        <f t="shared" si="86"/>
        <v>2.083333333333337E-2</v>
      </c>
      <c r="K198" s="32">
        <f t="shared" si="87"/>
        <v>1</v>
      </c>
      <c r="L198" s="95" t="str">
        <f t="shared" si="88"/>
        <v/>
      </c>
      <c r="M198" s="96">
        <f t="shared" si="89"/>
        <v>1</v>
      </c>
      <c r="N198" s="97">
        <f>IF(M198=0,0,IF(SUM($M$5:M198)&gt;251,1,0))</f>
        <v>0</v>
      </c>
      <c r="O198" s="162">
        <v>5</v>
      </c>
      <c r="P198" s="163">
        <v>0</v>
      </c>
      <c r="Q198" s="98"/>
      <c r="R198" s="415" t="s">
        <v>543</v>
      </c>
      <c r="S198" s="99" t="str">
        <f t="shared" si="79"/>
        <v>放課後児童支援員</v>
      </c>
      <c r="T198" s="100" t="str">
        <f t="shared" ref="T198:T261" si="95">VLOOKUP(R198,$AM$12:$AO$31,3,FALSE)</f>
        <v>対象</v>
      </c>
      <c r="U198" s="418" t="s">
        <v>539</v>
      </c>
      <c r="V198" s="99" t="str">
        <f t="shared" si="80"/>
        <v>放課後児童支援員</v>
      </c>
      <c r="W198" s="100" t="str">
        <f t="shared" ref="W198:W261" si="96">VLOOKUP(U198,$AM$12:$AO$31,3,FALSE)</f>
        <v>対象</v>
      </c>
      <c r="X198" s="418" t="s">
        <v>546</v>
      </c>
      <c r="Y198" s="99" t="str">
        <f t="shared" si="81"/>
        <v>放課後児童支援員</v>
      </c>
      <c r="Z198" s="100" t="str">
        <f t="shared" ref="Z198:Z261" si="97">VLOOKUP(X198,$AM$12:$AO$31,3,FALSE)</f>
        <v>対象</v>
      </c>
      <c r="AA198" s="418"/>
      <c r="AB198" s="99">
        <f t="shared" si="82"/>
        <v>0</v>
      </c>
      <c r="AC198" s="100">
        <f t="shared" ref="AC198:AC261" si="98">VLOOKUP(AA198,$AM$12:$AO$31,3,FALSE)</f>
        <v>0</v>
      </c>
      <c r="AD198" s="418"/>
      <c r="AE198" s="99">
        <f t="shared" si="83"/>
        <v>0</v>
      </c>
      <c r="AF198" s="100">
        <f t="shared" ref="AF198:AF261" si="99">VLOOKUP(AD198,$AM$12:$AO$31,3,FALSE)</f>
        <v>0</v>
      </c>
      <c r="AG198" s="351" t="str">
        <f t="shared" ref="AG198:AG261" si="100">IF(OR(D198=$AL$6,D198=$AL$7,D198=$AL$8,D198=""),"",IF(COUNTIF(R198:AF198,"*支援員*")&gt;0,"","支援員がいません！"))</f>
        <v/>
      </c>
      <c r="AH198" s="272" t="str">
        <f t="shared" si="90"/>
        <v/>
      </c>
      <c r="AI198" s="358" t="str">
        <f t="shared" si="91"/>
        <v/>
      </c>
      <c r="AJ198" s="272" t="str">
        <f t="shared" si="92"/>
        <v/>
      </c>
      <c r="AK198" s="361" t="str">
        <f t="shared" si="93"/>
        <v/>
      </c>
      <c r="AL198" s="11"/>
      <c r="AM198" s="11"/>
      <c r="AN198" s="11"/>
    </row>
    <row r="199" spans="1:40" ht="14.25">
      <c r="A199" s="787"/>
      <c r="B199" s="31" t="s">
        <v>184</v>
      </c>
      <c r="C199" s="184" t="s">
        <v>183</v>
      </c>
      <c r="D199" s="413" t="s">
        <v>173</v>
      </c>
      <c r="E199" s="49"/>
      <c r="F199" s="49"/>
      <c r="G199" s="93">
        <f t="shared" si="84"/>
        <v>0</v>
      </c>
      <c r="H199" s="555" t="str">
        <f t="shared" si="94"/>
        <v>0:00</v>
      </c>
      <c r="I199" s="556">
        <f t="shared" si="85"/>
        <v>0</v>
      </c>
      <c r="J199" s="94">
        <f t="shared" si="86"/>
        <v>0</v>
      </c>
      <c r="K199" s="32">
        <f t="shared" si="87"/>
        <v>0</v>
      </c>
      <c r="L199" s="95" t="str">
        <f t="shared" si="88"/>
        <v/>
      </c>
      <c r="M199" s="96">
        <f t="shared" si="89"/>
        <v>0</v>
      </c>
      <c r="N199" s="97">
        <f>IF(M199=0,0,IF(SUM($M$5:M199)&gt;251,1,0))</f>
        <v>0</v>
      </c>
      <c r="O199" s="162"/>
      <c r="P199" s="163"/>
      <c r="Q199" s="98"/>
      <c r="R199" s="524"/>
      <c r="S199" s="521">
        <f t="shared" ref="S199:S262" si="101">VLOOKUP(R199,$AM$12:$AN$31,2,FALSE)</f>
        <v>0</v>
      </c>
      <c r="T199" s="522">
        <f t="shared" si="95"/>
        <v>0</v>
      </c>
      <c r="U199" s="525"/>
      <c r="V199" s="99">
        <f t="shared" ref="V199:V262" si="102">VLOOKUP(U199,$AM$12:$AN$31,2,FALSE)</f>
        <v>0</v>
      </c>
      <c r="W199" s="100">
        <f t="shared" si="96"/>
        <v>0</v>
      </c>
      <c r="X199" s="418"/>
      <c r="Y199" s="99">
        <f t="shared" ref="Y199:Y262" si="103">VLOOKUP(X199,$AM$12:$AN$31,2,FALSE)</f>
        <v>0</v>
      </c>
      <c r="Z199" s="100">
        <f t="shared" si="97"/>
        <v>0</v>
      </c>
      <c r="AA199" s="418"/>
      <c r="AB199" s="99">
        <f t="shared" ref="AB199:AB262" si="104">VLOOKUP(AA199,$AM$12:$AN$31,2,FALSE)</f>
        <v>0</v>
      </c>
      <c r="AC199" s="100">
        <f t="shared" si="98"/>
        <v>0</v>
      </c>
      <c r="AD199" s="418"/>
      <c r="AE199" s="99">
        <f t="shared" ref="AE199:AE262" si="105">VLOOKUP(AD199,$AM$12:$AN$31,2,FALSE)</f>
        <v>0</v>
      </c>
      <c r="AF199" s="100">
        <f t="shared" si="99"/>
        <v>0</v>
      </c>
      <c r="AG199" s="351" t="str">
        <f t="shared" si="100"/>
        <v/>
      </c>
      <c r="AH199" s="272" t="str">
        <f t="shared" si="90"/>
        <v/>
      </c>
      <c r="AI199" s="358" t="str">
        <f t="shared" si="91"/>
        <v/>
      </c>
      <c r="AJ199" s="272" t="str">
        <f t="shared" si="92"/>
        <v/>
      </c>
      <c r="AK199" s="361" t="str">
        <f t="shared" si="93"/>
        <v/>
      </c>
      <c r="AL199" s="11"/>
      <c r="AM199" s="11"/>
      <c r="AN199" s="11"/>
    </row>
    <row r="200" spans="1:40" ht="14.25">
      <c r="A200" s="787"/>
      <c r="B200" s="31" t="s">
        <v>185</v>
      </c>
      <c r="C200" s="184" t="s">
        <v>118</v>
      </c>
      <c r="D200" s="413" t="s">
        <v>171</v>
      </c>
      <c r="E200" s="49">
        <v>0.33333333333333331</v>
      </c>
      <c r="F200" s="49">
        <v>0.7715277777777777</v>
      </c>
      <c r="G200" s="93">
        <f t="shared" si="84"/>
        <v>0.43819444444444439</v>
      </c>
      <c r="H200" s="555" t="str">
        <f t="shared" si="94"/>
        <v>0:00</v>
      </c>
      <c r="I200" s="556">
        <f t="shared" si="85"/>
        <v>0</v>
      </c>
      <c r="J200" s="94">
        <f t="shared" si="86"/>
        <v>0.10486111111111107</v>
      </c>
      <c r="K200" s="32">
        <f t="shared" si="87"/>
        <v>1</v>
      </c>
      <c r="L200" s="95" t="str">
        <f t="shared" si="88"/>
        <v/>
      </c>
      <c r="M200" s="96">
        <f t="shared" si="89"/>
        <v>1</v>
      </c>
      <c r="N200" s="97">
        <f>IF(M200=0,0,IF(SUM($M$5:M200)&gt;251,1,0))</f>
        <v>0</v>
      </c>
      <c r="O200" s="162">
        <v>40</v>
      </c>
      <c r="P200" s="163">
        <v>1</v>
      </c>
      <c r="Q200" s="98"/>
      <c r="R200" s="415" t="s">
        <v>543</v>
      </c>
      <c r="S200" s="516" t="str">
        <f t="shared" si="101"/>
        <v>放課後児童支援員</v>
      </c>
      <c r="T200" s="517" t="str">
        <f t="shared" si="95"/>
        <v>対象</v>
      </c>
      <c r="U200" s="518" t="s">
        <v>539</v>
      </c>
      <c r="V200" s="99" t="str">
        <f t="shared" si="102"/>
        <v>放課後児童支援員</v>
      </c>
      <c r="W200" s="100" t="str">
        <f t="shared" si="96"/>
        <v>対象</v>
      </c>
      <c r="X200" s="418"/>
      <c r="Y200" s="99">
        <f t="shared" si="103"/>
        <v>0</v>
      </c>
      <c r="Z200" s="100">
        <f t="shared" si="97"/>
        <v>0</v>
      </c>
      <c r="AA200" s="418"/>
      <c r="AB200" s="99">
        <f t="shared" si="104"/>
        <v>0</v>
      </c>
      <c r="AC200" s="100">
        <f t="shared" si="98"/>
        <v>0</v>
      </c>
      <c r="AD200" s="418"/>
      <c r="AE200" s="99">
        <f t="shared" si="105"/>
        <v>0</v>
      </c>
      <c r="AF200" s="100">
        <f t="shared" si="99"/>
        <v>0</v>
      </c>
      <c r="AG200" s="351" t="str">
        <f t="shared" si="100"/>
        <v/>
      </c>
      <c r="AH200" s="272" t="str">
        <f t="shared" si="90"/>
        <v/>
      </c>
      <c r="AI200" s="358" t="str">
        <f t="shared" si="91"/>
        <v/>
      </c>
      <c r="AJ200" s="272" t="str">
        <f t="shared" si="92"/>
        <v/>
      </c>
      <c r="AK200" s="361" t="str">
        <f t="shared" si="93"/>
        <v/>
      </c>
      <c r="AL200" s="11"/>
      <c r="AM200" s="11"/>
      <c r="AN200" s="11"/>
    </row>
    <row r="201" spans="1:40" ht="14.25">
      <c r="A201" s="787"/>
      <c r="B201" s="31" t="s">
        <v>186</v>
      </c>
      <c r="C201" s="184" t="s">
        <v>123</v>
      </c>
      <c r="D201" s="413" t="s">
        <v>171</v>
      </c>
      <c r="E201" s="49">
        <v>0.33333333333333331</v>
      </c>
      <c r="F201" s="49">
        <v>0.79166666666666663</v>
      </c>
      <c r="G201" s="93">
        <f t="shared" si="84"/>
        <v>0.45833333333333331</v>
      </c>
      <c r="H201" s="555" t="str">
        <f t="shared" si="94"/>
        <v>0:00</v>
      </c>
      <c r="I201" s="556">
        <f t="shared" si="85"/>
        <v>0</v>
      </c>
      <c r="J201" s="94">
        <f t="shared" si="86"/>
        <v>0.125</v>
      </c>
      <c r="K201" s="32">
        <f t="shared" si="87"/>
        <v>1</v>
      </c>
      <c r="L201" s="95" t="str">
        <f t="shared" si="88"/>
        <v/>
      </c>
      <c r="M201" s="96">
        <f t="shared" si="89"/>
        <v>1</v>
      </c>
      <c r="N201" s="97">
        <f>IF(M201=0,0,IF(SUM($M$5:M201)&gt;251,1,0))</f>
        <v>0</v>
      </c>
      <c r="O201" s="162">
        <v>40</v>
      </c>
      <c r="P201" s="163">
        <v>1</v>
      </c>
      <c r="Q201" s="98"/>
      <c r="R201" s="520" t="s">
        <v>543</v>
      </c>
      <c r="S201" s="521" t="str">
        <f t="shared" si="101"/>
        <v>放課後児童支援員</v>
      </c>
      <c r="T201" s="522" t="str">
        <f t="shared" si="95"/>
        <v>対象</v>
      </c>
      <c r="U201" s="523" t="s">
        <v>539</v>
      </c>
      <c r="V201" s="99" t="str">
        <f t="shared" si="102"/>
        <v>放課後児童支援員</v>
      </c>
      <c r="W201" s="100" t="str">
        <f t="shared" si="96"/>
        <v>対象</v>
      </c>
      <c r="X201" s="418"/>
      <c r="Y201" s="99">
        <f t="shared" si="103"/>
        <v>0</v>
      </c>
      <c r="Z201" s="100">
        <f t="shared" si="97"/>
        <v>0</v>
      </c>
      <c r="AA201" s="418"/>
      <c r="AB201" s="99">
        <f t="shared" si="104"/>
        <v>0</v>
      </c>
      <c r="AC201" s="100">
        <f t="shared" si="98"/>
        <v>0</v>
      </c>
      <c r="AD201" s="418"/>
      <c r="AE201" s="99">
        <f t="shared" si="105"/>
        <v>0</v>
      </c>
      <c r="AF201" s="100">
        <f t="shared" si="99"/>
        <v>0</v>
      </c>
      <c r="AG201" s="351" t="str">
        <f t="shared" si="100"/>
        <v/>
      </c>
      <c r="AH201" s="272" t="str">
        <f t="shared" si="90"/>
        <v/>
      </c>
      <c r="AI201" s="358" t="str">
        <f t="shared" si="91"/>
        <v/>
      </c>
      <c r="AJ201" s="272" t="str">
        <f t="shared" si="92"/>
        <v/>
      </c>
      <c r="AK201" s="361" t="str">
        <f t="shared" si="93"/>
        <v/>
      </c>
      <c r="AL201" s="11"/>
      <c r="AM201" s="11"/>
      <c r="AN201" s="11"/>
    </row>
    <row r="202" spans="1:40" ht="14.25">
      <c r="A202" s="787"/>
      <c r="B202" s="31" t="s">
        <v>187</v>
      </c>
      <c r="C202" s="184" t="s">
        <v>119</v>
      </c>
      <c r="D202" s="413" t="s">
        <v>171</v>
      </c>
      <c r="E202" s="49">
        <v>0.33333333333333331</v>
      </c>
      <c r="F202" s="49">
        <v>0.79166666666666663</v>
      </c>
      <c r="G202" s="93">
        <f t="shared" si="84"/>
        <v>0.45833333333333331</v>
      </c>
      <c r="H202" s="555" t="str">
        <f t="shared" si="94"/>
        <v>0:00</v>
      </c>
      <c r="I202" s="556">
        <f t="shared" si="85"/>
        <v>0</v>
      </c>
      <c r="J202" s="94">
        <f t="shared" si="86"/>
        <v>0.125</v>
      </c>
      <c r="K202" s="32">
        <f t="shared" si="87"/>
        <v>1</v>
      </c>
      <c r="L202" s="95" t="str">
        <f t="shared" si="88"/>
        <v/>
      </c>
      <c r="M202" s="96">
        <f t="shared" si="89"/>
        <v>1</v>
      </c>
      <c r="N202" s="97">
        <f>IF(M202=0,0,IF(SUM($M$5:M202)&gt;251,1,0))</f>
        <v>0</v>
      </c>
      <c r="O202" s="162">
        <v>40</v>
      </c>
      <c r="P202" s="163">
        <v>1</v>
      </c>
      <c r="Q202" s="98"/>
      <c r="R202" s="415" t="s">
        <v>543</v>
      </c>
      <c r="S202" s="516" t="str">
        <f t="shared" si="101"/>
        <v>放課後児童支援員</v>
      </c>
      <c r="T202" s="517" t="str">
        <f t="shared" si="95"/>
        <v>対象</v>
      </c>
      <c r="U202" s="518" t="s">
        <v>539</v>
      </c>
      <c r="V202" s="99" t="str">
        <f t="shared" si="102"/>
        <v>放課後児童支援員</v>
      </c>
      <c r="W202" s="100" t="str">
        <f t="shared" si="96"/>
        <v>対象</v>
      </c>
      <c r="X202" s="418" t="s">
        <v>546</v>
      </c>
      <c r="Y202" s="99" t="str">
        <f t="shared" si="103"/>
        <v>放課後児童支援員</v>
      </c>
      <c r="Z202" s="100" t="str">
        <f t="shared" si="97"/>
        <v>対象</v>
      </c>
      <c r="AA202" s="418"/>
      <c r="AB202" s="99">
        <f t="shared" si="104"/>
        <v>0</v>
      </c>
      <c r="AC202" s="100">
        <f t="shared" si="98"/>
        <v>0</v>
      </c>
      <c r="AD202" s="418"/>
      <c r="AE202" s="99">
        <f t="shared" si="105"/>
        <v>0</v>
      </c>
      <c r="AF202" s="100">
        <f t="shared" si="99"/>
        <v>0</v>
      </c>
      <c r="AG202" s="351" t="str">
        <f t="shared" si="100"/>
        <v/>
      </c>
      <c r="AH202" s="272" t="str">
        <f t="shared" si="90"/>
        <v/>
      </c>
      <c r="AI202" s="358" t="str">
        <f t="shared" si="91"/>
        <v/>
      </c>
      <c r="AJ202" s="272" t="str">
        <f t="shared" si="92"/>
        <v/>
      </c>
      <c r="AK202" s="361" t="str">
        <f t="shared" si="93"/>
        <v/>
      </c>
      <c r="AL202" s="11"/>
      <c r="AM202" s="11"/>
      <c r="AN202" s="11"/>
    </row>
    <row r="203" spans="1:40" ht="14.25">
      <c r="A203" s="787"/>
      <c r="B203" s="31" t="s">
        <v>188</v>
      </c>
      <c r="C203" s="184" t="s">
        <v>120</v>
      </c>
      <c r="D203" s="413" t="s">
        <v>171</v>
      </c>
      <c r="E203" s="49">
        <v>0.33333333333333331</v>
      </c>
      <c r="F203" s="49">
        <v>0.79166666666666663</v>
      </c>
      <c r="G203" s="93">
        <f t="shared" si="84"/>
        <v>0.45833333333333331</v>
      </c>
      <c r="H203" s="555" t="str">
        <f t="shared" si="94"/>
        <v>0:00</v>
      </c>
      <c r="I203" s="556">
        <f t="shared" si="85"/>
        <v>0</v>
      </c>
      <c r="J203" s="94">
        <f t="shared" si="86"/>
        <v>0.125</v>
      </c>
      <c r="K203" s="32">
        <f t="shared" si="87"/>
        <v>1</v>
      </c>
      <c r="L203" s="95" t="str">
        <f t="shared" si="88"/>
        <v/>
      </c>
      <c r="M203" s="96">
        <f t="shared" si="89"/>
        <v>1</v>
      </c>
      <c r="N203" s="97">
        <f>IF(M203=0,0,IF(SUM($M$5:M203)&gt;251,1,0))</f>
        <v>0</v>
      </c>
      <c r="O203" s="162">
        <v>40</v>
      </c>
      <c r="P203" s="163">
        <v>1</v>
      </c>
      <c r="Q203" s="98"/>
      <c r="R203" s="520" t="s">
        <v>543</v>
      </c>
      <c r="S203" s="521" t="str">
        <f t="shared" si="101"/>
        <v>放課後児童支援員</v>
      </c>
      <c r="T203" s="522" t="str">
        <f t="shared" si="95"/>
        <v>対象</v>
      </c>
      <c r="U203" s="523" t="s">
        <v>539</v>
      </c>
      <c r="V203" s="99" t="str">
        <f t="shared" si="102"/>
        <v>放課後児童支援員</v>
      </c>
      <c r="W203" s="100" t="str">
        <f t="shared" si="96"/>
        <v>対象</v>
      </c>
      <c r="X203" s="418" t="s">
        <v>546</v>
      </c>
      <c r="Y203" s="99" t="str">
        <f t="shared" si="103"/>
        <v>放課後児童支援員</v>
      </c>
      <c r="Z203" s="100" t="str">
        <f t="shared" si="97"/>
        <v>対象</v>
      </c>
      <c r="AA203" s="418"/>
      <c r="AB203" s="99">
        <f t="shared" si="104"/>
        <v>0</v>
      </c>
      <c r="AC203" s="100">
        <f t="shared" si="98"/>
        <v>0</v>
      </c>
      <c r="AD203" s="418"/>
      <c r="AE203" s="99">
        <f t="shared" si="105"/>
        <v>0</v>
      </c>
      <c r="AF203" s="100">
        <f t="shared" si="99"/>
        <v>0</v>
      </c>
      <c r="AG203" s="351" t="str">
        <f t="shared" si="100"/>
        <v/>
      </c>
      <c r="AH203" s="272" t="str">
        <f t="shared" si="90"/>
        <v/>
      </c>
      <c r="AI203" s="358" t="str">
        <f t="shared" si="91"/>
        <v/>
      </c>
      <c r="AJ203" s="272" t="str">
        <f t="shared" si="92"/>
        <v/>
      </c>
      <c r="AK203" s="361" t="str">
        <f t="shared" si="93"/>
        <v/>
      </c>
      <c r="AL203" s="11"/>
      <c r="AM203" s="11"/>
      <c r="AN203" s="11"/>
    </row>
    <row r="204" spans="1:40" ht="14.25">
      <c r="A204" s="787"/>
      <c r="B204" s="31" t="s">
        <v>189</v>
      </c>
      <c r="C204" s="184" t="s">
        <v>121</v>
      </c>
      <c r="D204" s="413" t="s">
        <v>171</v>
      </c>
      <c r="E204" s="49">
        <v>0.33333333333333331</v>
      </c>
      <c r="F204" s="49">
        <v>0.80555555555555547</v>
      </c>
      <c r="G204" s="93">
        <f t="shared" si="84"/>
        <v>0.47222222222222215</v>
      </c>
      <c r="H204" s="555" t="str">
        <f t="shared" si="94"/>
        <v>0:00</v>
      </c>
      <c r="I204" s="556">
        <f t="shared" si="85"/>
        <v>0</v>
      </c>
      <c r="J204" s="94">
        <f t="shared" si="86"/>
        <v>0.13888888888888884</v>
      </c>
      <c r="K204" s="32">
        <f t="shared" si="87"/>
        <v>1</v>
      </c>
      <c r="L204" s="95" t="str">
        <f t="shared" si="88"/>
        <v/>
      </c>
      <c r="M204" s="96">
        <f t="shared" si="89"/>
        <v>1</v>
      </c>
      <c r="N204" s="97">
        <f>IF(M204=0,0,IF(SUM($M$5:M204)&gt;251,1,0))</f>
        <v>0</v>
      </c>
      <c r="O204" s="162">
        <v>40</v>
      </c>
      <c r="P204" s="163">
        <v>1</v>
      </c>
      <c r="Q204" s="98"/>
      <c r="R204" s="415" t="s">
        <v>543</v>
      </c>
      <c r="S204" s="516" t="str">
        <f t="shared" si="101"/>
        <v>放課後児童支援員</v>
      </c>
      <c r="T204" s="517" t="str">
        <f t="shared" si="95"/>
        <v>対象</v>
      </c>
      <c r="U204" s="518" t="s">
        <v>539</v>
      </c>
      <c r="V204" s="99" t="str">
        <f t="shared" si="102"/>
        <v>放課後児童支援員</v>
      </c>
      <c r="W204" s="100" t="str">
        <f t="shared" si="96"/>
        <v>対象</v>
      </c>
      <c r="X204" s="418" t="s">
        <v>546</v>
      </c>
      <c r="Y204" s="99" t="str">
        <f t="shared" si="103"/>
        <v>放課後児童支援員</v>
      </c>
      <c r="Z204" s="100" t="str">
        <f t="shared" si="97"/>
        <v>対象</v>
      </c>
      <c r="AA204" s="418"/>
      <c r="AB204" s="99">
        <f t="shared" si="104"/>
        <v>0</v>
      </c>
      <c r="AC204" s="100">
        <f t="shared" si="98"/>
        <v>0</v>
      </c>
      <c r="AD204" s="418"/>
      <c r="AE204" s="99">
        <f t="shared" si="105"/>
        <v>0</v>
      </c>
      <c r="AF204" s="100">
        <f t="shared" si="99"/>
        <v>0</v>
      </c>
      <c r="AG204" s="351" t="str">
        <f t="shared" si="100"/>
        <v/>
      </c>
      <c r="AH204" s="272" t="str">
        <f t="shared" si="90"/>
        <v/>
      </c>
      <c r="AI204" s="358" t="str">
        <f t="shared" si="91"/>
        <v/>
      </c>
      <c r="AJ204" s="272" t="str">
        <f t="shared" si="92"/>
        <v/>
      </c>
      <c r="AK204" s="361" t="str">
        <f t="shared" si="93"/>
        <v/>
      </c>
      <c r="AL204" s="11"/>
      <c r="AM204" s="11"/>
      <c r="AN204" s="11"/>
    </row>
    <row r="205" spans="1:40" ht="14.25">
      <c r="A205" s="787"/>
      <c r="B205" s="31" t="s">
        <v>190</v>
      </c>
      <c r="C205" s="184" t="s">
        <v>122</v>
      </c>
      <c r="D205" s="413" t="s">
        <v>171</v>
      </c>
      <c r="E205" s="49">
        <v>0.33333333333333331</v>
      </c>
      <c r="F205" s="49">
        <v>0.6875</v>
      </c>
      <c r="G205" s="93">
        <f t="shared" si="84"/>
        <v>0.35416666666666669</v>
      </c>
      <c r="H205" s="555" t="str">
        <f t="shared" si="94"/>
        <v>0:00</v>
      </c>
      <c r="I205" s="556">
        <f t="shared" si="85"/>
        <v>0</v>
      </c>
      <c r="J205" s="94">
        <f t="shared" si="86"/>
        <v>2.083333333333337E-2</v>
      </c>
      <c r="K205" s="32">
        <f t="shared" si="87"/>
        <v>1</v>
      </c>
      <c r="L205" s="95" t="str">
        <f t="shared" si="88"/>
        <v/>
      </c>
      <c r="M205" s="96">
        <f t="shared" si="89"/>
        <v>1</v>
      </c>
      <c r="N205" s="97">
        <f>IF(M205=0,0,IF(SUM($M$5:M205)&gt;251,1,0))</f>
        <v>0</v>
      </c>
      <c r="O205" s="162">
        <v>5</v>
      </c>
      <c r="P205" s="163">
        <v>0</v>
      </c>
      <c r="Q205" s="98"/>
      <c r="R205" s="415" t="s">
        <v>543</v>
      </c>
      <c r="S205" s="99" t="str">
        <f t="shared" si="101"/>
        <v>放課後児童支援員</v>
      </c>
      <c r="T205" s="100" t="str">
        <f t="shared" si="95"/>
        <v>対象</v>
      </c>
      <c r="U205" s="418" t="s">
        <v>539</v>
      </c>
      <c r="V205" s="99" t="str">
        <f t="shared" si="102"/>
        <v>放課後児童支援員</v>
      </c>
      <c r="W205" s="100" t="str">
        <f t="shared" si="96"/>
        <v>対象</v>
      </c>
      <c r="X205" s="418" t="s">
        <v>546</v>
      </c>
      <c r="Y205" s="99" t="str">
        <f t="shared" si="103"/>
        <v>放課後児童支援員</v>
      </c>
      <c r="Z205" s="100" t="str">
        <f t="shared" si="97"/>
        <v>対象</v>
      </c>
      <c r="AA205" s="418"/>
      <c r="AB205" s="99">
        <f t="shared" si="104"/>
        <v>0</v>
      </c>
      <c r="AC205" s="100">
        <f t="shared" si="98"/>
        <v>0</v>
      </c>
      <c r="AD205" s="418"/>
      <c r="AE205" s="99">
        <f t="shared" si="105"/>
        <v>0</v>
      </c>
      <c r="AF205" s="100">
        <f t="shared" si="99"/>
        <v>0</v>
      </c>
      <c r="AG205" s="351" t="str">
        <f t="shared" si="100"/>
        <v/>
      </c>
      <c r="AH205" s="272" t="str">
        <f t="shared" si="90"/>
        <v/>
      </c>
      <c r="AI205" s="358" t="str">
        <f t="shared" si="91"/>
        <v/>
      </c>
      <c r="AJ205" s="272" t="str">
        <f t="shared" si="92"/>
        <v/>
      </c>
      <c r="AK205" s="361" t="str">
        <f t="shared" si="93"/>
        <v/>
      </c>
      <c r="AL205" s="11"/>
      <c r="AM205" s="11"/>
      <c r="AN205" s="11"/>
    </row>
    <row r="206" spans="1:40" ht="14.25">
      <c r="A206" s="787"/>
      <c r="B206" s="31" t="s">
        <v>191</v>
      </c>
      <c r="C206" s="184" t="s">
        <v>183</v>
      </c>
      <c r="D206" s="413" t="s">
        <v>173</v>
      </c>
      <c r="E206" s="49"/>
      <c r="F206" s="49"/>
      <c r="G206" s="93">
        <f t="shared" si="84"/>
        <v>0</v>
      </c>
      <c r="H206" s="555" t="str">
        <f t="shared" si="94"/>
        <v>0:00</v>
      </c>
      <c r="I206" s="556">
        <f t="shared" si="85"/>
        <v>0</v>
      </c>
      <c r="J206" s="94">
        <f t="shared" si="86"/>
        <v>0</v>
      </c>
      <c r="K206" s="32">
        <f t="shared" si="87"/>
        <v>0</v>
      </c>
      <c r="L206" s="95" t="str">
        <f t="shared" si="88"/>
        <v/>
      </c>
      <c r="M206" s="96">
        <f t="shared" si="89"/>
        <v>0</v>
      </c>
      <c r="N206" s="97">
        <f>IF(M206=0,0,IF(SUM($M$5:M206)&gt;251,1,0))</f>
        <v>0</v>
      </c>
      <c r="O206" s="162"/>
      <c r="P206" s="163"/>
      <c r="Q206" s="98"/>
      <c r="R206" s="524"/>
      <c r="S206" s="521">
        <f t="shared" si="101"/>
        <v>0</v>
      </c>
      <c r="T206" s="522">
        <f t="shared" si="95"/>
        <v>0</v>
      </c>
      <c r="U206" s="525"/>
      <c r="V206" s="99">
        <f t="shared" si="102"/>
        <v>0</v>
      </c>
      <c r="W206" s="100">
        <f t="shared" si="96"/>
        <v>0</v>
      </c>
      <c r="X206" s="418"/>
      <c r="Y206" s="99">
        <f t="shared" si="103"/>
        <v>0</v>
      </c>
      <c r="Z206" s="100">
        <f t="shared" si="97"/>
        <v>0</v>
      </c>
      <c r="AA206" s="418"/>
      <c r="AB206" s="99">
        <f t="shared" si="104"/>
        <v>0</v>
      </c>
      <c r="AC206" s="100">
        <f t="shared" si="98"/>
        <v>0</v>
      </c>
      <c r="AD206" s="418"/>
      <c r="AE206" s="99">
        <f t="shared" si="105"/>
        <v>0</v>
      </c>
      <c r="AF206" s="100">
        <f t="shared" si="99"/>
        <v>0</v>
      </c>
      <c r="AG206" s="351" t="str">
        <f t="shared" si="100"/>
        <v/>
      </c>
      <c r="AH206" s="272" t="str">
        <f t="shared" si="90"/>
        <v/>
      </c>
      <c r="AI206" s="358" t="str">
        <f t="shared" si="91"/>
        <v/>
      </c>
      <c r="AJ206" s="272" t="str">
        <f t="shared" si="92"/>
        <v/>
      </c>
      <c r="AK206" s="361" t="str">
        <f t="shared" si="93"/>
        <v/>
      </c>
      <c r="AL206" s="11"/>
      <c r="AM206" s="11"/>
      <c r="AN206" s="11"/>
    </row>
    <row r="207" spans="1:40" ht="14.25">
      <c r="A207" s="787"/>
      <c r="B207" s="31" t="s">
        <v>192</v>
      </c>
      <c r="C207" s="184" t="s">
        <v>118</v>
      </c>
      <c r="D207" s="413" t="s">
        <v>171</v>
      </c>
      <c r="E207" s="49">
        <v>0.33333333333333331</v>
      </c>
      <c r="F207" s="49">
        <v>0.7715277777777777</v>
      </c>
      <c r="G207" s="93">
        <f t="shared" si="84"/>
        <v>0.43819444444444439</v>
      </c>
      <c r="H207" s="555" t="str">
        <f t="shared" si="94"/>
        <v>0:00</v>
      </c>
      <c r="I207" s="556">
        <f t="shared" si="85"/>
        <v>0</v>
      </c>
      <c r="J207" s="94">
        <f t="shared" si="86"/>
        <v>0.10486111111111107</v>
      </c>
      <c r="K207" s="32">
        <f t="shared" si="87"/>
        <v>1</v>
      </c>
      <c r="L207" s="95" t="str">
        <f t="shared" si="88"/>
        <v/>
      </c>
      <c r="M207" s="96">
        <f t="shared" si="89"/>
        <v>1</v>
      </c>
      <c r="N207" s="97">
        <f>IF(M207=0,0,IF(SUM($M$5:M207)&gt;251,1,0))</f>
        <v>0</v>
      </c>
      <c r="O207" s="162">
        <v>40</v>
      </c>
      <c r="P207" s="163">
        <v>1</v>
      </c>
      <c r="Q207" s="98"/>
      <c r="R207" s="415" t="s">
        <v>543</v>
      </c>
      <c r="S207" s="516" t="str">
        <f t="shared" si="101"/>
        <v>放課後児童支援員</v>
      </c>
      <c r="T207" s="517" t="str">
        <f t="shared" si="95"/>
        <v>対象</v>
      </c>
      <c r="U207" s="518" t="s">
        <v>539</v>
      </c>
      <c r="V207" s="99" t="str">
        <f t="shared" si="102"/>
        <v>放課後児童支援員</v>
      </c>
      <c r="W207" s="100" t="str">
        <f t="shared" si="96"/>
        <v>対象</v>
      </c>
      <c r="X207" s="418"/>
      <c r="Y207" s="99">
        <f t="shared" si="103"/>
        <v>0</v>
      </c>
      <c r="Z207" s="100">
        <f t="shared" si="97"/>
        <v>0</v>
      </c>
      <c r="AA207" s="418"/>
      <c r="AB207" s="99">
        <f t="shared" si="104"/>
        <v>0</v>
      </c>
      <c r="AC207" s="100">
        <f t="shared" si="98"/>
        <v>0</v>
      </c>
      <c r="AD207" s="418"/>
      <c r="AE207" s="99">
        <f t="shared" si="105"/>
        <v>0</v>
      </c>
      <c r="AF207" s="100">
        <f t="shared" si="99"/>
        <v>0</v>
      </c>
      <c r="AG207" s="351" t="str">
        <f t="shared" si="100"/>
        <v/>
      </c>
      <c r="AH207" s="272" t="str">
        <f t="shared" si="90"/>
        <v/>
      </c>
      <c r="AI207" s="358" t="str">
        <f t="shared" si="91"/>
        <v/>
      </c>
      <c r="AJ207" s="272" t="str">
        <f t="shared" si="92"/>
        <v/>
      </c>
      <c r="AK207" s="361" t="str">
        <f t="shared" si="93"/>
        <v/>
      </c>
      <c r="AL207" s="11"/>
      <c r="AM207" s="11"/>
      <c r="AN207" s="11"/>
    </row>
    <row r="208" spans="1:40" ht="14.25">
      <c r="A208" s="787"/>
      <c r="B208" s="31" t="s">
        <v>193</v>
      </c>
      <c r="C208" s="184" t="s">
        <v>123</v>
      </c>
      <c r="D208" s="413" t="s">
        <v>171</v>
      </c>
      <c r="E208" s="49">
        <v>0.33333333333333331</v>
      </c>
      <c r="F208" s="49">
        <v>0.79166666666666663</v>
      </c>
      <c r="G208" s="93">
        <f t="shared" si="84"/>
        <v>0.45833333333333331</v>
      </c>
      <c r="H208" s="555" t="str">
        <f t="shared" si="94"/>
        <v>0:00</v>
      </c>
      <c r="I208" s="556">
        <f t="shared" si="85"/>
        <v>0</v>
      </c>
      <c r="J208" s="94">
        <f t="shared" si="86"/>
        <v>0.125</v>
      </c>
      <c r="K208" s="32">
        <f t="shared" si="87"/>
        <v>1</v>
      </c>
      <c r="L208" s="95" t="str">
        <f t="shared" si="88"/>
        <v/>
      </c>
      <c r="M208" s="96">
        <f t="shared" si="89"/>
        <v>1</v>
      </c>
      <c r="N208" s="97">
        <f>IF(M208=0,0,IF(SUM($M$5:M208)&gt;251,1,0))</f>
        <v>0</v>
      </c>
      <c r="O208" s="162">
        <v>40</v>
      </c>
      <c r="P208" s="163">
        <v>1</v>
      </c>
      <c r="Q208" s="98"/>
      <c r="R208" s="520" t="s">
        <v>543</v>
      </c>
      <c r="S208" s="521" t="str">
        <f t="shared" si="101"/>
        <v>放課後児童支援員</v>
      </c>
      <c r="T208" s="522" t="str">
        <f t="shared" si="95"/>
        <v>対象</v>
      </c>
      <c r="U208" s="523" t="s">
        <v>539</v>
      </c>
      <c r="V208" s="99" t="str">
        <f t="shared" si="102"/>
        <v>放課後児童支援員</v>
      </c>
      <c r="W208" s="100" t="str">
        <f t="shared" si="96"/>
        <v>対象</v>
      </c>
      <c r="X208" s="418" t="s">
        <v>546</v>
      </c>
      <c r="Y208" s="99" t="str">
        <f t="shared" si="103"/>
        <v>放課後児童支援員</v>
      </c>
      <c r="Z208" s="100" t="str">
        <f t="shared" si="97"/>
        <v>対象</v>
      </c>
      <c r="AA208" s="418"/>
      <c r="AB208" s="99">
        <f t="shared" si="104"/>
        <v>0</v>
      </c>
      <c r="AC208" s="100">
        <f t="shared" si="98"/>
        <v>0</v>
      </c>
      <c r="AD208" s="418"/>
      <c r="AE208" s="99">
        <f t="shared" si="105"/>
        <v>0</v>
      </c>
      <c r="AF208" s="100">
        <f t="shared" si="99"/>
        <v>0</v>
      </c>
      <c r="AG208" s="351" t="str">
        <f t="shared" si="100"/>
        <v/>
      </c>
      <c r="AH208" s="272" t="str">
        <f t="shared" si="90"/>
        <v/>
      </c>
      <c r="AI208" s="358" t="str">
        <f t="shared" si="91"/>
        <v/>
      </c>
      <c r="AJ208" s="272" t="str">
        <f t="shared" si="92"/>
        <v/>
      </c>
      <c r="AK208" s="361" t="str">
        <f t="shared" si="93"/>
        <v/>
      </c>
      <c r="AL208" s="11"/>
      <c r="AM208" s="11"/>
      <c r="AN208" s="11"/>
    </row>
    <row r="209" spans="1:40" ht="14.25">
      <c r="A209" s="787"/>
      <c r="B209" s="31" t="s">
        <v>194</v>
      </c>
      <c r="C209" s="184" t="s">
        <v>119</v>
      </c>
      <c r="D209" s="413" t="s">
        <v>171</v>
      </c>
      <c r="E209" s="49">
        <v>0.33333333333333331</v>
      </c>
      <c r="F209" s="49">
        <v>0.79166666666666663</v>
      </c>
      <c r="G209" s="93">
        <f t="shared" si="84"/>
        <v>0.45833333333333331</v>
      </c>
      <c r="H209" s="555" t="str">
        <f t="shared" si="94"/>
        <v>0:00</v>
      </c>
      <c r="I209" s="556">
        <f t="shared" si="85"/>
        <v>0</v>
      </c>
      <c r="J209" s="94">
        <f t="shared" si="86"/>
        <v>0.125</v>
      </c>
      <c r="K209" s="32">
        <f t="shared" si="87"/>
        <v>1</v>
      </c>
      <c r="L209" s="95" t="str">
        <f t="shared" si="88"/>
        <v/>
      </c>
      <c r="M209" s="96">
        <f t="shared" si="89"/>
        <v>1</v>
      </c>
      <c r="N209" s="97">
        <f>IF(M209=0,0,IF(SUM($M$5:M209)&gt;251,1,0))</f>
        <v>0</v>
      </c>
      <c r="O209" s="162">
        <v>40</v>
      </c>
      <c r="P209" s="163">
        <v>1</v>
      </c>
      <c r="Q209" s="98"/>
      <c r="R209" s="415" t="s">
        <v>543</v>
      </c>
      <c r="S209" s="516" t="str">
        <f t="shared" si="101"/>
        <v>放課後児童支援員</v>
      </c>
      <c r="T209" s="517" t="str">
        <f t="shared" si="95"/>
        <v>対象</v>
      </c>
      <c r="U209" s="518" t="s">
        <v>539</v>
      </c>
      <c r="V209" s="99" t="str">
        <f t="shared" si="102"/>
        <v>放課後児童支援員</v>
      </c>
      <c r="W209" s="100" t="str">
        <f t="shared" si="96"/>
        <v>対象</v>
      </c>
      <c r="X209" s="418" t="s">
        <v>546</v>
      </c>
      <c r="Y209" s="99" t="str">
        <f t="shared" si="103"/>
        <v>放課後児童支援員</v>
      </c>
      <c r="Z209" s="100" t="str">
        <f t="shared" si="97"/>
        <v>対象</v>
      </c>
      <c r="AA209" s="418"/>
      <c r="AB209" s="99">
        <f t="shared" si="104"/>
        <v>0</v>
      </c>
      <c r="AC209" s="100">
        <f t="shared" si="98"/>
        <v>0</v>
      </c>
      <c r="AD209" s="418"/>
      <c r="AE209" s="99">
        <f t="shared" si="105"/>
        <v>0</v>
      </c>
      <c r="AF209" s="100">
        <f t="shared" si="99"/>
        <v>0</v>
      </c>
      <c r="AG209" s="351" t="str">
        <f t="shared" si="100"/>
        <v/>
      </c>
      <c r="AH209" s="272" t="str">
        <f t="shared" si="90"/>
        <v/>
      </c>
      <c r="AI209" s="358" t="str">
        <f t="shared" si="91"/>
        <v/>
      </c>
      <c r="AJ209" s="272" t="str">
        <f t="shared" si="92"/>
        <v/>
      </c>
      <c r="AK209" s="361" t="str">
        <f t="shared" si="93"/>
        <v/>
      </c>
      <c r="AL209" s="11"/>
      <c r="AM209" s="11"/>
      <c r="AN209" s="11"/>
    </row>
    <row r="210" spans="1:40" ht="14.25">
      <c r="A210" s="787"/>
      <c r="B210" s="31" t="s">
        <v>195</v>
      </c>
      <c r="C210" s="184" t="s">
        <v>120</v>
      </c>
      <c r="D210" s="413" t="s">
        <v>171</v>
      </c>
      <c r="E210" s="49">
        <v>0.33333333333333331</v>
      </c>
      <c r="F210" s="49">
        <v>0.79166666666666663</v>
      </c>
      <c r="G210" s="93">
        <f t="shared" si="84"/>
        <v>0.45833333333333331</v>
      </c>
      <c r="H210" s="555" t="str">
        <f t="shared" si="94"/>
        <v>0:00</v>
      </c>
      <c r="I210" s="556">
        <f t="shared" si="85"/>
        <v>0</v>
      </c>
      <c r="J210" s="94">
        <f t="shared" si="86"/>
        <v>0.125</v>
      </c>
      <c r="K210" s="32">
        <f t="shared" si="87"/>
        <v>1</v>
      </c>
      <c r="L210" s="95" t="str">
        <f t="shared" si="88"/>
        <v/>
      </c>
      <c r="M210" s="96">
        <f t="shared" si="89"/>
        <v>1</v>
      </c>
      <c r="N210" s="97">
        <f>IF(M210=0,0,IF(SUM($M$5:M210)&gt;251,1,0))</f>
        <v>0</v>
      </c>
      <c r="O210" s="162">
        <v>40</v>
      </c>
      <c r="P210" s="163">
        <v>1</v>
      </c>
      <c r="Q210" s="98"/>
      <c r="R210" s="520" t="s">
        <v>543</v>
      </c>
      <c r="S210" s="521" t="str">
        <f t="shared" si="101"/>
        <v>放課後児童支援員</v>
      </c>
      <c r="T210" s="522" t="str">
        <f t="shared" si="95"/>
        <v>対象</v>
      </c>
      <c r="U210" s="523" t="s">
        <v>539</v>
      </c>
      <c r="V210" s="99" t="str">
        <f t="shared" si="102"/>
        <v>放課後児童支援員</v>
      </c>
      <c r="W210" s="100" t="str">
        <f t="shared" si="96"/>
        <v>対象</v>
      </c>
      <c r="X210" s="418" t="s">
        <v>546</v>
      </c>
      <c r="Y210" s="99" t="str">
        <f t="shared" si="103"/>
        <v>放課後児童支援員</v>
      </c>
      <c r="Z210" s="100" t="str">
        <f t="shared" si="97"/>
        <v>対象</v>
      </c>
      <c r="AA210" s="418"/>
      <c r="AB210" s="99">
        <f t="shared" si="104"/>
        <v>0</v>
      </c>
      <c r="AC210" s="100">
        <f t="shared" si="98"/>
        <v>0</v>
      </c>
      <c r="AD210" s="418"/>
      <c r="AE210" s="99">
        <f t="shared" si="105"/>
        <v>0</v>
      </c>
      <c r="AF210" s="100">
        <f t="shared" si="99"/>
        <v>0</v>
      </c>
      <c r="AG210" s="351" t="str">
        <f t="shared" si="100"/>
        <v/>
      </c>
      <c r="AH210" s="272" t="str">
        <f t="shared" si="90"/>
        <v/>
      </c>
      <c r="AI210" s="358" t="str">
        <f t="shared" si="91"/>
        <v/>
      </c>
      <c r="AJ210" s="272" t="str">
        <f t="shared" si="92"/>
        <v/>
      </c>
      <c r="AK210" s="361" t="str">
        <f t="shared" si="93"/>
        <v/>
      </c>
      <c r="AL210" s="11"/>
      <c r="AM210" s="11"/>
      <c r="AN210" s="11"/>
    </row>
    <row r="211" spans="1:40" ht="14.25">
      <c r="A211" s="787"/>
      <c r="B211" s="31" t="s">
        <v>196</v>
      </c>
      <c r="C211" s="184" t="s">
        <v>121</v>
      </c>
      <c r="D211" s="413" t="s">
        <v>171</v>
      </c>
      <c r="E211" s="49">
        <v>0.33333333333333331</v>
      </c>
      <c r="F211" s="49">
        <v>0.80555555555555547</v>
      </c>
      <c r="G211" s="93">
        <f t="shared" si="84"/>
        <v>0.47222222222222215</v>
      </c>
      <c r="H211" s="555" t="str">
        <f t="shared" si="94"/>
        <v>0:00</v>
      </c>
      <c r="I211" s="556">
        <f t="shared" si="85"/>
        <v>0</v>
      </c>
      <c r="J211" s="94">
        <f t="shared" si="86"/>
        <v>0.13888888888888884</v>
      </c>
      <c r="K211" s="32">
        <f t="shared" si="87"/>
        <v>1</v>
      </c>
      <c r="L211" s="95" t="str">
        <f t="shared" si="88"/>
        <v/>
      </c>
      <c r="M211" s="96">
        <f t="shared" si="89"/>
        <v>1</v>
      </c>
      <c r="N211" s="97">
        <f>IF(M211=0,0,IF(SUM($M$5:M211)&gt;251,1,0))</f>
        <v>0</v>
      </c>
      <c r="O211" s="162">
        <v>40</v>
      </c>
      <c r="P211" s="163">
        <v>1</v>
      </c>
      <c r="Q211" s="98"/>
      <c r="R211" s="415" t="s">
        <v>543</v>
      </c>
      <c r="S211" s="516" t="str">
        <f t="shared" si="101"/>
        <v>放課後児童支援員</v>
      </c>
      <c r="T211" s="517" t="str">
        <f t="shared" si="95"/>
        <v>対象</v>
      </c>
      <c r="U211" s="518" t="s">
        <v>539</v>
      </c>
      <c r="V211" s="99" t="str">
        <f t="shared" si="102"/>
        <v>放課後児童支援員</v>
      </c>
      <c r="W211" s="100" t="str">
        <f t="shared" si="96"/>
        <v>対象</v>
      </c>
      <c r="X211" s="418" t="s">
        <v>546</v>
      </c>
      <c r="Y211" s="99" t="str">
        <f t="shared" si="103"/>
        <v>放課後児童支援員</v>
      </c>
      <c r="Z211" s="100" t="str">
        <f t="shared" si="97"/>
        <v>対象</v>
      </c>
      <c r="AA211" s="418"/>
      <c r="AB211" s="99">
        <f t="shared" si="104"/>
        <v>0</v>
      </c>
      <c r="AC211" s="100">
        <f t="shared" si="98"/>
        <v>0</v>
      </c>
      <c r="AD211" s="418"/>
      <c r="AE211" s="99">
        <f t="shared" si="105"/>
        <v>0</v>
      </c>
      <c r="AF211" s="100">
        <f t="shared" si="99"/>
        <v>0</v>
      </c>
      <c r="AG211" s="351" t="str">
        <f t="shared" si="100"/>
        <v/>
      </c>
      <c r="AH211" s="272" t="str">
        <f t="shared" si="90"/>
        <v/>
      </c>
      <c r="AI211" s="358" t="str">
        <f t="shared" si="91"/>
        <v/>
      </c>
      <c r="AJ211" s="272" t="str">
        <f t="shared" si="92"/>
        <v/>
      </c>
      <c r="AK211" s="361" t="str">
        <f t="shared" si="93"/>
        <v/>
      </c>
      <c r="AL211" s="11"/>
      <c r="AM211" s="11"/>
      <c r="AN211" s="11"/>
    </row>
    <row r="212" spans="1:40" ht="14.25">
      <c r="A212" s="787"/>
      <c r="B212" s="31" t="s">
        <v>197</v>
      </c>
      <c r="C212" s="184" t="s">
        <v>122</v>
      </c>
      <c r="D212" s="413" t="s">
        <v>173</v>
      </c>
      <c r="E212" s="49"/>
      <c r="F212" s="49"/>
      <c r="G212" s="93">
        <f t="shared" si="84"/>
        <v>0</v>
      </c>
      <c r="H212" s="555" t="str">
        <f t="shared" si="94"/>
        <v>0:00</v>
      </c>
      <c r="I212" s="556">
        <f t="shared" si="85"/>
        <v>0</v>
      </c>
      <c r="J212" s="94">
        <f t="shared" si="86"/>
        <v>0</v>
      </c>
      <c r="K212" s="32">
        <f t="shared" si="87"/>
        <v>0</v>
      </c>
      <c r="L212" s="95" t="str">
        <f t="shared" si="88"/>
        <v/>
      </c>
      <c r="M212" s="96">
        <f t="shared" si="89"/>
        <v>0</v>
      </c>
      <c r="N212" s="97">
        <f>IF(M212=0,0,IF(SUM($M$5:M212)&gt;251,1,0))</f>
        <v>0</v>
      </c>
      <c r="O212" s="162"/>
      <c r="P212" s="163"/>
      <c r="Q212" s="98"/>
      <c r="R212" s="415"/>
      <c r="S212" s="99">
        <f t="shared" si="101"/>
        <v>0</v>
      </c>
      <c r="T212" s="100">
        <f t="shared" si="95"/>
        <v>0</v>
      </c>
      <c r="U212" s="418"/>
      <c r="V212" s="99">
        <f t="shared" si="102"/>
        <v>0</v>
      </c>
      <c r="W212" s="100">
        <f t="shared" si="96"/>
        <v>0</v>
      </c>
      <c r="X212" s="418"/>
      <c r="Y212" s="99">
        <f t="shared" si="103"/>
        <v>0</v>
      </c>
      <c r="Z212" s="100">
        <f t="shared" si="97"/>
        <v>0</v>
      </c>
      <c r="AA212" s="418"/>
      <c r="AB212" s="99">
        <f t="shared" si="104"/>
        <v>0</v>
      </c>
      <c r="AC212" s="100">
        <f t="shared" si="98"/>
        <v>0</v>
      </c>
      <c r="AD212" s="418"/>
      <c r="AE212" s="99">
        <f t="shared" si="105"/>
        <v>0</v>
      </c>
      <c r="AF212" s="100">
        <f t="shared" si="99"/>
        <v>0</v>
      </c>
      <c r="AG212" s="351" t="str">
        <f t="shared" si="100"/>
        <v/>
      </c>
      <c r="AH212" s="272" t="str">
        <f t="shared" si="90"/>
        <v/>
      </c>
      <c r="AI212" s="358" t="str">
        <f t="shared" si="91"/>
        <v/>
      </c>
      <c r="AJ212" s="272" t="str">
        <f t="shared" si="92"/>
        <v/>
      </c>
      <c r="AK212" s="361" t="str">
        <f t="shared" si="93"/>
        <v/>
      </c>
      <c r="AL212" s="11"/>
      <c r="AM212" s="11"/>
      <c r="AN212" s="11"/>
    </row>
    <row r="213" spans="1:40" ht="14.25">
      <c r="A213" s="787"/>
      <c r="B213" s="31" t="s">
        <v>198</v>
      </c>
      <c r="C213" s="184" t="s">
        <v>183</v>
      </c>
      <c r="D213" s="413" t="s">
        <v>173</v>
      </c>
      <c r="E213" s="49"/>
      <c r="F213" s="49"/>
      <c r="G213" s="93">
        <f t="shared" si="84"/>
        <v>0</v>
      </c>
      <c r="H213" s="555" t="str">
        <f t="shared" si="94"/>
        <v>0:00</v>
      </c>
      <c r="I213" s="556">
        <f t="shared" si="85"/>
        <v>0</v>
      </c>
      <c r="J213" s="94">
        <f t="shared" si="86"/>
        <v>0</v>
      </c>
      <c r="K213" s="32">
        <f t="shared" si="87"/>
        <v>0</v>
      </c>
      <c r="L213" s="95" t="str">
        <f t="shared" si="88"/>
        <v/>
      </c>
      <c r="M213" s="96">
        <f t="shared" si="89"/>
        <v>0</v>
      </c>
      <c r="N213" s="97">
        <f>IF(M213=0,0,IF(SUM($M$5:M213)&gt;251,1,0))</f>
        <v>0</v>
      </c>
      <c r="O213" s="162"/>
      <c r="P213" s="163"/>
      <c r="Q213" s="98"/>
      <c r="R213" s="524"/>
      <c r="S213" s="521">
        <f t="shared" si="101"/>
        <v>0</v>
      </c>
      <c r="T213" s="522">
        <f t="shared" si="95"/>
        <v>0</v>
      </c>
      <c r="U213" s="525"/>
      <c r="V213" s="99">
        <f t="shared" si="102"/>
        <v>0</v>
      </c>
      <c r="W213" s="100">
        <f t="shared" si="96"/>
        <v>0</v>
      </c>
      <c r="X213" s="418"/>
      <c r="Y213" s="99">
        <f t="shared" si="103"/>
        <v>0</v>
      </c>
      <c r="Z213" s="100">
        <f t="shared" si="97"/>
        <v>0</v>
      </c>
      <c r="AA213" s="418"/>
      <c r="AB213" s="99">
        <f t="shared" si="104"/>
        <v>0</v>
      </c>
      <c r="AC213" s="100">
        <f t="shared" si="98"/>
        <v>0</v>
      </c>
      <c r="AD213" s="418"/>
      <c r="AE213" s="99">
        <f t="shared" si="105"/>
        <v>0</v>
      </c>
      <c r="AF213" s="100">
        <f t="shared" si="99"/>
        <v>0</v>
      </c>
      <c r="AG213" s="351" t="str">
        <f t="shared" si="100"/>
        <v/>
      </c>
      <c r="AH213" s="272" t="str">
        <f t="shared" si="90"/>
        <v/>
      </c>
      <c r="AI213" s="358" t="str">
        <f t="shared" si="91"/>
        <v/>
      </c>
      <c r="AJ213" s="272" t="str">
        <f t="shared" si="92"/>
        <v/>
      </c>
      <c r="AK213" s="361" t="str">
        <f t="shared" si="93"/>
        <v/>
      </c>
      <c r="AL213" s="11"/>
      <c r="AM213" s="11"/>
      <c r="AN213" s="11"/>
    </row>
    <row r="214" spans="1:40" ht="14.25">
      <c r="A214" s="787"/>
      <c r="B214" s="31" t="s">
        <v>199</v>
      </c>
      <c r="C214" s="184" t="s">
        <v>118</v>
      </c>
      <c r="D214" s="413" t="s">
        <v>171</v>
      </c>
      <c r="E214" s="49">
        <v>0.33333333333333331</v>
      </c>
      <c r="F214" s="49">
        <v>0.80555555555555547</v>
      </c>
      <c r="G214" s="93">
        <f t="shared" si="84"/>
        <v>0.47222222222222215</v>
      </c>
      <c r="H214" s="555" t="str">
        <f t="shared" si="94"/>
        <v>0:00</v>
      </c>
      <c r="I214" s="556">
        <f t="shared" si="85"/>
        <v>0</v>
      </c>
      <c r="J214" s="94">
        <f t="shared" si="86"/>
        <v>0.13888888888888884</v>
      </c>
      <c r="K214" s="32">
        <f t="shared" si="87"/>
        <v>1</v>
      </c>
      <c r="L214" s="95" t="str">
        <f t="shared" si="88"/>
        <v/>
      </c>
      <c r="M214" s="96">
        <f t="shared" si="89"/>
        <v>1</v>
      </c>
      <c r="N214" s="97">
        <f>IF(M214=0,0,IF(SUM($M$5:M214)&gt;251,1,0))</f>
        <v>0</v>
      </c>
      <c r="O214" s="162">
        <v>40</v>
      </c>
      <c r="P214" s="163">
        <v>1</v>
      </c>
      <c r="Q214" s="98"/>
      <c r="R214" s="415" t="s">
        <v>543</v>
      </c>
      <c r="S214" s="516" t="str">
        <f t="shared" si="101"/>
        <v>放課後児童支援員</v>
      </c>
      <c r="T214" s="517" t="str">
        <f t="shared" si="95"/>
        <v>対象</v>
      </c>
      <c r="U214" s="518" t="s">
        <v>539</v>
      </c>
      <c r="V214" s="99" t="str">
        <f t="shared" si="102"/>
        <v>放課後児童支援員</v>
      </c>
      <c r="W214" s="100" t="str">
        <f t="shared" si="96"/>
        <v>対象</v>
      </c>
      <c r="X214" s="418"/>
      <c r="Y214" s="99">
        <f t="shared" si="103"/>
        <v>0</v>
      </c>
      <c r="Z214" s="100">
        <f t="shared" si="97"/>
        <v>0</v>
      </c>
      <c r="AA214" s="418"/>
      <c r="AB214" s="99">
        <f t="shared" si="104"/>
        <v>0</v>
      </c>
      <c r="AC214" s="100">
        <f t="shared" si="98"/>
        <v>0</v>
      </c>
      <c r="AD214" s="418"/>
      <c r="AE214" s="99">
        <f t="shared" si="105"/>
        <v>0</v>
      </c>
      <c r="AF214" s="100">
        <f t="shared" si="99"/>
        <v>0</v>
      </c>
      <c r="AG214" s="351" t="str">
        <f t="shared" si="100"/>
        <v/>
      </c>
      <c r="AH214" s="272" t="str">
        <f t="shared" si="90"/>
        <v/>
      </c>
      <c r="AI214" s="358" t="str">
        <f t="shared" si="91"/>
        <v/>
      </c>
      <c r="AJ214" s="272" t="str">
        <f t="shared" si="92"/>
        <v/>
      </c>
      <c r="AK214" s="361" t="str">
        <f t="shared" si="93"/>
        <v/>
      </c>
      <c r="AL214" s="11"/>
      <c r="AM214" s="11"/>
      <c r="AN214" s="11"/>
    </row>
    <row r="215" spans="1:40" ht="14.25">
      <c r="A215" s="787"/>
      <c r="B215" s="31" t="s">
        <v>200</v>
      </c>
      <c r="C215" s="184" t="s">
        <v>123</v>
      </c>
      <c r="D215" s="413" t="s">
        <v>24</v>
      </c>
      <c r="E215" s="49">
        <v>0.60416666666666663</v>
      </c>
      <c r="F215" s="49">
        <v>0.81180555555555556</v>
      </c>
      <c r="G215" s="93">
        <f t="shared" si="84"/>
        <v>0.20763888888888893</v>
      </c>
      <c r="H215" s="555">
        <f t="shared" si="94"/>
        <v>4.0972222222222188E-2</v>
      </c>
      <c r="I215" s="556">
        <f t="shared" si="85"/>
        <v>1</v>
      </c>
      <c r="J215" s="94">
        <f t="shared" si="86"/>
        <v>0</v>
      </c>
      <c r="K215" s="32">
        <f t="shared" si="87"/>
        <v>0</v>
      </c>
      <c r="L215" s="95" t="str">
        <f t="shared" si="88"/>
        <v/>
      </c>
      <c r="M215" s="96">
        <f t="shared" si="89"/>
        <v>0</v>
      </c>
      <c r="N215" s="97">
        <f>IF(M215=0,0,IF(SUM($M$5:M215)&gt;251,1,0))</f>
        <v>0</v>
      </c>
      <c r="O215" s="162">
        <v>40</v>
      </c>
      <c r="P215" s="163">
        <v>1</v>
      </c>
      <c r="Q215" s="98"/>
      <c r="R215" s="415" t="s">
        <v>543</v>
      </c>
      <c r="S215" s="99" t="str">
        <f t="shared" si="101"/>
        <v>放課後児童支援員</v>
      </c>
      <c r="T215" s="100" t="str">
        <f t="shared" si="95"/>
        <v>対象</v>
      </c>
      <c r="U215" s="418" t="s">
        <v>539</v>
      </c>
      <c r="V215" s="99" t="str">
        <f t="shared" si="102"/>
        <v>放課後児童支援員</v>
      </c>
      <c r="W215" s="100" t="str">
        <f t="shared" si="96"/>
        <v>対象</v>
      </c>
      <c r="X215" s="418" t="s">
        <v>546</v>
      </c>
      <c r="Y215" s="99" t="str">
        <f t="shared" si="103"/>
        <v>放課後児童支援員</v>
      </c>
      <c r="Z215" s="100" t="str">
        <f t="shared" si="97"/>
        <v>対象</v>
      </c>
      <c r="AA215" s="418"/>
      <c r="AB215" s="99">
        <f t="shared" si="104"/>
        <v>0</v>
      </c>
      <c r="AC215" s="100">
        <f t="shared" si="98"/>
        <v>0</v>
      </c>
      <c r="AD215" s="418"/>
      <c r="AE215" s="99">
        <f t="shared" si="105"/>
        <v>0</v>
      </c>
      <c r="AF215" s="100">
        <f t="shared" si="99"/>
        <v>0</v>
      </c>
      <c r="AG215" s="351" t="str">
        <f t="shared" si="100"/>
        <v/>
      </c>
      <c r="AH215" s="272" t="str">
        <f t="shared" si="90"/>
        <v/>
      </c>
      <c r="AI215" s="358" t="str">
        <f t="shared" si="91"/>
        <v/>
      </c>
      <c r="AJ215" s="272" t="str">
        <f t="shared" si="92"/>
        <v/>
      </c>
      <c r="AK215" s="361" t="str">
        <f t="shared" si="93"/>
        <v/>
      </c>
      <c r="AL215" s="11"/>
      <c r="AM215" s="11"/>
      <c r="AN215" s="11"/>
    </row>
    <row r="216" spans="1:40" ht="14.25">
      <c r="A216" s="787"/>
      <c r="B216" s="31" t="s">
        <v>201</v>
      </c>
      <c r="C216" s="184" t="s">
        <v>119</v>
      </c>
      <c r="D216" s="413" t="s">
        <v>24</v>
      </c>
      <c r="E216" s="49">
        <v>0.60416666666666663</v>
      </c>
      <c r="F216" s="49">
        <v>0.81180555555555556</v>
      </c>
      <c r="G216" s="93">
        <f t="shared" si="84"/>
        <v>0.20763888888888893</v>
      </c>
      <c r="H216" s="555">
        <f t="shared" si="94"/>
        <v>4.0972222222222188E-2</v>
      </c>
      <c r="I216" s="556">
        <f t="shared" si="85"/>
        <v>1</v>
      </c>
      <c r="J216" s="94">
        <f t="shared" si="86"/>
        <v>0</v>
      </c>
      <c r="K216" s="32">
        <f t="shared" si="87"/>
        <v>0</v>
      </c>
      <c r="L216" s="95" t="str">
        <f t="shared" si="88"/>
        <v/>
      </c>
      <c r="M216" s="96">
        <f t="shared" si="89"/>
        <v>0</v>
      </c>
      <c r="N216" s="97">
        <f>IF(M216=0,0,IF(SUM($M$5:M216)&gt;251,1,0))</f>
        <v>0</v>
      </c>
      <c r="O216" s="162">
        <v>40</v>
      </c>
      <c r="P216" s="163">
        <v>1</v>
      </c>
      <c r="Q216" s="98"/>
      <c r="R216" s="415" t="s">
        <v>543</v>
      </c>
      <c r="S216" s="99" t="str">
        <f t="shared" si="101"/>
        <v>放課後児童支援員</v>
      </c>
      <c r="T216" s="100" t="str">
        <f t="shared" si="95"/>
        <v>対象</v>
      </c>
      <c r="U216" s="418" t="s">
        <v>539</v>
      </c>
      <c r="V216" s="99" t="str">
        <f t="shared" si="102"/>
        <v>放課後児童支援員</v>
      </c>
      <c r="W216" s="100" t="str">
        <f t="shared" si="96"/>
        <v>対象</v>
      </c>
      <c r="X216" s="418" t="s">
        <v>546</v>
      </c>
      <c r="Y216" s="99" t="str">
        <f t="shared" si="103"/>
        <v>放課後児童支援員</v>
      </c>
      <c r="Z216" s="100" t="str">
        <f t="shared" si="97"/>
        <v>対象</v>
      </c>
      <c r="AA216" s="418"/>
      <c r="AB216" s="99">
        <f t="shared" si="104"/>
        <v>0</v>
      </c>
      <c r="AC216" s="100">
        <f t="shared" si="98"/>
        <v>0</v>
      </c>
      <c r="AD216" s="418"/>
      <c r="AE216" s="99">
        <f t="shared" si="105"/>
        <v>0</v>
      </c>
      <c r="AF216" s="100">
        <f t="shared" si="99"/>
        <v>0</v>
      </c>
      <c r="AG216" s="351" t="str">
        <f t="shared" si="100"/>
        <v/>
      </c>
      <c r="AH216" s="272" t="str">
        <f t="shared" si="90"/>
        <v/>
      </c>
      <c r="AI216" s="358" t="str">
        <f t="shared" si="91"/>
        <v/>
      </c>
      <c r="AJ216" s="272" t="str">
        <f t="shared" si="92"/>
        <v/>
      </c>
      <c r="AK216" s="361" t="str">
        <f t="shared" si="93"/>
        <v/>
      </c>
      <c r="AL216" s="11"/>
      <c r="AM216" s="11"/>
      <c r="AN216" s="11"/>
    </row>
    <row r="217" spans="1:40" ht="14.25">
      <c r="A217" s="787"/>
      <c r="B217" s="31" t="s">
        <v>202</v>
      </c>
      <c r="C217" s="184" t="s">
        <v>120</v>
      </c>
      <c r="D217" s="413" t="s">
        <v>24</v>
      </c>
      <c r="E217" s="49">
        <v>0.60416666666666663</v>
      </c>
      <c r="F217" s="49">
        <v>0.81180555555555556</v>
      </c>
      <c r="G217" s="93">
        <f t="shared" si="84"/>
        <v>0.20763888888888893</v>
      </c>
      <c r="H217" s="555">
        <f t="shared" si="94"/>
        <v>4.0972222222222188E-2</v>
      </c>
      <c r="I217" s="556">
        <f t="shared" si="85"/>
        <v>1</v>
      </c>
      <c r="J217" s="94">
        <f t="shared" si="86"/>
        <v>0</v>
      </c>
      <c r="K217" s="32">
        <f t="shared" si="87"/>
        <v>0</v>
      </c>
      <c r="L217" s="95" t="str">
        <f t="shared" si="88"/>
        <v/>
      </c>
      <c r="M217" s="96">
        <f t="shared" si="89"/>
        <v>0</v>
      </c>
      <c r="N217" s="97">
        <f>IF(M217=0,0,IF(SUM($M$5:M217)&gt;251,1,0))</f>
        <v>0</v>
      </c>
      <c r="O217" s="162">
        <v>40</v>
      </c>
      <c r="P217" s="163">
        <v>1</v>
      </c>
      <c r="Q217" s="98"/>
      <c r="R217" s="415" t="s">
        <v>543</v>
      </c>
      <c r="S217" s="99" t="str">
        <f t="shared" si="101"/>
        <v>放課後児童支援員</v>
      </c>
      <c r="T217" s="100" t="str">
        <f t="shared" si="95"/>
        <v>対象</v>
      </c>
      <c r="U217" s="418" t="s">
        <v>539</v>
      </c>
      <c r="V217" s="99" t="str">
        <f t="shared" si="102"/>
        <v>放課後児童支援員</v>
      </c>
      <c r="W217" s="100" t="str">
        <f t="shared" si="96"/>
        <v>対象</v>
      </c>
      <c r="X217" s="418" t="s">
        <v>546</v>
      </c>
      <c r="Y217" s="99" t="str">
        <f t="shared" si="103"/>
        <v>放課後児童支援員</v>
      </c>
      <c r="Z217" s="100" t="str">
        <f t="shared" si="97"/>
        <v>対象</v>
      </c>
      <c r="AA217" s="418"/>
      <c r="AB217" s="99">
        <f t="shared" si="104"/>
        <v>0</v>
      </c>
      <c r="AC217" s="100">
        <f t="shared" si="98"/>
        <v>0</v>
      </c>
      <c r="AD217" s="418"/>
      <c r="AE217" s="99">
        <f t="shared" si="105"/>
        <v>0</v>
      </c>
      <c r="AF217" s="100">
        <f t="shared" si="99"/>
        <v>0</v>
      </c>
      <c r="AG217" s="351" t="str">
        <f t="shared" si="100"/>
        <v/>
      </c>
      <c r="AH217" s="272" t="str">
        <f t="shared" si="90"/>
        <v/>
      </c>
      <c r="AI217" s="358" t="str">
        <f t="shared" si="91"/>
        <v/>
      </c>
      <c r="AJ217" s="272" t="str">
        <f t="shared" si="92"/>
        <v/>
      </c>
      <c r="AK217" s="361" t="str">
        <f t="shared" si="93"/>
        <v/>
      </c>
      <c r="AL217" s="11"/>
      <c r="AM217" s="11"/>
      <c r="AN217" s="11"/>
    </row>
    <row r="218" spans="1:40" ht="15" thickBot="1">
      <c r="A218" s="788"/>
      <c r="B218" s="33" t="s">
        <v>213</v>
      </c>
      <c r="C218" s="184" t="s">
        <v>121</v>
      </c>
      <c r="D218" s="413" t="s">
        <v>24</v>
      </c>
      <c r="E218" s="50">
        <v>0.60416666666666663</v>
      </c>
      <c r="F218" s="50">
        <v>0.81180555555555556</v>
      </c>
      <c r="G218" s="101">
        <f t="shared" si="84"/>
        <v>0.20763888888888893</v>
      </c>
      <c r="H218" s="555">
        <f t="shared" si="94"/>
        <v>4.0972222222222188E-2</v>
      </c>
      <c r="I218" s="557">
        <f t="shared" si="85"/>
        <v>1</v>
      </c>
      <c r="J218" s="102">
        <f t="shared" si="86"/>
        <v>0</v>
      </c>
      <c r="K218" s="34">
        <f t="shared" si="87"/>
        <v>0</v>
      </c>
      <c r="L218" s="103" t="str">
        <f t="shared" si="88"/>
        <v/>
      </c>
      <c r="M218" s="104">
        <f t="shared" si="89"/>
        <v>0</v>
      </c>
      <c r="N218" s="105">
        <f>IF(M218=0,0,IF(SUM($M$5:M218)&gt;251,1,0))</f>
        <v>0</v>
      </c>
      <c r="O218" s="162">
        <v>40</v>
      </c>
      <c r="P218" s="163">
        <v>1</v>
      </c>
      <c r="Q218" s="108">
        <f>SUM(O188:O218)</f>
        <v>930</v>
      </c>
      <c r="R218" s="415" t="s">
        <v>543</v>
      </c>
      <c r="S218" s="185" t="str">
        <f t="shared" si="101"/>
        <v>放課後児童支援員</v>
      </c>
      <c r="T218" s="107" t="str">
        <f t="shared" si="95"/>
        <v>対象</v>
      </c>
      <c r="U218" s="418" t="s">
        <v>539</v>
      </c>
      <c r="V218" s="185" t="str">
        <f t="shared" si="102"/>
        <v>放課後児童支援員</v>
      </c>
      <c r="W218" s="107" t="str">
        <f t="shared" si="96"/>
        <v>対象</v>
      </c>
      <c r="X218" s="419" t="s">
        <v>546</v>
      </c>
      <c r="Y218" s="185" t="str">
        <f t="shared" si="103"/>
        <v>放課後児童支援員</v>
      </c>
      <c r="Z218" s="107" t="str">
        <f t="shared" si="97"/>
        <v>対象</v>
      </c>
      <c r="AA218" s="419"/>
      <c r="AB218" s="185">
        <f t="shared" si="104"/>
        <v>0</v>
      </c>
      <c r="AC218" s="107">
        <f t="shared" si="98"/>
        <v>0</v>
      </c>
      <c r="AD218" s="419"/>
      <c r="AE218" s="185">
        <f t="shared" si="105"/>
        <v>0</v>
      </c>
      <c r="AF218" s="107">
        <f t="shared" si="99"/>
        <v>0</v>
      </c>
      <c r="AG218" s="182" t="str">
        <f t="shared" si="100"/>
        <v/>
      </c>
      <c r="AH218" s="273" t="str">
        <f t="shared" si="90"/>
        <v/>
      </c>
      <c r="AI218" s="464" t="str">
        <f t="shared" si="91"/>
        <v/>
      </c>
      <c r="AJ218" s="273" t="str">
        <f t="shared" si="92"/>
        <v/>
      </c>
      <c r="AK218" s="362" t="str">
        <f t="shared" si="93"/>
        <v/>
      </c>
      <c r="AL218" s="11"/>
      <c r="AM218" s="11"/>
      <c r="AN218" s="11"/>
    </row>
    <row r="219" spans="1:40" ht="14.25">
      <c r="A219" s="786" t="s">
        <v>208</v>
      </c>
      <c r="B219" s="27" t="s">
        <v>170</v>
      </c>
      <c r="C219" s="184" t="s">
        <v>122</v>
      </c>
      <c r="D219" s="413" t="s">
        <v>173</v>
      </c>
      <c r="E219" s="49"/>
      <c r="F219" s="49"/>
      <c r="G219" s="85">
        <f t="shared" si="84"/>
        <v>0</v>
      </c>
      <c r="H219" s="555" t="str">
        <f t="shared" si="94"/>
        <v>0:00</v>
      </c>
      <c r="I219" s="558">
        <f t="shared" si="85"/>
        <v>0</v>
      </c>
      <c r="J219" s="86">
        <f t="shared" si="86"/>
        <v>0</v>
      </c>
      <c r="K219" s="29">
        <f t="shared" si="87"/>
        <v>0</v>
      </c>
      <c r="L219" s="87" t="str">
        <f t="shared" si="88"/>
        <v/>
      </c>
      <c r="M219" s="88">
        <f t="shared" si="89"/>
        <v>0</v>
      </c>
      <c r="N219" s="89">
        <f>IF(M219=0,0,IF(SUM($M$5:M219)&gt;251,1,0))</f>
        <v>0</v>
      </c>
      <c r="O219" s="160"/>
      <c r="P219" s="161"/>
      <c r="Q219" s="90"/>
      <c r="R219" s="526"/>
      <c r="S219" s="527">
        <f t="shared" si="101"/>
        <v>0</v>
      </c>
      <c r="T219" s="528">
        <f t="shared" si="95"/>
        <v>0</v>
      </c>
      <c r="U219" s="529"/>
      <c r="V219" s="91">
        <f t="shared" si="102"/>
        <v>0</v>
      </c>
      <c r="W219" s="92">
        <f t="shared" si="96"/>
        <v>0</v>
      </c>
      <c r="X219" s="417"/>
      <c r="Y219" s="91">
        <f t="shared" si="103"/>
        <v>0</v>
      </c>
      <c r="Z219" s="92">
        <f t="shared" si="97"/>
        <v>0</v>
      </c>
      <c r="AA219" s="417"/>
      <c r="AB219" s="91">
        <f t="shared" si="104"/>
        <v>0</v>
      </c>
      <c r="AC219" s="92">
        <f t="shared" si="98"/>
        <v>0</v>
      </c>
      <c r="AD219" s="417"/>
      <c r="AE219" s="91">
        <f t="shared" si="105"/>
        <v>0</v>
      </c>
      <c r="AF219" s="92">
        <f t="shared" si="99"/>
        <v>0</v>
      </c>
      <c r="AG219" s="363" t="str">
        <f t="shared" si="100"/>
        <v/>
      </c>
      <c r="AH219" s="359" t="str">
        <f t="shared" si="90"/>
        <v/>
      </c>
      <c r="AI219" s="359" t="str">
        <f t="shared" si="91"/>
        <v/>
      </c>
      <c r="AJ219" s="359" t="str">
        <f t="shared" si="92"/>
        <v/>
      </c>
      <c r="AK219" s="360" t="str">
        <f t="shared" si="93"/>
        <v/>
      </c>
      <c r="AL219" s="11"/>
      <c r="AM219" s="11"/>
      <c r="AN219" s="11"/>
    </row>
    <row r="220" spans="1:40" ht="14.25">
      <c r="A220" s="787"/>
      <c r="B220" s="31" t="s">
        <v>172</v>
      </c>
      <c r="C220" s="184" t="s">
        <v>183</v>
      </c>
      <c r="D220" s="413" t="s">
        <v>173</v>
      </c>
      <c r="E220" s="49"/>
      <c r="F220" s="49"/>
      <c r="G220" s="93">
        <f t="shared" si="84"/>
        <v>0</v>
      </c>
      <c r="H220" s="555" t="str">
        <f t="shared" si="94"/>
        <v>0:00</v>
      </c>
      <c r="I220" s="556">
        <f t="shared" si="85"/>
        <v>0</v>
      </c>
      <c r="J220" s="94">
        <f t="shared" si="86"/>
        <v>0</v>
      </c>
      <c r="K220" s="32">
        <f t="shared" si="87"/>
        <v>0</v>
      </c>
      <c r="L220" s="95" t="str">
        <f t="shared" si="88"/>
        <v/>
      </c>
      <c r="M220" s="96">
        <f t="shared" si="89"/>
        <v>0</v>
      </c>
      <c r="N220" s="97">
        <f>IF(M220=0,0,IF(SUM($M$5:M220)&gt;251,1,0))</f>
        <v>0</v>
      </c>
      <c r="O220" s="162"/>
      <c r="P220" s="163"/>
      <c r="Q220" s="98"/>
      <c r="R220" s="415"/>
      <c r="S220" s="516">
        <f t="shared" si="101"/>
        <v>0</v>
      </c>
      <c r="T220" s="517">
        <f t="shared" si="95"/>
        <v>0</v>
      </c>
      <c r="U220" s="518"/>
      <c r="V220" s="99">
        <f t="shared" si="102"/>
        <v>0</v>
      </c>
      <c r="W220" s="100">
        <f t="shared" si="96"/>
        <v>0</v>
      </c>
      <c r="X220" s="418"/>
      <c r="Y220" s="99">
        <f t="shared" si="103"/>
        <v>0</v>
      </c>
      <c r="Z220" s="100">
        <f t="shared" si="97"/>
        <v>0</v>
      </c>
      <c r="AA220" s="418"/>
      <c r="AB220" s="99">
        <f t="shared" si="104"/>
        <v>0</v>
      </c>
      <c r="AC220" s="100">
        <f t="shared" si="98"/>
        <v>0</v>
      </c>
      <c r="AD220" s="418"/>
      <c r="AE220" s="99">
        <f t="shared" si="105"/>
        <v>0</v>
      </c>
      <c r="AF220" s="100">
        <f t="shared" si="99"/>
        <v>0</v>
      </c>
      <c r="AG220" s="351" t="str">
        <f t="shared" si="100"/>
        <v/>
      </c>
      <c r="AH220" s="272" t="str">
        <f t="shared" si="90"/>
        <v/>
      </c>
      <c r="AI220" s="358" t="str">
        <f t="shared" si="91"/>
        <v/>
      </c>
      <c r="AJ220" s="272" t="str">
        <f t="shared" si="92"/>
        <v/>
      </c>
      <c r="AK220" s="361" t="str">
        <f t="shared" si="93"/>
        <v/>
      </c>
      <c r="AL220" s="11"/>
      <c r="AM220" s="11"/>
      <c r="AN220" s="11"/>
    </row>
    <row r="221" spans="1:40" ht="14.25">
      <c r="A221" s="787"/>
      <c r="B221" s="31" t="s">
        <v>174</v>
      </c>
      <c r="C221" s="184" t="s">
        <v>118</v>
      </c>
      <c r="D221" s="413" t="s">
        <v>24</v>
      </c>
      <c r="E221" s="49">
        <v>0.59722222222222221</v>
      </c>
      <c r="F221" s="49">
        <v>0.7715277777777777</v>
      </c>
      <c r="G221" s="93">
        <f t="shared" si="84"/>
        <v>0.17430555555555549</v>
      </c>
      <c r="H221" s="555">
        <f t="shared" si="94"/>
        <v>6.9444444444433095E-4</v>
      </c>
      <c r="I221" s="556">
        <f t="shared" si="85"/>
        <v>1</v>
      </c>
      <c r="J221" s="94">
        <f t="shared" si="86"/>
        <v>0</v>
      </c>
      <c r="K221" s="32">
        <f t="shared" si="87"/>
        <v>0</v>
      </c>
      <c r="L221" s="95" t="str">
        <f t="shared" si="88"/>
        <v/>
      </c>
      <c r="M221" s="96">
        <f t="shared" si="89"/>
        <v>0</v>
      </c>
      <c r="N221" s="97">
        <f>IF(M221=0,0,IF(SUM($M$5:M221)&gt;251,1,0))</f>
        <v>0</v>
      </c>
      <c r="O221" s="162">
        <v>40</v>
      </c>
      <c r="P221" s="163">
        <v>1</v>
      </c>
      <c r="Q221" s="98"/>
      <c r="R221" s="415" t="s">
        <v>543</v>
      </c>
      <c r="S221" s="99" t="str">
        <f t="shared" si="101"/>
        <v>放課後児童支援員</v>
      </c>
      <c r="T221" s="100" t="str">
        <f t="shared" si="95"/>
        <v>対象</v>
      </c>
      <c r="U221" s="418" t="s">
        <v>539</v>
      </c>
      <c r="V221" s="99" t="str">
        <f t="shared" si="102"/>
        <v>放課後児童支援員</v>
      </c>
      <c r="W221" s="100" t="str">
        <f t="shared" si="96"/>
        <v>対象</v>
      </c>
      <c r="X221" s="418"/>
      <c r="Y221" s="99">
        <f t="shared" si="103"/>
        <v>0</v>
      </c>
      <c r="Z221" s="100">
        <f t="shared" si="97"/>
        <v>0</v>
      </c>
      <c r="AA221" s="418"/>
      <c r="AB221" s="99">
        <f t="shared" si="104"/>
        <v>0</v>
      </c>
      <c r="AC221" s="100">
        <f t="shared" si="98"/>
        <v>0</v>
      </c>
      <c r="AD221" s="418"/>
      <c r="AE221" s="99">
        <f t="shared" si="105"/>
        <v>0</v>
      </c>
      <c r="AF221" s="100">
        <f t="shared" si="99"/>
        <v>0</v>
      </c>
      <c r="AG221" s="351" t="str">
        <f t="shared" si="100"/>
        <v/>
      </c>
      <c r="AH221" s="272" t="str">
        <f t="shared" si="90"/>
        <v/>
      </c>
      <c r="AI221" s="358" t="str">
        <f t="shared" si="91"/>
        <v/>
      </c>
      <c r="AJ221" s="272" t="str">
        <f t="shared" si="92"/>
        <v/>
      </c>
      <c r="AK221" s="361" t="str">
        <f t="shared" si="93"/>
        <v/>
      </c>
      <c r="AL221" s="11"/>
      <c r="AM221" s="11"/>
      <c r="AN221" s="11"/>
    </row>
    <row r="222" spans="1:40" ht="14.25">
      <c r="A222" s="787"/>
      <c r="B222" s="31" t="s">
        <v>175</v>
      </c>
      <c r="C222" s="184" t="s">
        <v>123</v>
      </c>
      <c r="D222" s="413" t="s">
        <v>24</v>
      </c>
      <c r="E222" s="49">
        <v>0.59722222222222221</v>
      </c>
      <c r="F222" s="49">
        <v>0.79166666666666663</v>
      </c>
      <c r="G222" s="93">
        <f t="shared" si="84"/>
        <v>0.19444444444444442</v>
      </c>
      <c r="H222" s="555">
        <f t="shared" si="94"/>
        <v>2.0833333333333259E-2</v>
      </c>
      <c r="I222" s="556">
        <f t="shared" si="85"/>
        <v>1</v>
      </c>
      <c r="J222" s="94">
        <f t="shared" si="86"/>
        <v>0</v>
      </c>
      <c r="K222" s="32">
        <f t="shared" si="87"/>
        <v>0</v>
      </c>
      <c r="L222" s="95" t="str">
        <f t="shared" si="88"/>
        <v/>
      </c>
      <c r="M222" s="96">
        <f t="shared" si="89"/>
        <v>0</v>
      </c>
      <c r="N222" s="97">
        <f>IF(M222=0,0,IF(SUM($M$5:M222)&gt;251,1,0))</f>
        <v>0</v>
      </c>
      <c r="O222" s="162">
        <v>40</v>
      </c>
      <c r="P222" s="163">
        <v>1</v>
      </c>
      <c r="Q222" s="98"/>
      <c r="R222" s="415" t="s">
        <v>543</v>
      </c>
      <c r="S222" s="99" t="str">
        <f t="shared" si="101"/>
        <v>放課後児童支援員</v>
      </c>
      <c r="T222" s="100" t="str">
        <f t="shared" si="95"/>
        <v>対象</v>
      </c>
      <c r="U222" s="418" t="s">
        <v>539</v>
      </c>
      <c r="V222" s="99" t="str">
        <f t="shared" si="102"/>
        <v>放課後児童支援員</v>
      </c>
      <c r="W222" s="100" t="str">
        <f t="shared" si="96"/>
        <v>対象</v>
      </c>
      <c r="X222" s="418"/>
      <c r="Y222" s="99">
        <f t="shared" si="103"/>
        <v>0</v>
      </c>
      <c r="Z222" s="100">
        <f t="shared" si="97"/>
        <v>0</v>
      </c>
      <c r="AA222" s="418"/>
      <c r="AB222" s="99">
        <f t="shared" si="104"/>
        <v>0</v>
      </c>
      <c r="AC222" s="100">
        <f t="shared" si="98"/>
        <v>0</v>
      </c>
      <c r="AD222" s="418"/>
      <c r="AE222" s="99">
        <f t="shared" si="105"/>
        <v>0</v>
      </c>
      <c r="AF222" s="100">
        <f t="shared" si="99"/>
        <v>0</v>
      </c>
      <c r="AG222" s="351" t="str">
        <f t="shared" si="100"/>
        <v/>
      </c>
      <c r="AH222" s="272" t="str">
        <f t="shared" si="90"/>
        <v/>
      </c>
      <c r="AI222" s="358" t="str">
        <f t="shared" si="91"/>
        <v/>
      </c>
      <c r="AJ222" s="272" t="str">
        <f t="shared" si="92"/>
        <v/>
      </c>
      <c r="AK222" s="361" t="str">
        <f t="shared" si="93"/>
        <v/>
      </c>
      <c r="AL222" s="11"/>
      <c r="AM222" s="11"/>
      <c r="AN222" s="11"/>
    </row>
    <row r="223" spans="1:40" ht="14.25">
      <c r="A223" s="787"/>
      <c r="B223" s="31" t="s">
        <v>176</v>
      </c>
      <c r="C223" s="184" t="s">
        <v>119</v>
      </c>
      <c r="D223" s="413" t="s">
        <v>24</v>
      </c>
      <c r="E223" s="49">
        <v>0.59722222222222221</v>
      </c>
      <c r="F223" s="49">
        <v>0.79166666666666663</v>
      </c>
      <c r="G223" s="93">
        <f t="shared" si="84"/>
        <v>0.19444444444444442</v>
      </c>
      <c r="H223" s="555">
        <f t="shared" si="94"/>
        <v>2.0833333333333259E-2</v>
      </c>
      <c r="I223" s="556">
        <f t="shared" si="85"/>
        <v>1</v>
      </c>
      <c r="J223" s="94">
        <f t="shared" si="86"/>
        <v>0</v>
      </c>
      <c r="K223" s="32">
        <f t="shared" si="87"/>
        <v>0</v>
      </c>
      <c r="L223" s="95" t="str">
        <f t="shared" si="88"/>
        <v/>
      </c>
      <c r="M223" s="96">
        <f t="shared" si="89"/>
        <v>0</v>
      </c>
      <c r="N223" s="97">
        <f>IF(M223=0,0,IF(SUM($M$5:M223)&gt;251,1,0))</f>
        <v>0</v>
      </c>
      <c r="O223" s="162">
        <v>40</v>
      </c>
      <c r="P223" s="163">
        <v>1</v>
      </c>
      <c r="Q223" s="98"/>
      <c r="R223" s="415" t="s">
        <v>543</v>
      </c>
      <c r="S223" s="99" t="str">
        <f t="shared" si="101"/>
        <v>放課後児童支援員</v>
      </c>
      <c r="T223" s="100" t="str">
        <f t="shared" si="95"/>
        <v>対象</v>
      </c>
      <c r="U223" s="418" t="s">
        <v>539</v>
      </c>
      <c r="V223" s="99" t="str">
        <f t="shared" si="102"/>
        <v>放課後児童支援員</v>
      </c>
      <c r="W223" s="100" t="str">
        <f t="shared" si="96"/>
        <v>対象</v>
      </c>
      <c r="X223" s="418" t="s">
        <v>546</v>
      </c>
      <c r="Y223" s="99" t="str">
        <f t="shared" si="103"/>
        <v>放課後児童支援員</v>
      </c>
      <c r="Z223" s="100" t="str">
        <f t="shared" si="97"/>
        <v>対象</v>
      </c>
      <c r="AA223" s="418"/>
      <c r="AB223" s="99">
        <f t="shared" si="104"/>
        <v>0</v>
      </c>
      <c r="AC223" s="100">
        <f t="shared" si="98"/>
        <v>0</v>
      </c>
      <c r="AD223" s="418"/>
      <c r="AE223" s="99">
        <f t="shared" si="105"/>
        <v>0</v>
      </c>
      <c r="AF223" s="100">
        <f t="shared" si="99"/>
        <v>0</v>
      </c>
      <c r="AG223" s="351" t="str">
        <f t="shared" si="100"/>
        <v/>
      </c>
      <c r="AH223" s="272" t="str">
        <f t="shared" si="90"/>
        <v/>
      </c>
      <c r="AI223" s="358" t="str">
        <f t="shared" si="91"/>
        <v/>
      </c>
      <c r="AJ223" s="272" t="str">
        <f t="shared" si="92"/>
        <v/>
      </c>
      <c r="AK223" s="361" t="str">
        <f t="shared" si="93"/>
        <v/>
      </c>
      <c r="AL223" s="11"/>
      <c r="AM223" s="11"/>
      <c r="AN223" s="11"/>
    </row>
    <row r="224" spans="1:40" ht="14.25">
      <c r="A224" s="787"/>
      <c r="B224" s="31" t="s">
        <v>177</v>
      </c>
      <c r="C224" s="184" t="s">
        <v>120</v>
      </c>
      <c r="D224" s="413" t="s">
        <v>24</v>
      </c>
      <c r="E224" s="49">
        <v>0.54861111111111105</v>
      </c>
      <c r="F224" s="49">
        <v>0.79166666666666663</v>
      </c>
      <c r="G224" s="93">
        <f t="shared" si="84"/>
        <v>0.24305555555555558</v>
      </c>
      <c r="H224" s="555">
        <f t="shared" si="94"/>
        <v>2.0833333333333259E-2</v>
      </c>
      <c r="I224" s="556">
        <f t="shared" si="85"/>
        <v>1</v>
      </c>
      <c r="J224" s="94">
        <f t="shared" si="86"/>
        <v>0</v>
      </c>
      <c r="K224" s="32">
        <f t="shared" si="87"/>
        <v>0</v>
      </c>
      <c r="L224" s="95" t="str">
        <f t="shared" si="88"/>
        <v/>
      </c>
      <c r="M224" s="96">
        <f t="shared" si="89"/>
        <v>0</v>
      </c>
      <c r="N224" s="97">
        <f>IF(M224=0,0,IF(SUM($M$5:M224)&gt;251,1,0))</f>
        <v>0</v>
      </c>
      <c r="O224" s="162">
        <v>40</v>
      </c>
      <c r="P224" s="163">
        <v>1</v>
      </c>
      <c r="Q224" s="98"/>
      <c r="R224" s="415" t="s">
        <v>543</v>
      </c>
      <c r="S224" s="99" t="str">
        <f t="shared" si="101"/>
        <v>放課後児童支援員</v>
      </c>
      <c r="T224" s="100" t="str">
        <f t="shared" si="95"/>
        <v>対象</v>
      </c>
      <c r="U224" s="418" t="s">
        <v>539</v>
      </c>
      <c r="V224" s="99" t="str">
        <f t="shared" si="102"/>
        <v>放課後児童支援員</v>
      </c>
      <c r="W224" s="100" t="str">
        <f t="shared" si="96"/>
        <v>対象</v>
      </c>
      <c r="X224" s="418" t="s">
        <v>546</v>
      </c>
      <c r="Y224" s="99" t="str">
        <f t="shared" si="103"/>
        <v>放課後児童支援員</v>
      </c>
      <c r="Z224" s="100" t="str">
        <f t="shared" si="97"/>
        <v>対象</v>
      </c>
      <c r="AA224" s="418"/>
      <c r="AB224" s="99">
        <f t="shared" si="104"/>
        <v>0</v>
      </c>
      <c r="AC224" s="100">
        <f t="shared" si="98"/>
        <v>0</v>
      </c>
      <c r="AD224" s="418"/>
      <c r="AE224" s="99">
        <f t="shared" si="105"/>
        <v>0</v>
      </c>
      <c r="AF224" s="100">
        <f t="shared" si="99"/>
        <v>0</v>
      </c>
      <c r="AG224" s="351" t="str">
        <f t="shared" si="100"/>
        <v/>
      </c>
      <c r="AH224" s="272" t="str">
        <f t="shared" si="90"/>
        <v/>
      </c>
      <c r="AI224" s="358" t="str">
        <f t="shared" si="91"/>
        <v/>
      </c>
      <c r="AJ224" s="272" t="str">
        <f t="shared" si="92"/>
        <v/>
      </c>
      <c r="AK224" s="361" t="str">
        <f t="shared" si="93"/>
        <v/>
      </c>
      <c r="AL224" s="11"/>
      <c r="AM224" s="11"/>
      <c r="AN224" s="11"/>
    </row>
    <row r="225" spans="1:40" ht="14.25">
      <c r="A225" s="787"/>
      <c r="B225" s="31" t="s">
        <v>178</v>
      </c>
      <c r="C225" s="184" t="s">
        <v>121</v>
      </c>
      <c r="D225" s="413" t="s">
        <v>24</v>
      </c>
      <c r="E225" s="49">
        <v>0.59722222222222221</v>
      </c>
      <c r="F225" s="49">
        <v>0.80555555555555547</v>
      </c>
      <c r="G225" s="93">
        <f t="shared" si="84"/>
        <v>0.20833333333333326</v>
      </c>
      <c r="H225" s="555">
        <f t="shared" si="94"/>
        <v>3.4722222222222099E-2</v>
      </c>
      <c r="I225" s="556">
        <f t="shared" si="85"/>
        <v>1</v>
      </c>
      <c r="J225" s="94">
        <f t="shared" si="86"/>
        <v>0</v>
      </c>
      <c r="K225" s="32">
        <f t="shared" si="87"/>
        <v>0</v>
      </c>
      <c r="L225" s="95" t="str">
        <f t="shared" si="88"/>
        <v/>
      </c>
      <c r="M225" s="96">
        <f t="shared" si="89"/>
        <v>0</v>
      </c>
      <c r="N225" s="97">
        <f>IF(M225=0,0,IF(SUM($M$5:M225)&gt;251,1,0))</f>
        <v>0</v>
      </c>
      <c r="O225" s="162">
        <v>40</v>
      </c>
      <c r="P225" s="163">
        <v>1</v>
      </c>
      <c r="Q225" s="98"/>
      <c r="R225" s="415" t="s">
        <v>543</v>
      </c>
      <c r="S225" s="99" t="str">
        <f t="shared" si="101"/>
        <v>放課後児童支援員</v>
      </c>
      <c r="T225" s="100" t="str">
        <f t="shared" si="95"/>
        <v>対象</v>
      </c>
      <c r="U225" s="418" t="s">
        <v>539</v>
      </c>
      <c r="V225" s="99" t="str">
        <f t="shared" si="102"/>
        <v>放課後児童支援員</v>
      </c>
      <c r="W225" s="100" t="str">
        <f t="shared" si="96"/>
        <v>対象</v>
      </c>
      <c r="X225" s="418" t="s">
        <v>546</v>
      </c>
      <c r="Y225" s="99" t="str">
        <f t="shared" si="103"/>
        <v>放課後児童支援員</v>
      </c>
      <c r="Z225" s="100" t="str">
        <f t="shared" si="97"/>
        <v>対象</v>
      </c>
      <c r="AA225" s="418"/>
      <c r="AB225" s="99">
        <f t="shared" si="104"/>
        <v>0</v>
      </c>
      <c r="AC225" s="100">
        <f t="shared" si="98"/>
        <v>0</v>
      </c>
      <c r="AD225" s="418"/>
      <c r="AE225" s="99">
        <f t="shared" si="105"/>
        <v>0</v>
      </c>
      <c r="AF225" s="100">
        <f t="shared" si="99"/>
        <v>0</v>
      </c>
      <c r="AG225" s="351" t="str">
        <f t="shared" si="100"/>
        <v/>
      </c>
      <c r="AH225" s="272" t="str">
        <f t="shared" si="90"/>
        <v/>
      </c>
      <c r="AI225" s="358" t="str">
        <f t="shared" si="91"/>
        <v/>
      </c>
      <c r="AJ225" s="272" t="str">
        <f t="shared" si="92"/>
        <v/>
      </c>
      <c r="AK225" s="361" t="str">
        <f t="shared" si="93"/>
        <v/>
      </c>
      <c r="AL225" s="11"/>
      <c r="AM225" s="11"/>
      <c r="AN225" s="11"/>
    </row>
    <row r="226" spans="1:40" ht="14.25">
      <c r="A226" s="787"/>
      <c r="B226" s="31" t="s">
        <v>179</v>
      </c>
      <c r="C226" s="184" t="s">
        <v>122</v>
      </c>
      <c r="D226" s="413" t="s">
        <v>171</v>
      </c>
      <c r="E226" s="49">
        <v>0.33333333333333331</v>
      </c>
      <c r="F226" s="49">
        <v>0.6875</v>
      </c>
      <c r="G226" s="93">
        <f t="shared" si="84"/>
        <v>0.35416666666666669</v>
      </c>
      <c r="H226" s="555" t="str">
        <f t="shared" si="94"/>
        <v>0:00</v>
      </c>
      <c r="I226" s="556">
        <f t="shared" si="85"/>
        <v>0</v>
      </c>
      <c r="J226" s="94">
        <f t="shared" si="86"/>
        <v>2.083333333333337E-2</v>
      </c>
      <c r="K226" s="32">
        <f t="shared" si="87"/>
        <v>1</v>
      </c>
      <c r="L226" s="95" t="str">
        <f t="shared" si="88"/>
        <v/>
      </c>
      <c r="M226" s="96">
        <f t="shared" si="89"/>
        <v>1</v>
      </c>
      <c r="N226" s="97">
        <f>IF(M226=0,0,IF(SUM($M$5:M226)&gt;251,1,0))</f>
        <v>0</v>
      </c>
      <c r="O226" s="162">
        <v>5</v>
      </c>
      <c r="P226" s="163">
        <v>0</v>
      </c>
      <c r="Q226" s="98"/>
      <c r="R226" s="415" t="s">
        <v>543</v>
      </c>
      <c r="S226" s="99" t="str">
        <f t="shared" si="101"/>
        <v>放課後児童支援員</v>
      </c>
      <c r="T226" s="100" t="str">
        <f t="shared" si="95"/>
        <v>対象</v>
      </c>
      <c r="U226" s="418" t="s">
        <v>539</v>
      </c>
      <c r="V226" s="99" t="str">
        <f t="shared" si="102"/>
        <v>放課後児童支援員</v>
      </c>
      <c r="W226" s="100" t="str">
        <f t="shared" si="96"/>
        <v>対象</v>
      </c>
      <c r="X226" s="418" t="s">
        <v>546</v>
      </c>
      <c r="Y226" s="99" t="str">
        <f t="shared" si="103"/>
        <v>放課後児童支援員</v>
      </c>
      <c r="Z226" s="100" t="str">
        <f t="shared" si="97"/>
        <v>対象</v>
      </c>
      <c r="AA226" s="418"/>
      <c r="AB226" s="99">
        <f t="shared" si="104"/>
        <v>0</v>
      </c>
      <c r="AC226" s="100">
        <f t="shared" si="98"/>
        <v>0</v>
      </c>
      <c r="AD226" s="418"/>
      <c r="AE226" s="99">
        <f t="shared" si="105"/>
        <v>0</v>
      </c>
      <c r="AF226" s="100">
        <f t="shared" si="99"/>
        <v>0</v>
      </c>
      <c r="AG226" s="351" t="str">
        <f t="shared" si="100"/>
        <v/>
      </c>
      <c r="AH226" s="272" t="str">
        <f t="shared" si="90"/>
        <v/>
      </c>
      <c r="AI226" s="358" t="str">
        <f t="shared" si="91"/>
        <v/>
      </c>
      <c r="AJ226" s="272" t="str">
        <f t="shared" si="92"/>
        <v/>
      </c>
      <c r="AK226" s="361" t="str">
        <f t="shared" si="93"/>
        <v/>
      </c>
      <c r="AL226" s="11"/>
      <c r="AM226" s="11"/>
      <c r="AN226" s="11"/>
    </row>
    <row r="227" spans="1:40" ht="14.25">
      <c r="A227" s="787"/>
      <c r="B227" s="31" t="s">
        <v>180</v>
      </c>
      <c r="C227" s="184" t="s">
        <v>183</v>
      </c>
      <c r="D227" s="413" t="s">
        <v>173</v>
      </c>
      <c r="E227" s="49"/>
      <c r="F227" s="49"/>
      <c r="G227" s="93">
        <f t="shared" si="84"/>
        <v>0</v>
      </c>
      <c r="H227" s="555" t="str">
        <f t="shared" si="94"/>
        <v>0:00</v>
      </c>
      <c r="I227" s="556">
        <f t="shared" si="85"/>
        <v>0</v>
      </c>
      <c r="J227" s="94">
        <f t="shared" si="86"/>
        <v>0</v>
      </c>
      <c r="K227" s="32">
        <f t="shared" si="87"/>
        <v>0</v>
      </c>
      <c r="L227" s="95" t="str">
        <f t="shared" si="88"/>
        <v/>
      </c>
      <c r="M227" s="96">
        <f t="shared" si="89"/>
        <v>0</v>
      </c>
      <c r="N227" s="97">
        <f>IF(M227=0,0,IF(SUM($M$5:M227)&gt;251,1,0))</f>
        <v>0</v>
      </c>
      <c r="O227" s="162"/>
      <c r="P227" s="163"/>
      <c r="Q227" s="98"/>
      <c r="R227" s="415"/>
      <c r="S227" s="99">
        <f t="shared" si="101"/>
        <v>0</v>
      </c>
      <c r="T227" s="100">
        <f t="shared" si="95"/>
        <v>0</v>
      </c>
      <c r="U227" s="418"/>
      <c r="V227" s="99">
        <f t="shared" si="102"/>
        <v>0</v>
      </c>
      <c r="W227" s="100">
        <f t="shared" si="96"/>
        <v>0</v>
      </c>
      <c r="X227" s="418"/>
      <c r="Y227" s="99">
        <f t="shared" si="103"/>
        <v>0</v>
      </c>
      <c r="Z227" s="100">
        <f t="shared" si="97"/>
        <v>0</v>
      </c>
      <c r="AA227" s="418"/>
      <c r="AB227" s="99">
        <f t="shared" si="104"/>
        <v>0</v>
      </c>
      <c r="AC227" s="100">
        <f t="shared" si="98"/>
        <v>0</v>
      </c>
      <c r="AD227" s="418"/>
      <c r="AE227" s="99">
        <f t="shared" si="105"/>
        <v>0</v>
      </c>
      <c r="AF227" s="100">
        <f t="shared" si="99"/>
        <v>0</v>
      </c>
      <c r="AG227" s="351" t="str">
        <f t="shared" si="100"/>
        <v/>
      </c>
      <c r="AH227" s="272" t="str">
        <f t="shared" si="90"/>
        <v/>
      </c>
      <c r="AI227" s="358" t="str">
        <f t="shared" si="91"/>
        <v/>
      </c>
      <c r="AJ227" s="272" t="str">
        <f t="shared" si="92"/>
        <v/>
      </c>
      <c r="AK227" s="361" t="str">
        <f t="shared" si="93"/>
        <v/>
      </c>
      <c r="AL227" s="11"/>
      <c r="AM227" s="11"/>
      <c r="AN227" s="11"/>
    </row>
    <row r="228" spans="1:40" ht="14.25">
      <c r="A228" s="787"/>
      <c r="B228" s="31" t="s">
        <v>181</v>
      </c>
      <c r="C228" s="184" t="s">
        <v>118</v>
      </c>
      <c r="D228" s="413" t="s">
        <v>24</v>
      </c>
      <c r="E228" s="49">
        <v>0.59722222222222221</v>
      </c>
      <c r="F228" s="49">
        <v>0.7715277777777777</v>
      </c>
      <c r="G228" s="93">
        <f t="shared" si="84"/>
        <v>0.17430555555555549</v>
      </c>
      <c r="H228" s="555">
        <f t="shared" si="94"/>
        <v>6.9444444444433095E-4</v>
      </c>
      <c r="I228" s="556">
        <f t="shared" si="85"/>
        <v>1</v>
      </c>
      <c r="J228" s="94">
        <f t="shared" si="86"/>
        <v>0</v>
      </c>
      <c r="K228" s="32">
        <f t="shared" si="87"/>
        <v>0</v>
      </c>
      <c r="L228" s="95" t="str">
        <f t="shared" si="88"/>
        <v/>
      </c>
      <c r="M228" s="96">
        <f t="shared" si="89"/>
        <v>0</v>
      </c>
      <c r="N228" s="97">
        <f>IF(M228=0,0,IF(SUM($M$5:M228)&gt;251,1,0))</f>
        <v>0</v>
      </c>
      <c r="O228" s="162">
        <v>40</v>
      </c>
      <c r="P228" s="163">
        <v>1</v>
      </c>
      <c r="Q228" s="98"/>
      <c r="R228" s="415" t="s">
        <v>543</v>
      </c>
      <c r="S228" s="99" t="str">
        <f t="shared" si="101"/>
        <v>放課後児童支援員</v>
      </c>
      <c r="T228" s="100" t="str">
        <f t="shared" si="95"/>
        <v>対象</v>
      </c>
      <c r="U228" s="418" t="s">
        <v>539</v>
      </c>
      <c r="V228" s="99" t="str">
        <f t="shared" si="102"/>
        <v>放課後児童支援員</v>
      </c>
      <c r="W228" s="100" t="str">
        <f t="shared" si="96"/>
        <v>対象</v>
      </c>
      <c r="X228" s="418"/>
      <c r="Y228" s="99">
        <f t="shared" si="103"/>
        <v>0</v>
      </c>
      <c r="Z228" s="100">
        <f t="shared" si="97"/>
        <v>0</v>
      </c>
      <c r="AA228" s="418"/>
      <c r="AB228" s="99">
        <f t="shared" si="104"/>
        <v>0</v>
      </c>
      <c r="AC228" s="100">
        <f t="shared" si="98"/>
        <v>0</v>
      </c>
      <c r="AD228" s="418"/>
      <c r="AE228" s="99">
        <f t="shared" si="105"/>
        <v>0</v>
      </c>
      <c r="AF228" s="100">
        <f t="shared" si="99"/>
        <v>0</v>
      </c>
      <c r="AG228" s="351" t="str">
        <f t="shared" si="100"/>
        <v/>
      </c>
      <c r="AH228" s="272" t="str">
        <f t="shared" si="90"/>
        <v/>
      </c>
      <c r="AI228" s="358" t="str">
        <f t="shared" si="91"/>
        <v/>
      </c>
      <c r="AJ228" s="272" t="str">
        <f t="shared" si="92"/>
        <v/>
      </c>
      <c r="AK228" s="361" t="str">
        <f t="shared" si="93"/>
        <v/>
      </c>
      <c r="AL228" s="11"/>
      <c r="AM228" s="11"/>
      <c r="AN228" s="11"/>
    </row>
    <row r="229" spans="1:40" ht="14.25">
      <c r="A229" s="787"/>
      <c r="B229" s="31" t="s">
        <v>182</v>
      </c>
      <c r="C229" s="184" t="s">
        <v>123</v>
      </c>
      <c r="D229" s="413" t="s">
        <v>24</v>
      </c>
      <c r="E229" s="49">
        <v>0.59722222222222221</v>
      </c>
      <c r="F229" s="49">
        <v>0.79166666666666663</v>
      </c>
      <c r="G229" s="93">
        <f t="shared" si="84"/>
        <v>0.19444444444444442</v>
      </c>
      <c r="H229" s="555">
        <f t="shared" si="94"/>
        <v>2.0833333333333259E-2</v>
      </c>
      <c r="I229" s="556">
        <f t="shared" si="85"/>
        <v>1</v>
      </c>
      <c r="J229" s="94">
        <f t="shared" si="86"/>
        <v>0</v>
      </c>
      <c r="K229" s="32">
        <f t="shared" si="87"/>
        <v>0</v>
      </c>
      <c r="L229" s="95" t="str">
        <f t="shared" si="88"/>
        <v/>
      </c>
      <c r="M229" s="96">
        <f t="shared" si="89"/>
        <v>0</v>
      </c>
      <c r="N229" s="97">
        <f>IF(M229=0,0,IF(SUM($M$5:M229)&gt;251,1,0))</f>
        <v>0</v>
      </c>
      <c r="O229" s="162">
        <v>40</v>
      </c>
      <c r="P229" s="163">
        <v>1</v>
      </c>
      <c r="Q229" s="98"/>
      <c r="R229" s="415" t="s">
        <v>543</v>
      </c>
      <c r="S229" s="99" t="str">
        <f t="shared" si="101"/>
        <v>放課後児童支援員</v>
      </c>
      <c r="T229" s="100" t="str">
        <f t="shared" si="95"/>
        <v>対象</v>
      </c>
      <c r="U229" s="418" t="s">
        <v>539</v>
      </c>
      <c r="V229" s="99" t="str">
        <f t="shared" si="102"/>
        <v>放課後児童支援員</v>
      </c>
      <c r="W229" s="100" t="str">
        <f t="shared" si="96"/>
        <v>対象</v>
      </c>
      <c r="X229" s="418" t="s">
        <v>546</v>
      </c>
      <c r="Y229" s="99" t="str">
        <f t="shared" si="103"/>
        <v>放課後児童支援員</v>
      </c>
      <c r="Z229" s="100" t="str">
        <f t="shared" si="97"/>
        <v>対象</v>
      </c>
      <c r="AA229" s="418"/>
      <c r="AB229" s="99">
        <f t="shared" si="104"/>
        <v>0</v>
      </c>
      <c r="AC229" s="100">
        <f t="shared" si="98"/>
        <v>0</v>
      </c>
      <c r="AD229" s="418"/>
      <c r="AE229" s="99">
        <f t="shared" si="105"/>
        <v>0</v>
      </c>
      <c r="AF229" s="100">
        <f t="shared" si="99"/>
        <v>0</v>
      </c>
      <c r="AG229" s="351" t="str">
        <f t="shared" si="100"/>
        <v/>
      </c>
      <c r="AH229" s="272" t="str">
        <f t="shared" si="90"/>
        <v/>
      </c>
      <c r="AI229" s="358" t="str">
        <f t="shared" si="91"/>
        <v/>
      </c>
      <c r="AJ229" s="272" t="str">
        <f t="shared" si="92"/>
        <v/>
      </c>
      <c r="AK229" s="361" t="str">
        <f t="shared" si="93"/>
        <v/>
      </c>
      <c r="AL229" s="11"/>
      <c r="AM229" s="11"/>
      <c r="AN229" s="11"/>
    </row>
    <row r="230" spans="1:40" ht="14.25">
      <c r="A230" s="787"/>
      <c r="B230" s="31" t="s">
        <v>184</v>
      </c>
      <c r="C230" s="184" t="s">
        <v>119</v>
      </c>
      <c r="D230" s="413" t="s">
        <v>24</v>
      </c>
      <c r="E230" s="49">
        <v>0.59722222222222221</v>
      </c>
      <c r="F230" s="49">
        <v>0.79166666666666663</v>
      </c>
      <c r="G230" s="93">
        <f t="shared" si="84"/>
        <v>0.19444444444444442</v>
      </c>
      <c r="H230" s="555">
        <f t="shared" si="94"/>
        <v>2.0833333333333259E-2</v>
      </c>
      <c r="I230" s="556">
        <f t="shared" si="85"/>
        <v>1</v>
      </c>
      <c r="J230" s="94">
        <f t="shared" si="86"/>
        <v>0</v>
      </c>
      <c r="K230" s="32">
        <f t="shared" si="87"/>
        <v>0</v>
      </c>
      <c r="L230" s="95" t="str">
        <f t="shared" si="88"/>
        <v/>
      </c>
      <c r="M230" s="96">
        <f t="shared" si="89"/>
        <v>0</v>
      </c>
      <c r="N230" s="97">
        <f>IF(M230=0,0,IF(SUM($M$5:M230)&gt;251,1,0))</f>
        <v>0</v>
      </c>
      <c r="O230" s="162">
        <v>40</v>
      </c>
      <c r="P230" s="163">
        <v>1</v>
      </c>
      <c r="Q230" s="98"/>
      <c r="R230" s="415" t="s">
        <v>543</v>
      </c>
      <c r="S230" s="99" t="str">
        <f t="shared" si="101"/>
        <v>放課後児童支援員</v>
      </c>
      <c r="T230" s="100" t="str">
        <f t="shared" si="95"/>
        <v>対象</v>
      </c>
      <c r="U230" s="418" t="s">
        <v>539</v>
      </c>
      <c r="V230" s="99" t="str">
        <f t="shared" si="102"/>
        <v>放課後児童支援員</v>
      </c>
      <c r="W230" s="100" t="str">
        <f t="shared" si="96"/>
        <v>対象</v>
      </c>
      <c r="X230" s="418" t="s">
        <v>546</v>
      </c>
      <c r="Y230" s="99" t="str">
        <f t="shared" si="103"/>
        <v>放課後児童支援員</v>
      </c>
      <c r="Z230" s="100" t="str">
        <f t="shared" si="97"/>
        <v>対象</v>
      </c>
      <c r="AA230" s="418"/>
      <c r="AB230" s="99">
        <f t="shared" si="104"/>
        <v>0</v>
      </c>
      <c r="AC230" s="100">
        <f t="shared" si="98"/>
        <v>0</v>
      </c>
      <c r="AD230" s="418"/>
      <c r="AE230" s="99">
        <f t="shared" si="105"/>
        <v>0</v>
      </c>
      <c r="AF230" s="100">
        <f t="shared" si="99"/>
        <v>0</v>
      </c>
      <c r="AG230" s="351" t="str">
        <f t="shared" si="100"/>
        <v/>
      </c>
      <c r="AH230" s="272" t="str">
        <f t="shared" si="90"/>
        <v/>
      </c>
      <c r="AI230" s="358" t="str">
        <f t="shared" si="91"/>
        <v/>
      </c>
      <c r="AJ230" s="272" t="str">
        <f t="shared" si="92"/>
        <v/>
      </c>
      <c r="AK230" s="361" t="str">
        <f t="shared" si="93"/>
        <v/>
      </c>
      <c r="AL230" s="11"/>
      <c r="AM230" s="11"/>
      <c r="AN230" s="11"/>
    </row>
    <row r="231" spans="1:40" ht="14.25">
      <c r="A231" s="787"/>
      <c r="B231" s="31" t="s">
        <v>185</v>
      </c>
      <c r="C231" s="184" t="s">
        <v>120</v>
      </c>
      <c r="D231" s="413" t="s">
        <v>24</v>
      </c>
      <c r="E231" s="49">
        <v>0.54861111111111105</v>
      </c>
      <c r="F231" s="49">
        <v>0.79166666666666663</v>
      </c>
      <c r="G231" s="93">
        <f t="shared" si="84"/>
        <v>0.24305555555555558</v>
      </c>
      <c r="H231" s="555">
        <f t="shared" si="94"/>
        <v>2.0833333333333259E-2</v>
      </c>
      <c r="I231" s="556">
        <f t="shared" si="85"/>
        <v>1</v>
      </c>
      <c r="J231" s="94">
        <f t="shared" si="86"/>
        <v>0</v>
      </c>
      <c r="K231" s="32">
        <f t="shared" si="87"/>
        <v>0</v>
      </c>
      <c r="L231" s="95" t="str">
        <f t="shared" si="88"/>
        <v/>
      </c>
      <c r="M231" s="96">
        <f t="shared" si="89"/>
        <v>0</v>
      </c>
      <c r="N231" s="97">
        <f>IF(M231=0,0,IF(SUM($M$5:M231)&gt;251,1,0))</f>
        <v>0</v>
      </c>
      <c r="O231" s="162">
        <v>40</v>
      </c>
      <c r="P231" s="163">
        <v>1</v>
      </c>
      <c r="Q231" s="98"/>
      <c r="R231" s="415" t="s">
        <v>543</v>
      </c>
      <c r="S231" s="99" t="str">
        <f t="shared" si="101"/>
        <v>放課後児童支援員</v>
      </c>
      <c r="T231" s="100" t="str">
        <f t="shared" si="95"/>
        <v>対象</v>
      </c>
      <c r="U231" s="418" t="s">
        <v>539</v>
      </c>
      <c r="V231" s="99" t="str">
        <f t="shared" si="102"/>
        <v>放課後児童支援員</v>
      </c>
      <c r="W231" s="100" t="str">
        <f t="shared" si="96"/>
        <v>対象</v>
      </c>
      <c r="X231" s="418" t="s">
        <v>546</v>
      </c>
      <c r="Y231" s="99" t="str">
        <f t="shared" si="103"/>
        <v>放課後児童支援員</v>
      </c>
      <c r="Z231" s="100" t="str">
        <f t="shared" si="97"/>
        <v>対象</v>
      </c>
      <c r="AA231" s="418"/>
      <c r="AB231" s="99">
        <f t="shared" si="104"/>
        <v>0</v>
      </c>
      <c r="AC231" s="100">
        <f t="shared" si="98"/>
        <v>0</v>
      </c>
      <c r="AD231" s="418"/>
      <c r="AE231" s="99">
        <f t="shared" si="105"/>
        <v>0</v>
      </c>
      <c r="AF231" s="100">
        <f t="shared" si="99"/>
        <v>0</v>
      </c>
      <c r="AG231" s="351" t="str">
        <f t="shared" si="100"/>
        <v/>
      </c>
      <c r="AH231" s="272" t="str">
        <f t="shared" si="90"/>
        <v/>
      </c>
      <c r="AI231" s="358" t="str">
        <f t="shared" si="91"/>
        <v/>
      </c>
      <c r="AJ231" s="272" t="str">
        <f t="shared" si="92"/>
        <v/>
      </c>
      <c r="AK231" s="361" t="str">
        <f t="shared" si="93"/>
        <v/>
      </c>
      <c r="AL231" s="11"/>
      <c r="AM231" s="11"/>
      <c r="AN231" s="11"/>
    </row>
    <row r="232" spans="1:40" ht="14.25">
      <c r="A232" s="787"/>
      <c r="B232" s="31" t="s">
        <v>186</v>
      </c>
      <c r="C232" s="184" t="s">
        <v>121</v>
      </c>
      <c r="D232" s="413" t="s">
        <v>24</v>
      </c>
      <c r="E232" s="49">
        <v>0.59722222222222221</v>
      </c>
      <c r="F232" s="49">
        <v>0.80555555555555547</v>
      </c>
      <c r="G232" s="93">
        <f t="shared" si="84"/>
        <v>0.20833333333333326</v>
      </c>
      <c r="H232" s="555">
        <f t="shared" si="94"/>
        <v>3.4722222222222099E-2</v>
      </c>
      <c r="I232" s="556">
        <f t="shared" si="85"/>
        <v>1</v>
      </c>
      <c r="J232" s="94">
        <f t="shared" si="86"/>
        <v>0</v>
      </c>
      <c r="K232" s="32">
        <f t="shared" si="87"/>
        <v>0</v>
      </c>
      <c r="L232" s="95" t="str">
        <f t="shared" si="88"/>
        <v/>
      </c>
      <c r="M232" s="96">
        <f t="shared" si="89"/>
        <v>0</v>
      </c>
      <c r="N232" s="97">
        <f>IF(M232=0,0,IF(SUM($M$5:M232)&gt;251,1,0))</f>
        <v>0</v>
      </c>
      <c r="O232" s="162">
        <v>40</v>
      </c>
      <c r="P232" s="163">
        <v>1</v>
      </c>
      <c r="Q232" s="98"/>
      <c r="R232" s="415" t="s">
        <v>543</v>
      </c>
      <c r="S232" s="99" t="str">
        <f t="shared" si="101"/>
        <v>放課後児童支援員</v>
      </c>
      <c r="T232" s="100" t="str">
        <f t="shared" si="95"/>
        <v>対象</v>
      </c>
      <c r="U232" s="418" t="s">
        <v>539</v>
      </c>
      <c r="V232" s="99" t="str">
        <f t="shared" si="102"/>
        <v>放課後児童支援員</v>
      </c>
      <c r="W232" s="100" t="str">
        <f t="shared" si="96"/>
        <v>対象</v>
      </c>
      <c r="X232" s="418" t="s">
        <v>546</v>
      </c>
      <c r="Y232" s="99" t="str">
        <f t="shared" si="103"/>
        <v>放課後児童支援員</v>
      </c>
      <c r="Z232" s="100" t="str">
        <f t="shared" si="97"/>
        <v>対象</v>
      </c>
      <c r="AA232" s="418"/>
      <c r="AB232" s="99">
        <f t="shared" si="104"/>
        <v>0</v>
      </c>
      <c r="AC232" s="100">
        <f t="shared" si="98"/>
        <v>0</v>
      </c>
      <c r="AD232" s="418"/>
      <c r="AE232" s="99">
        <f t="shared" si="105"/>
        <v>0</v>
      </c>
      <c r="AF232" s="100">
        <f t="shared" si="99"/>
        <v>0</v>
      </c>
      <c r="AG232" s="351" t="str">
        <f t="shared" si="100"/>
        <v/>
      </c>
      <c r="AH232" s="272" t="str">
        <f t="shared" si="90"/>
        <v/>
      </c>
      <c r="AI232" s="358" t="str">
        <f t="shared" si="91"/>
        <v/>
      </c>
      <c r="AJ232" s="272" t="str">
        <f t="shared" si="92"/>
        <v/>
      </c>
      <c r="AK232" s="361" t="str">
        <f t="shared" si="93"/>
        <v/>
      </c>
      <c r="AL232" s="11"/>
      <c r="AM232" s="11"/>
      <c r="AN232" s="11"/>
    </row>
    <row r="233" spans="1:40" ht="14.25">
      <c r="A233" s="787"/>
      <c r="B233" s="31" t="s">
        <v>187</v>
      </c>
      <c r="C233" s="184" t="s">
        <v>122</v>
      </c>
      <c r="D233" s="413" t="s">
        <v>171</v>
      </c>
      <c r="E233" s="49">
        <v>0.33333333333333331</v>
      </c>
      <c r="F233" s="49">
        <v>0.6875</v>
      </c>
      <c r="G233" s="93">
        <f t="shared" si="84"/>
        <v>0.35416666666666669</v>
      </c>
      <c r="H233" s="555" t="str">
        <f t="shared" si="94"/>
        <v>0:00</v>
      </c>
      <c r="I233" s="556">
        <f t="shared" si="85"/>
        <v>0</v>
      </c>
      <c r="J233" s="94">
        <f t="shared" si="86"/>
        <v>2.083333333333337E-2</v>
      </c>
      <c r="K233" s="32">
        <f t="shared" si="87"/>
        <v>1</v>
      </c>
      <c r="L233" s="95" t="str">
        <f t="shared" si="88"/>
        <v/>
      </c>
      <c r="M233" s="96">
        <f t="shared" si="89"/>
        <v>1</v>
      </c>
      <c r="N233" s="97">
        <f>IF(M233=0,0,IF(SUM($M$5:M233)&gt;251,1,0))</f>
        <v>0</v>
      </c>
      <c r="O233" s="162">
        <v>5</v>
      </c>
      <c r="P233" s="163">
        <v>0</v>
      </c>
      <c r="Q233" s="98"/>
      <c r="R233" s="415" t="s">
        <v>543</v>
      </c>
      <c r="S233" s="99" t="str">
        <f t="shared" si="101"/>
        <v>放課後児童支援員</v>
      </c>
      <c r="T233" s="100" t="str">
        <f t="shared" si="95"/>
        <v>対象</v>
      </c>
      <c r="U233" s="418" t="s">
        <v>539</v>
      </c>
      <c r="V233" s="99" t="str">
        <f t="shared" si="102"/>
        <v>放課後児童支援員</v>
      </c>
      <c r="W233" s="100" t="str">
        <f t="shared" si="96"/>
        <v>対象</v>
      </c>
      <c r="X233" s="418" t="s">
        <v>546</v>
      </c>
      <c r="Y233" s="99" t="str">
        <f t="shared" si="103"/>
        <v>放課後児童支援員</v>
      </c>
      <c r="Z233" s="100" t="str">
        <f t="shared" si="97"/>
        <v>対象</v>
      </c>
      <c r="AA233" s="418"/>
      <c r="AB233" s="99">
        <f t="shared" si="104"/>
        <v>0</v>
      </c>
      <c r="AC233" s="100">
        <f t="shared" si="98"/>
        <v>0</v>
      </c>
      <c r="AD233" s="418"/>
      <c r="AE233" s="99">
        <f t="shared" si="105"/>
        <v>0</v>
      </c>
      <c r="AF233" s="100">
        <f t="shared" si="99"/>
        <v>0</v>
      </c>
      <c r="AG233" s="351" t="str">
        <f t="shared" si="100"/>
        <v/>
      </c>
      <c r="AH233" s="272" t="str">
        <f t="shared" si="90"/>
        <v/>
      </c>
      <c r="AI233" s="358" t="str">
        <f t="shared" si="91"/>
        <v/>
      </c>
      <c r="AJ233" s="272" t="str">
        <f t="shared" si="92"/>
        <v/>
      </c>
      <c r="AK233" s="361" t="str">
        <f t="shared" si="93"/>
        <v/>
      </c>
      <c r="AL233" s="11"/>
      <c r="AM233" s="11"/>
      <c r="AN233" s="11"/>
    </row>
    <row r="234" spans="1:40" ht="14.25">
      <c r="A234" s="787"/>
      <c r="B234" s="31" t="s">
        <v>188</v>
      </c>
      <c r="C234" s="184" t="s">
        <v>183</v>
      </c>
      <c r="D234" s="413" t="s">
        <v>173</v>
      </c>
      <c r="E234" s="49"/>
      <c r="F234" s="49"/>
      <c r="G234" s="93">
        <f t="shared" si="84"/>
        <v>0</v>
      </c>
      <c r="H234" s="555" t="str">
        <f t="shared" si="94"/>
        <v>0:00</v>
      </c>
      <c r="I234" s="556">
        <f t="shared" si="85"/>
        <v>0</v>
      </c>
      <c r="J234" s="94">
        <f t="shared" si="86"/>
        <v>0</v>
      </c>
      <c r="K234" s="32">
        <f t="shared" si="87"/>
        <v>0</v>
      </c>
      <c r="L234" s="95" t="str">
        <f t="shared" si="88"/>
        <v/>
      </c>
      <c r="M234" s="96">
        <f t="shared" si="89"/>
        <v>0</v>
      </c>
      <c r="N234" s="97">
        <f>IF(M234=0,0,IF(SUM($M$5:M234)&gt;251,1,0))</f>
        <v>0</v>
      </c>
      <c r="O234" s="162"/>
      <c r="P234" s="163"/>
      <c r="Q234" s="98"/>
      <c r="R234" s="415"/>
      <c r="S234" s="99">
        <f t="shared" si="101"/>
        <v>0</v>
      </c>
      <c r="T234" s="100">
        <f t="shared" si="95"/>
        <v>0</v>
      </c>
      <c r="U234" s="418"/>
      <c r="V234" s="99">
        <f t="shared" si="102"/>
        <v>0</v>
      </c>
      <c r="W234" s="100">
        <f t="shared" si="96"/>
        <v>0</v>
      </c>
      <c r="X234" s="418"/>
      <c r="Y234" s="99">
        <f t="shared" si="103"/>
        <v>0</v>
      </c>
      <c r="Z234" s="100">
        <f t="shared" si="97"/>
        <v>0</v>
      </c>
      <c r="AA234" s="418"/>
      <c r="AB234" s="99">
        <f t="shared" si="104"/>
        <v>0</v>
      </c>
      <c r="AC234" s="100">
        <f t="shared" si="98"/>
        <v>0</v>
      </c>
      <c r="AD234" s="418"/>
      <c r="AE234" s="99">
        <f t="shared" si="105"/>
        <v>0</v>
      </c>
      <c r="AF234" s="100">
        <f t="shared" si="99"/>
        <v>0</v>
      </c>
      <c r="AG234" s="351" t="str">
        <f t="shared" si="100"/>
        <v/>
      </c>
      <c r="AH234" s="272" t="str">
        <f t="shared" si="90"/>
        <v/>
      </c>
      <c r="AI234" s="358" t="str">
        <f t="shared" si="91"/>
        <v/>
      </c>
      <c r="AJ234" s="272" t="str">
        <f t="shared" si="92"/>
        <v/>
      </c>
      <c r="AK234" s="361" t="str">
        <f t="shared" si="93"/>
        <v/>
      </c>
      <c r="AL234" s="11"/>
      <c r="AM234" s="11"/>
      <c r="AN234" s="11"/>
    </row>
    <row r="235" spans="1:40" ht="14.25">
      <c r="A235" s="787"/>
      <c r="B235" s="31" t="s">
        <v>189</v>
      </c>
      <c r="C235" s="184" t="s">
        <v>118</v>
      </c>
      <c r="D235" s="413" t="s">
        <v>24</v>
      </c>
      <c r="E235" s="49">
        <v>0.59722222222222221</v>
      </c>
      <c r="F235" s="49">
        <v>0.7715277777777777</v>
      </c>
      <c r="G235" s="93">
        <f t="shared" si="84"/>
        <v>0.17430555555555549</v>
      </c>
      <c r="H235" s="555">
        <f t="shared" si="94"/>
        <v>6.9444444444433095E-4</v>
      </c>
      <c r="I235" s="556">
        <f t="shared" si="85"/>
        <v>1</v>
      </c>
      <c r="J235" s="94">
        <f t="shared" si="86"/>
        <v>0</v>
      </c>
      <c r="K235" s="32">
        <f t="shared" si="87"/>
        <v>0</v>
      </c>
      <c r="L235" s="95" t="str">
        <f t="shared" si="88"/>
        <v/>
      </c>
      <c r="M235" s="96">
        <f t="shared" si="89"/>
        <v>0</v>
      </c>
      <c r="N235" s="97">
        <f>IF(M235=0,0,IF(SUM($M$5:M235)&gt;251,1,0))</f>
        <v>0</v>
      </c>
      <c r="O235" s="162">
        <v>40</v>
      </c>
      <c r="P235" s="163">
        <v>1</v>
      </c>
      <c r="Q235" s="98"/>
      <c r="R235" s="415" t="s">
        <v>543</v>
      </c>
      <c r="S235" s="99" t="str">
        <f t="shared" si="101"/>
        <v>放課後児童支援員</v>
      </c>
      <c r="T235" s="100" t="str">
        <f t="shared" si="95"/>
        <v>対象</v>
      </c>
      <c r="U235" s="418" t="s">
        <v>539</v>
      </c>
      <c r="V235" s="99" t="str">
        <f t="shared" si="102"/>
        <v>放課後児童支援員</v>
      </c>
      <c r="W235" s="100" t="str">
        <f t="shared" si="96"/>
        <v>対象</v>
      </c>
      <c r="X235" s="418"/>
      <c r="Y235" s="99">
        <f t="shared" si="103"/>
        <v>0</v>
      </c>
      <c r="Z235" s="100">
        <f t="shared" si="97"/>
        <v>0</v>
      </c>
      <c r="AA235" s="418"/>
      <c r="AB235" s="99">
        <f t="shared" si="104"/>
        <v>0</v>
      </c>
      <c r="AC235" s="100">
        <f t="shared" si="98"/>
        <v>0</v>
      </c>
      <c r="AD235" s="418"/>
      <c r="AE235" s="99">
        <f t="shared" si="105"/>
        <v>0</v>
      </c>
      <c r="AF235" s="100">
        <f t="shared" si="99"/>
        <v>0</v>
      </c>
      <c r="AG235" s="351" t="str">
        <f t="shared" si="100"/>
        <v/>
      </c>
      <c r="AH235" s="272" t="str">
        <f t="shared" si="90"/>
        <v/>
      </c>
      <c r="AI235" s="358" t="str">
        <f t="shared" si="91"/>
        <v/>
      </c>
      <c r="AJ235" s="272" t="str">
        <f t="shared" si="92"/>
        <v/>
      </c>
      <c r="AK235" s="361" t="str">
        <f t="shared" si="93"/>
        <v/>
      </c>
      <c r="AL235" s="11"/>
      <c r="AM235" s="11"/>
      <c r="AN235" s="11"/>
    </row>
    <row r="236" spans="1:40" ht="14.25">
      <c r="A236" s="787"/>
      <c r="B236" s="31" t="s">
        <v>190</v>
      </c>
      <c r="C236" s="184" t="s">
        <v>123</v>
      </c>
      <c r="D236" s="413" t="s">
        <v>24</v>
      </c>
      <c r="E236" s="49">
        <v>0.59722222222222221</v>
      </c>
      <c r="F236" s="49">
        <v>0.79166666666666663</v>
      </c>
      <c r="G236" s="93">
        <f t="shared" si="84"/>
        <v>0.19444444444444442</v>
      </c>
      <c r="H236" s="555">
        <f t="shared" si="94"/>
        <v>2.0833333333333259E-2</v>
      </c>
      <c r="I236" s="556">
        <f t="shared" si="85"/>
        <v>1</v>
      </c>
      <c r="J236" s="94">
        <f t="shared" si="86"/>
        <v>0</v>
      </c>
      <c r="K236" s="32">
        <f t="shared" si="87"/>
        <v>0</v>
      </c>
      <c r="L236" s="95" t="str">
        <f t="shared" si="88"/>
        <v/>
      </c>
      <c r="M236" s="96">
        <f t="shared" si="89"/>
        <v>0</v>
      </c>
      <c r="N236" s="97">
        <f>IF(M236=0,0,IF(SUM($M$5:M236)&gt;251,1,0))</f>
        <v>0</v>
      </c>
      <c r="O236" s="162">
        <v>40</v>
      </c>
      <c r="P236" s="163">
        <v>1</v>
      </c>
      <c r="Q236" s="98"/>
      <c r="R236" s="415" t="s">
        <v>543</v>
      </c>
      <c r="S236" s="99" t="str">
        <f t="shared" si="101"/>
        <v>放課後児童支援員</v>
      </c>
      <c r="T236" s="100" t="str">
        <f t="shared" si="95"/>
        <v>対象</v>
      </c>
      <c r="U236" s="418" t="s">
        <v>539</v>
      </c>
      <c r="V236" s="99" t="str">
        <f t="shared" si="102"/>
        <v>放課後児童支援員</v>
      </c>
      <c r="W236" s="100" t="str">
        <f t="shared" si="96"/>
        <v>対象</v>
      </c>
      <c r="X236" s="418" t="s">
        <v>546</v>
      </c>
      <c r="Y236" s="99" t="str">
        <f t="shared" si="103"/>
        <v>放課後児童支援員</v>
      </c>
      <c r="Z236" s="100" t="str">
        <f t="shared" si="97"/>
        <v>対象</v>
      </c>
      <c r="AA236" s="418"/>
      <c r="AB236" s="99">
        <f t="shared" si="104"/>
        <v>0</v>
      </c>
      <c r="AC236" s="100">
        <f t="shared" si="98"/>
        <v>0</v>
      </c>
      <c r="AD236" s="418"/>
      <c r="AE236" s="99">
        <f t="shared" si="105"/>
        <v>0</v>
      </c>
      <c r="AF236" s="100">
        <f t="shared" si="99"/>
        <v>0</v>
      </c>
      <c r="AG236" s="351" t="str">
        <f t="shared" si="100"/>
        <v/>
      </c>
      <c r="AH236" s="272" t="str">
        <f t="shared" si="90"/>
        <v/>
      </c>
      <c r="AI236" s="358" t="str">
        <f t="shared" si="91"/>
        <v/>
      </c>
      <c r="AJ236" s="272" t="str">
        <f t="shared" si="92"/>
        <v/>
      </c>
      <c r="AK236" s="361" t="str">
        <f t="shared" si="93"/>
        <v/>
      </c>
      <c r="AL236" s="11"/>
      <c r="AM236" s="11"/>
      <c r="AN236" s="11"/>
    </row>
    <row r="237" spans="1:40" ht="14.25">
      <c r="A237" s="787"/>
      <c r="B237" s="31" t="s">
        <v>191</v>
      </c>
      <c r="C237" s="184" t="s">
        <v>119</v>
      </c>
      <c r="D237" s="413" t="s">
        <v>24</v>
      </c>
      <c r="E237" s="49">
        <v>0.59722222222222221</v>
      </c>
      <c r="F237" s="49">
        <v>0.79166666666666663</v>
      </c>
      <c r="G237" s="93">
        <f t="shared" si="84"/>
        <v>0.19444444444444442</v>
      </c>
      <c r="H237" s="555">
        <f t="shared" si="94"/>
        <v>2.0833333333333259E-2</v>
      </c>
      <c r="I237" s="556">
        <f t="shared" si="85"/>
        <v>1</v>
      </c>
      <c r="J237" s="94">
        <f t="shared" si="86"/>
        <v>0</v>
      </c>
      <c r="K237" s="32">
        <f t="shared" si="87"/>
        <v>0</v>
      </c>
      <c r="L237" s="95" t="str">
        <f t="shared" si="88"/>
        <v/>
      </c>
      <c r="M237" s="96">
        <f t="shared" si="89"/>
        <v>0</v>
      </c>
      <c r="N237" s="97">
        <f>IF(M237=0,0,IF(SUM($M$5:M237)&gt;251,1,0))</f>
        <v>0</v>
      </c>
      <c r="O237" s="162">
        <v>40</v>
      </c>
      <c r="P237" s="163">
        <v>1</v>
      </c>
      <c r="Q237" s="98"/>
      <c r="R237" s="415" t="s">
        <v>543</v>
      </c>
      <c r="S237" s="99" t="str">
        <f t="shared" si="101"/>
        <v>放課後児童支援員</v>
      </c>
      <c r="T237" s="100" t="str">
        <f t="shared" si="95"/>
        <v>対象</v>
      </c>
      <c r="U237" s="418" t="s">
        <v>539</v>
      </c>
      <c r="V237" s="99" t="str">
        <f t="shared" si="102"/>
        <v>放課後児童支援員</v>
      </c>
      <c r="W237" s="100" t="str">
        <f t="shared" si="96"/>
        <v>対象</v>
      </c>
      <c r="X237" s="418" t="s">
        <v>546</v>
      </c>
      <c r="Y237" s="99" t="str">
        <f t="shared" si="103"/>
        <v>放課後児童支援員</v>
      </c>
      <c r="Z237" s="100" t="str">
        <f t="shared" si="97"/>
        <v>対象</v>
      </c>
      <c r="AA237" s="418"/>
      <c r="AB237" s="99">
        <f t="shared" si="104"/>
        <v>0</v>
      </c>
      <c r="AC237" s="100">
        <f t="shared" si="98"/>
        <v>0</v>
      </c>
      <c r="AD237" s="418"/>
      <c r="AE237" s="99">
        <f t="shared" si="105"/>
        <v>0</v>
      </c>
      <c r="AF237" s="100">
        <f t="shared" si="99"/>
        <v>0</v>
      </c>
      <c r="AG237" s="351" t="str">
        <f t="shared" si="100"/>
        <v/>
      </c>
      <c r="AH237" s="272" t="str">
        <f t="shared" si="90"/>
        <v/>
      </c>
      <c r="AI237" s="358" t="str">
        <f t="shared" si="91"/>
        <v/>
      </c>
      <c r="AJ237" s="272" t="str">
        <f t="shared" si="92"/>
        <v/>
      </c>
      <c r="AK237" s="361" t="str">
        <f t="shared" si="93"/>
        <v/>
      </c>
      <c r="AL237" s="11"/>
      <c r="AM237" s="11"/>
      <c r="AN237" s="11"/>
    </row>
    <row r="238" spans="1:40" ht="14.25">
      <c r="A238" s="787"/>
      <c r="B238" s="31" t="s">
        <v>192</v>
      </c>
      <c r="C238" s="184" t="s">
        <v>120</v>
      </c>
      <c r="D238" s="413" t="s">
        <v>24</v>
      </c>
      <c r="E238" s="49">
        <v>0.54861111111111105</v>
      </c>
      <c r="F238" s="49">
        <v>0.79166666666666663</v>
      </c>
      <c r="G238" s="93">
        <f t="shared" si="84"/>
        <v>0.24305555555555558</v>
      </c>
      <c r="H238" s="555">
        <f t="shared" si="94"/>
        <v>2.0833333333333259E-2</v>
      </c>
      <c r="I238" s="556">
        <f t="shared" si="85"/>
        <v>1</v>
      </c>
      <c r="J238" s="94">
        <f t="shared" si="86"/>
        <v>0</v>
      </c>
      <c r="K238" s="32">
        <f t="shared" si="87"/>
        <v>0</v>
      </c>
      <c r="L238" s="95" t="str">
        <f t="shared" si="88"/>
        <v/>
      </c>
      <c r="M238" s="96">
        <f t="shared" si="89"/>
        <v>0</v>
      </c>
      <c r="N238" s="97">
        <f>IF(M238=0,0,IF(SUM($M$5:M238)&gt;251,1,0))</f>
        <v>0</v>
      </c>
      <c r="O238" s="162">
        <v>40</v>
      </c>
      <c r="P238" s="163">
        <v>1</v>
      </c>
      <c r="Q238" s="98"/>
      <c r="R238" s="415" t="s">
        <v>543</v>
      </c>
      <c r="S238" s="99" t="str">
        <f t="shared" si="101"/>
        <v>放課後児童支援員</v>
      </c>
      <c r="T238" s="100" t="str">
        <f t="shared" si="95"/>
        <v>対象</v>
      </c>
      <c r="U238" s="418" t="s">
        <v>539</v>
      </c>
      <c r="V238" s="99" t="str">
        <f t="shared" si="102"/>
        <v>放課後児童支援員</v>
      </c>
      <c r="W238" s="100" t="str">
        <f t="shared" si="96"/>
        <v>対象</v>
      </c>
      <c r="X238" s="418" t="s">
        <v>546</v>
      </c>
      <c r="Y238" s="99" t="str">
        <f t="shared" si="103"/>
        <v>放課後児童支援員</v>
      </c>
      <c r="Z238" s="100" t="str">
        <f t="shared" si="97"/>
        <v>対象</v>
      </c>
      <c r="AA238" s="418"/>
      <c r="AB238" s="99">
        <f t="shared" si="104"/>
        <v>0</v>
      </c>
      <c r="AC238" s="100">
        <f t="shared" si="98"/>
        <v>0</v>
      </c>
      <c r="AD238" s="418"/>
      <c r="AE238" s="99">
        <f t="shared" si="105"/>
        <v>0</v>
      </c>
      <c r="AF238" s="100">
        <f t="shared" si="99"/>
        <v>0</v>
      </c>
      <c r="AG238" s="351" t="str">
        <f t="shared" si="100"/>
        <v/>
      </c>
      <c r="AH238" s="272" t="str">
        <f t="shared" si="90"/>
        <v/>
      </c>
      <c r="AI238" s="358" t="str">
        <f t="shared" si="91"/>
        <v/>
      </c>
      <c r="AJ238" s="272" t="str">
        <f t="shared" si="92"/>
        <v/>
      </c>
      <c r="AK238" s="361" t="str">
        <f t="shared" si="93"/>
        <v/>
      </c>
      <c r="AL238" s="11"/>
      <c r="AM238" s="11"/>
      <c r="AN238" s="11"/>
    </row>
    <row r="239" spans="1:40" ht="14.25">
      <c r="A239" s="787"/>
      <c r="B239" s="31" t="s">
        <v>193</v>
      </c>
      <c r="C239" s="184" t="s">
        <v>121</v>
      </c>
      <c r="D239" s="413" t="s">
        <v>24</v>
      </c>
      <c r="E239" s="49">
        <v>0.59722222222222221</v>
      </c>
      <c r="F239" s="49">
        <v>0.80555555555555547</v>
      </c>
      <c r="G239" s="93">
        <f t="shared" si="84"/>
        <v>0.20833333333333326</v>
      </c>
      <c r="H239" s="555">
        <f t="shared" si="94"/>
        <v>3.4722222222222099E-2</v>
      </c>
      <c r="I239" s="556">
        <f t="shared" si="85"/>
        <v>1</v>
      </c>
      <c r="J239" s="94">
        <f t="shared" si="86"/>
        <v>0</v>
      </c>
      <c r="K239" s="32">
        <f t="shared" si="87"/>
        <v>0</v>
      </c>
      <c r="L239" s="95" t="str">
        <f t="shared" si="88"/>
        <v/>
      </c>
      <c r="M239" s="96">
        <f t="shared" si="89"/>
        <v>0</v>
      </c>
      <c r="N239" s="97">
        <f>IF(M239=0,0,IF(SUM($M$5:M239)&gt;251,1,0))</f>
        <v>0</v>
      </c>
      <c r="O239" s="162">
        <v>40</v>
      </c>
      <c r="P239" s="163">
        <v>1</v>
      </c>
      <c r="Q239" s="98"/>
      <c r="R239" s="415" t="s">
        <v>543</v>
      </c>
      <c r="S239" s="99" t="str">
        <f t="shared" si="101"/>
        <v>放課後児童支援員</v>
      </c>
      <c r="T239" s="100" t="str">
        <f t="shared" si="95"/>
        <v>対象</v>
      </c>
      <c r="U239" s="418" t="s">
        <v>539</v>
      </c>
      <c r="V239" s="99" t="str">
        <f t="shared" si="102"/>
        <v>放課後児童支援員</v>
      </c>
      <c r="W239" s="100" t="str">
        <f t="shared" si="96"/>
        <v>対象</v>
      </c>
      <c r="X239" s="418" t="s">
        <v>546</v>
      </c>
      <c r="Y239" s="99" t="str">
        <f t="shared" si="103"/>
        <v>放課後児童支援員</v>
      </c>
      <c r="Z239" s="100" t="str">
        <f t="shared" si="97"/>
        <v>対象</v>
      </c>
      <c r="AA239" s="418"/>
      <c r="AB239" s="99">
        <f t="shared" si="104"/>
        <v>0</v>
      </c>
      <c r="AC239" s="100">
        <f t="shared" si="98"/>
        <v>0</v>
      </c>
      <c r="AD239" s="418"/>
      <c r="AE239" s="99">
        <f t="shared" si="105"/>
        <v>0</v>
      </c>
      <c r="AF239" s="100">
        <f t="shared" si="99"/>
        <v>0</v>
      </c>
      <c r="AG239" s="351" t="str">
        <f t="shared" si="100"/>
        <v/>
      </c>
      <c r="AH239" s="272" t="str">
        <f t="shared" si="90"/>
        <v/>
      </c>
      <c r="AI239" s="358" t="str">
        <f t="shared" si="91"/>
        <v/>
      </c>
      <c r="AJ239" s="272" t="str">
        <f t="shared" si="92"/>
        <v/>
      </c>
      <c r="AK239" s="361" t="str">
        <f t="shared" si="93"/>
        <v/>
      </c>
      <c r="AL239" s="11"/>
      <c r="AM239" s="11"/>
      <c r="AN239" s="11"/>
    </row>
    <row r="240" spans="1:40" ht="14.25">
      <c r="A240" s="787"/>
      <c r="B240" s="31" t="s">
        <v>194</v>
      </c>
      <c r="C240" s="184" t="s">
        <v>122</v>
      </c>
      <c r="D240" s="413" t="s">
        <v>173</v>
      </c>
      <c r="E240" s="49"/>
      <c r="F240" s="49"/>
      <c r="G240" s="93">
        <f t="shared" si="84"/>
        <v>0</v>
      </c>
      <c r="H240" s="555" t="str">
        <f t="shared" si="94"/>
        <v>0:00</v>
      </c>
      <c r="I240" s="556">
        <f t="shared" si="85"/>
        <v>0</v>
      </c>
      <c r="J240" s="94">
        <f t="shared" si="86"/>
        <v>0</v>
      </c>
      <c r="K240" s="32">
        <f t="shared" si="87"/>
        <v>0</v>
      </c>
      <c r="L240" s="95" t="str">
        <f t="shared" si="88"/>
        <v/>
      </c>
      <c r="M240" s="96">
        <f t="shared" si="89"/>
        <v>0</v>
      </c>
      <c r="N240" s="97">
        <f>IF(M240=0,0,IF(SUM($M$5:M240)&gt;251,1,0))</f>
        <v>0</v>
      </c>
      <c r="O240" s="162"/>
      <c r="P240" s="163"/>
      <c r="Q240" s="98"/>
      <c r="R240" s="415"/>
      <c r="S240" s="99">
        <f t="shared" si="101"/>
        <v>0</v>
      </c>
      <c r="T240" s="100">
        <f t="shared" si="95"/>
        <v>0</v>
      </c>
      <c r="U240" s="418"/>
      <c r="V240" s="99">
        <f t="shared" si="102"/>
        <v>0</v>
      </c>
      <c r="W240" s="100">
        <f t="shared" si="96"/>
        <v>0</v>
      </c>
      <c r="X240" s="418"/>
      <c r="Y240" s="99">
        <f t="shared" si="103"/>
        <v>0</v>
      </c>
      <c r="Z240" s="100">
        <f t="shared" si="97"/>
        <v>0</v>
      </c>
      <c r="AA240" s="418"/>
      <c r="AB240" s="99">
        <f t="shared" si="104"/>
        <v>0</v>
      </c>
      <c r="AC240" s="100">
        <f t="shared" si="98"/>
        <v>0</v>
      </c>
      <c r="AD240" s="418"/>
      <c r="AE240" s="99">
        <f t="shared" si="105"/>
        <v>0</v>
      </c>
      <c r="AF240" s="100">
        <f t="shared" si="99"/>
        <v>0</v>
      </c>
      <c r="AG240" s="351" t="str">
        <f t="shared" si="100"/>
        <v/>
      </c>
      <c r="AH240" s="272" t="str">
        <f t="shared" si="90"/>
        <v/>
      </c>
      <c r="AI240" s="358" t="str">
        <f t="shared" si="91"/>
        <v/>
      </c>
      <c r="AJ240" s="272" t="str">
        <f t="shared" si="92"/>
        <v/>
      </c>
      <c r="AK240" s="361" t="str">
        <f t="shared" si="93"/>
        <v/>
      </c>
      <c r="AL240" s="11"/>
      <c r="AM240" s="11"/>
      <c r="AN240" s="11"/>
    </row>
    <row r="241" spans="1:40" ht="14.25">
      <c r="A241" s="787"/>
      <c r="B241" s="31" t="s">
        <v>195</v>
      </c>
      <c r="C241" s="184" t="s">
        <v>183</v>
      </c>
      <c r="D241" s="413" t="s">
        <v>173</v>
      </c>
      <c r="E241" s="49"/>
      <c r="F241" s="49"/>
      <c r="G241" s="93">
        <f t="shared" si="84"/>
        <v>0</v>
      </c>
      <c r="H241" s="555" t="str">
        <f t="shared" si="94"/>
        <v>0:00</v>
      </c>
      <c r="I241" s="556">
        <f t="shared" si="85"/>
        <v>0</v>
      </c>
      <c r="J241" s="94">
        <f t="shared" si="86"/>
        <v>0</v>
      </c>
      <c r="K241" s="32">
        <f t="shared" si="87"/>
        <v>0</v>
      </c>
      <c r="L241" s="95" t="str">
        <f t="shared" si="88"/>
        <v/>
      </c>
      <c r="M241" s="96">
        <f t="shared" si="89"/>
        <v>0</v>
      </c>
      <c r="N241" s="97">
        <f>IF(M241=0,0,IF(SUM($M$5:M241)&gt;251,1,0))</f>
        <v>0</v>
      </c>
      <c r="O241" s="162"/>
      <c r="P241" s="163"/>
      <c r="Q241" s="98"/>
      <c r="R241" s="415"/>
      <c r="S241" s="99">
        <f t="shared" si="101"/>
        <v>0</v>
      </c>
      <c r="T241" s="100">
        <f t="shared" si="95"/>
        <v>0</v>
      </c>
      <c r="U241" s="418"/>
      <c r="V241" s="99">
        <f t="shared" si="102"/>
        <v>0</v>
      </c>
      <c r="W241" s="100">
        <f t="shared" si="96"/>
        <v>0</v>
      </c>
      <c r="X241" s="418"/>
      <c r="Y241" s="99">
        <f t="shared" si="103"/>
        <v>0</v>
      </c>
      <c r="Z241" s="100">
        <f t="shared" si="97"/>
        <v>0</v>
      </c>
      <c r="AA241" s="418"/>
      <c r="AB241" s="99">
        <f t="shared" si="104"/>
        <v>0</v>
      </c>
      <c r="AC241" s="100">
        <f t="shared" si="98"/>
        <v>0</v>
      </c>
      <c r="AD241" s="418"/>
      <c r="AE241" s="99">
        <f t="shared" si="105"/>
        <v>0</v>
      </c>
      <c r="AF241" s="100">
        <f t="shared" si="99"/>
        <v>0</v>
      </c>
      <c r="AG241" s="351" t="str">
        <f t="shared" si="100"/>
        <v/>
      </c>
      <c r="AH241" s="272" t="str">
        <f t="shared" si="90"/>
        <v/>
      </c>
      <c r="AI241" s="358" t="str">
        <f t="shared" si="91"/>
        <v/>
      </c>
      <c r="AJ241" s="272" t="str">
        <f t="shared" si="92"/>
        <v/>
      </c>
      <c r="AK241" s="361" t="str">
        <f t="shared" si="93"/>
        <v/>
      </c>
      <c r="AL241" s="11"/>
      <c r="AM241" s="11"/>
      <c r="AN241" s="11"/>
    </row>
    <row r="242" spans="1:40" ht="14.25">
      <c r="A242" s="787"/>
      <c r="B242" s="31" t="s">
        <v>196</v>
      </c>
      <c r="C242" s="184" t="s">
        <v>118</v>
      </c>
      <c r="D242" s="413" t="s">
        <v>24</v>
      </c>
      <c r="E242" s="49">
        <v>0.59722222222222221</v>
      </c>
      <c r="F242" s="49">
        <v>0.7715277777777777</v>
      </c>
      <c r="G242" s="93">
        <f t="shared" si="84"/>
        <v>0.17430555555555549</v>
      </c>
      <c r="H242" s="555">
        <f t="shared" si="94"/>
        <v>6.9444444444433095E-4</v>
      </c>
      <c r="I242" s="556">
        <f t="shared" si="85"/>
        <v>1</v>
      </c>
      <c r="J242" s="94">
        <f t="shared" si="86"/>
        <v>0</v>
      </c>
      <c r="K242" s="32">
        <f t="shared" si="87"/>
        <v>0</v>
      </c>
      <c r="L242" s="95" t="str">
        <f t="shared" si="88"/>
        <v/>
      </c>
      <c r="M242" s="96">
        <f t="shared" si="89"/>
        <v>0</v>
      </c>
      <c r="N242" s="97">
        <f>IF(M242=0,0,IF(SUM($M$5:M242)&gt;251,1,0))</f>
        <v>0</v>
      </c>
      <c r="O242" s="162">
        <v>40</v>
      </c>
      <c r="P242" s="163">
        <v>1</v>
      </c>
      <c r="Q242" s="98"/>
      <c r="R242" s="415" t="s">
        <v>543</v>
      </c>
      <c r="S242" s="99" t="str">
        <f t="shared" si="101"/>
        <v>放課後児童支援員</v>
      </c>
      <c r="T242" s="100" t="str">
        <f t="shared" si="95"/>
        <v>対象</v>
      </c>
      <c r="U242" s="418" t="s">
        <v>539</v>
      </c>
      <c r="V242" s="99" t="str">
        <f t="shared" si="102"/>
        <v>放課後児童支援員</v>
      </c>
      <c r="W242" s="100" t="str">
        <f t="shared" si="96"/>
        <v>対象</v>
      </c>
      <c r="X242" s="418"/>
      <c r="Y242" s="99">
        <f t="shared" si="103"/>
        <v>0</v>
      </c>
      <c r="Z242" s="100">
        <f t="shared" si="97"/>
        <v>0</v>
      </c>
      <c r="AA242" s="418"/>
      <c r="AB242" s="99">
        <f t="shared" si="104"/>
        <v>0</v>
      </c>
      <c r="AC242" s="100">
        <f t="shared" si="98"/>
        <v>0</v>
      </c>
      <c r="AD242" s="418"/>
      <c r="AE242" s="99">
        <f t="shared" si="105"/>
        <v>0</v>
      </c>
      <c r="AF242" s="100">
        <f t="shared" si="99"/>
        <v>0</v>
      </c>
      <c r="AG242" s="351" t="str">
        <f t="shared" si="100"/>
        <v/>
      </c>
      <c r="AH242" s="272" t="str">
        <f t="shared" si="90"/>
        <v/>
      </c>
      <c r="AI242" s="358" t="str">
        <f t="shared" si="91"/>
        <v/>
      </c>
      <c r="AJ242" s="272" t="str">
        <f t="shared" si="92"/>
        <v/>
      </c>
      <c r="AK242" s="361" t="str">
        <f t="shared" si="93"/>
        <v/>
      </c>
      <c r="AL242" s="11"/>
      <c r="AM242" s="11"/>
      <c r="AN242" s="11"/>
    </row>
    <row r="243" spans="1:40" ht="14.25">
      <c r="A243" s="787"/>
      <c r="B243" s="31" t="s">
        <v>197</v>
      </c>
      <c r="C243" s="184" t="s">
        <v>123</v>
      </c>
      <c r="D243" s="413" t="s">
        <v>24</v>
      </c>
      <c r="E243" s="49">
        <v>0.59722222222222221</v>
      </c>
      <c r="F243" s="49">
        <v>0.79166666666666663</v>
      </c>
      <c r="G243" s="93">
        <f t="shared" si="84"/>
        <v>0.19444444444444442</v>
      </c>
      <c r="H243" s="555">
        <f t="shared" si="94"/>
        <v>2.0833333333333259E-2</v>
      </c>
      <c r="I243" s="556">
        <f t="shared" si="85"/>
        <v>1</v>
      </c>
      <c r="J243" s="94">
        <f t="shared" si="86"/>
        <v>0</v>
      </c>
      <c r="K243" s="32">
        <f t="shared" si="87"/>
        <v>0</v>
      </c>
      <c r="L243" s="95" t="str">
        <f t="shared" si="88"/>
        <v/>
      </c>
      <c r="M243" s="96">
        <f t="shared" si="89"/>
        <v>0</v>
      </c>
      <c r="N243" s="97">
        <f>IF(M243=0,0,IF(SUM($M$5:M243)&gt;251,1,0))</f>
        <v>0</v>
      </c>
      <c r="O243" s="162">
        <v>40</v>
      </c>
      <c r="P243" s="163">
        <v>1</v>
      </c>
      <c r="Q243" s="98"/>
      <c r="R243" s="415" t="s">
        <v>543</v>
      </c>
      <c r="S243" s="99" t="str">
        <f t="shared" si="101"/>
        <v>放課後児童支援員</v>
      </c>
      <c r="T243" s="100" t="str">
        <f t="shared" si="95"/>
        <v>対象</v>
      </c>
      <c r="U243" s="418" t="s">
        <v>539</v>
      </c>
      <c r="V243" s="99" t="str">
        <f t="shared" si="102"/>
        <v>放課後児童支援員</v>
      </c>
      <c r="W243" s="100" t="str">
        <f t="shared" si="96"/>
        <v>対象</v>
      </c>
      <c r="X243" s="418" t="s">
        <v>546</v>
      </c>
      <c r="Y243" s="99" t="str">
        <f t="shared" si="103"/>
        <v>放課後児童支援員</v>
      </c>
      <c r="Z243" s="100" t="str">
        <f t="shared" si="97"/>
        <v>対象</v>
      </c>
      <c r="AA243" s="418"/>
      <c r="AB243" s="99">
        <f t="shared" si="104"/>
        <v>0</v>
      </c>
      <c r="AC243" s="100">
        <f t="shared" si="98"/>
        <v>0</v>
      </c>
      <c r="AD243" s="418"/>
      <c r="AE243" s="99">
        <f t="shared" si="105"/>
        <v>0</v>
      </c>
      <c r="AF243" s="100">
        <f t="shared" si="99"/>
        <v>0</v>
      </c>
      <c r="AG243" s="351" t="str">
        <f t="shared" si="100"/>
        <v/>
      </c>
      <c r="AH243" s="272" t="str">
        <f t="shared" si="90"/>
        <v/>
      </c>
      <c r="AI243" s="358" t="str">
        <f t="shared" si="91"/>
        <v/>
      </c>
      <c r="AJ243" s="272" t="str">
        <f t="shared" si="92"/>
        <v/>
      </c>
      <c r="AK243" s="361" t="str">
        <f t="shared" si="93"/>
        <v/>
      </c>
      <c r="AL243" s="11"/>
      <c r="AM243" s="11"/>
      <c r="AN243" s="11"/>
    </row>
    <row r="244" spans="1:40" ht="14.25">
      <c r="A244" s="787"/>
      <c r="B244" s="31" t="s">
        <v>198</v>
      </c>
      <c r="C244" s="184" t="s">
        <v>119</v>
      </c>
      <c r="D244" s="413" t="s">
        <v>24</v>
      </c>
      <c r="E244" s="49">
        <v>0.59722222222222221</v>
      </c>
      <c r="F244" s="49">
        <v>0.79166666666666663</v>
      </c>
      <c r="G244" s="93">
        <f t="shared" si="84"/>
        <v>0.19444444444444442</v>
      </c>
      <c r="H244" s="555">
        <f t="shared" si="94"/>
        <v>2.0833333333333259E-2</v>
      </c>
      <c r="I244" s="556">
        <f t="shared" si="85"/>
        <v>1</v>
      </c>
      <c r="J244" s="94">
        <f t="shared" si="86"/>
        <v>0</v>
      </c>
      <c r="K244" s="32">
        <f t="shared" si="87"/>
        <v>0</v>
      </c>
      <c r="L244" s="95" t="str">
        <f t="shared" si="88"/>
        <v/>
      </c>
      <c r="M244" s="96">
        <f t="shared" si="89"/>
        <v>0</v>
      </c>
      <c r="N244" s="97">
        <f>IF(M244=0,0,IF(SUM($M$5:M244)&gt;251,1,0))</f>
        <v>0</v>
      </c>
      <c r="O244" s="162">
        <v>40</v>
      </c>
      <c r="P244" s="163">
        <v>1</v>
      </c>
      <c r="Q244" s="98"/>
      <c r="R244" s="415" t="s">
        <v>543</v>
      </c>
      <c r="S244" s="99" t="str">
        <f t="shared" si="101"/>
        <v>放課後児童支援員</v>
      </c>
      <c r="T244" s="100" t="str">
        <f t="shared" si="95"/>
        <v>対象</v>
      </c>
      <c r="U244" s="418" t="s">
        <v>539</v>
      </c>
      <c r="V244" s="99" t="str">
        <f t="shared" si="102"/>
        <v>放課後児童支援員</v>
      </c>
      <c r="W244" s="100" t="str">
        <f t="shared" si="96"/>
        <v>対象</v>
      </c>
      <c r="X244" s="418" t="s">
        <v>546</v>
      </c>
      <c r="Y244" s="99" t="str">
        <f t="shared" si="103"/>
        <v>放課後児童支援員</v>
      </c>
      <c r="Z244" s="100" t="str">
        <f t="shared" si="97"/>
        <v>対象</v>
      </c>
      <c r="AA244" s="418"/>
      <c r="AB244" s="99">
        <f t="shared" si="104"/>
        <v>0</v>
      </c>
      <c r="AC244" s="100">
        <f t="shared" si="98"/>
        <v>0</v>
      </c>
      <c r="AD244" s="418"/>
      <c r="AE244" s="99">
        <f t="shared" si="105"/>
        <v>0</v>
      </c>
      <c r="AF244" s="100">
        <f t="shared" si="99"/>
        <v>0</v>
      </c>
      <c r="AG244" s="351" t="str">
        <f t="shared" si="100"/>
        <v/>
      </c>
      <c r="AH244" s="272" t="str">
        <f t="shared" si="90"/>
        <v/>
      </c>
      <c r="AI244" s="358" t="str">
        <f t="shared" si="91"/>
        <v/>
      </c>
      <c r="AJ244" s="272" t="str">
        <f t="shared" si="92"/>
        <v/>
      </c>
      <c r="AK244" s="361" t="str">
        <f t="shared" si="93"/>
        <v/>
      </c>
      <c r="AL244" s="11"/>
      <c r="AM244" s="11"/>
      <c r="AN244" s="11"/>
    </row>
    <row r="245" spans="1:40" ht="14.25">
      <c r="A245" s="787"/>
      <c r="B245" s="31" t="s">
        <v>199</v>
      </c>
      <c r="C245" s="184" t="s">
        <v>120</v>
      </c>
      <c r="D245" s="413" t="s">
        <v>24</v>
      </c>
      <c r="E245" s="49">
        <v>0.54861111111111105</v>
      </c>
      <c r="F245" s="49">
        <v>0.79166666666666663</v>
      </c>
      <c r="G245" s="93">
        <f t="shared" si="84"/>
        <v>0.24305555555555558</v>
      </c>
      <c r="H245" s="555">
        <f t="shared" si="94"/>
        <v>2.0833333333333259E-2</v>
      </c>
      <c r="I245" s="556">
        <f t="shared" si="85"/>
        <v>1</v>
      </c>
      <c r="J245" s="94">
        <f t="shared" si="86"/>
        <v>0</v>
      </c>
      <c r="K245" s="32">
        <f t="shared" si="87"/>
        <v>0</v>
      </c>
      <c r="L245" s="95" t="str">
        <f t="shared" si="88"/>
        <v/>
      </c>
      <c r="M245" s="96">
        <f t="shared" si="89"/>
        <v>0</v>
      </c>
      <c r="N245" s="97">
        <f>IF(M245=0,0,IF(SUM($M$5:M245)&gt;251,1,0))</f>
        <v>0</v>
      </c>
      <c r="O245" s="162">
        <v>40</v>
      </c>
      <c r="P245" s="163">
        <v>1</v>
      </c>
      <c r="Q245" s="98"/>
      <c r="R245" s="415" t="s">
        <v>543</v>
      </c>
      <c r="S245" s="99" t="str">
        <f t="shared" si="101"/>
        <v>放課後児童支援員</v>
      </c>
      <c r="T245" s="100" t="str">
        <f t="shared" si="95"/>
        <v>対象</v>
      </c>
      <c r="U245" s="418" t="s">
        <v>539</v>
      </c>
      <c r="V245" s="99" t="str">
        <f t="shared" si="102"/>
        <v>放課後児童支援員</v>
      </c>
      <c r="W245" s="100" t="str">
        <f t="shared" si="96"/>
        <v>対象</v>
      </c>
      <c r="X245" s="418" t="s">
        <v>546</v>
      </c>
      <c r="Y245" s="99" t="str">
        <f t="shared" si="103"/>
        <v>放課後児童支援員</v>
      </c>
      <c r="Z245" s="100" t="str">
        <f t="shared" si="97"/>
        <v>対象</v>
      </c>
      <c r="AA245" s="418"/>
      <c r="AB245" s="99">
        <f t="shared" si="104"/>
        <v>0</v>
      </c>
      <c r="AC245" s="100">
        <f t="shared" si="98"/>
        <v>0</v>
      </c>
      <c r="AD245" s="418"/>
      <c r="AE245" s="99">
        <f t="shared" si="105"/>
        <v>0</v>
      </c>
      <c r="AF245" s="100">
        <f t="shared" si="99"/>
        <v>0</v>
      </c>
      <c r="AG245" s="351" t="str">
        <f t="shared" si="100"/>
        <v/>
      </c>
      <c r="AH245" s="272" t="str">
        <f t="shared" si="90"/>
        <v/>
      </c>
      <c r="AI245" s="358" t="str">
        <f t="shared" si="91"/>
        <v/>
      </c>
      <c r="AJ245" s="272" t="str">
        <f t="shared" si="92"/>
        <v/>
      </c>
      <c r="AK245" s="361" t="str">
        <f t="shared" si="93"/>
        <v/>
      </c>
      <c r="AL245" s="11"/>
      <c r="AM245" s="11"/>
      <c r="AN245" s="11"/>
    </row>
    <row r="246" spans="1:40" ht="14.25">
      <c r="A246" s="787"/>
      <c r="B246" s="31" t="s">
        <v>200</v>
      </c>
      <c r="C246" s="184" t="s">
        <v>121</v>
      </c>
      <c r="D246" s="413" t="s">
        <v>24</v>
      </c>
      <c r="E246" s="49">
        <v>0.59722222222222221</v>
      </c>
      <c r="F246" s="49">
        <v>0.80555555555555547</v>
      </c>
      <c r="G246" s="93">
        <f t="shared" si="84"/>
        <v>0.20833333333333326</v>
      </c>
      <c r="H246" s="555">
        <f t="shared" si="94"/>
        <v>3.4722222222222099E-2</v>
      </c>
      <c r="I246" s="556">
        <f t="shared" si="85"/>
        <v>1</v>
      </c>
      <c r="J246" s="94">
        <f t="shared" si="86"/>
        <v>0</v>
      </c>
      <c r="K246" s="32">
        <f t="shared" si="87"/>
        <v>0</v>
      </c>
      <c r="L246" s="95" t="str">
        <f t="shared" si="88"/>
        <v/>
      </c>
      <c r="M246" s="96">
        <f t="shared" si="89"/>
        <v>0</v>
      </c>
      <c r="N246" s="97">
        <f>IF(M246=0,0,IF(SUM($M$5:M246)&gt;251,1,0))</f>
        <v>0</v>
      </c>
      <c r="O246" s="162">
        <v>40</v>
      </c>
      <c r="P246" s="163">
        <v>1</v>
      </c>
      <c r="Q246" s="98"/>
      <c r="R246" s="415" t="s">
        <v>543</v>
      </c>
      <c r="S246" s="99" t="str">
        <f t="shared" si="101"/>
        <v>放課後児童支援員</v>
      </c>
      <c r="T246" s="100" t="str">
        <f t="shared" si="95"/>
        <v>対象</v>
      </c>
      <c r="U246" s="418" t="s">
        <v>539</v>
      </c>
      <c r="V246" s="99" t="str">
        <f t="shared" si="102"/>
        <v>放課後児童支援員</v>
      </c>
      <c r="W246" s="100" t="str">
        <f t="shared" si="96"/>
        <v>対象</v>
      </c>
      <c r="X246" s="418" t="s">
        <v>546</v>
      </c>
      <c r="Y246" s="99" t="str">
        <f t="shared" si="103"/>
        <v>放課後児童支援員</v>
      </c>
      <c r="Z246" s="100" t="str">
        <f t="shared" si="97"/>
        <v>対象</v>
      </c>
      <c r="AA246" s="418"/>
      <c r="AB246" s="99">
        <f t="shared" si="104"/>
        <v>0</v>
      </c>
      <c r="AC246" s="100">
        <f t="shared" si="98"/>
        <v>0</v>
      </c>
      <c r="AD246" s="418"/>
      <c r="AE246" s="99">
        <f t="shared" si="105"/>
        <v>0</v>
      </c>
      <c r="AF246" s="100">
        <f t="shared" si="99"/>
        <v>0</v>
      </c>
      <c r="AG246" s="351" t="str">
        <f t="shared" si="100"/>
        <v/>
      </c>
      <c r="AH246" s="272" t="str">
        <f t="shared" si="90"/>
        <v/>
      </c>
      <c r="AI246" s="358" t="str">
        <f t="shared" si="91"/>
        <v/>
      </c>
      <c r="AJ246" s="272" t="str">
        <f t="shared" si="92"/>
        <v/>
      </c>
      <c r="AK246" s="361" t="str">
        <f t="shared" si="93"/>
        <v/>
      </c>
      <c r="AL246" s="11"/>
      <c r="AM246" s="11"/>
      <c r="AN246" s="11"/>
    </row>
    <row r="247" spans="1:40" ht="14.25">
      <c r="A247" s="787"/>
      <c r="B247" s="31" t="s">
        <v>201</v>
      </c>
      <c r="C247" s="184" t="s">
        <v>122</v>
      </c>
      <c r="D247" s="413" t="s">
        <v>171</v>
      </c>
      <c r="E247" s="49">
        <v>0.33333333333333331</v>
      </c>
      <c r="F247" s="49">
        <v>0.6875</v>
      </c>
      <c r="G247" s="93">
        <f t="shared" si="84"/>
        <v>0.35416666666666669</v>
      </c>
      <c r="H247" s="555" t="str">
        <f t="shared" si="94"/>
        <v>0:00</v>
      </c>
      <c r="I247" s="556">
        <f t="shared" si="85"/>
        <v>0</v>
      </c>
      <c r="J247" s="94">
        <f t="shared" si="86"/>
        <v>2.083333333333337E-2</v>
      </c>
      <c r="K247" s="32">
        <f t="shared" si="87"/>
        <v>1</v>
      </c>
      <c r="L247" s="95" t="str">
        <f t="shared" si="88"/>
        <v/>
      </c>
      <c r="M247" s="96">
        <f t="shared" si="89"/>
        <v>1</v>
      </c>
      <c r="N247" s="97">
        <f>IF(M247=0,0,IF(SUM($M$5:M247)&gt;251,1,0))</f>
        <v>0</v>
      </c>
      <c r="O247" s="162">
        <v>5</v>
      </c>
      <c r="P247" s="163">
        <v>0</v>
      </c>
      <c r="Q247" s="98"/>
      <c r="R247" s="415" t="s">
        <v>543</v>
      </c>
      <c r="S247" s="99" t="str">
        <f t="shared" si="101"/>
        <v>放課後児童支援員</v>
      </c>
      <c r="T247" s="100" t="str">
        <f t="shared" si="95"/>
        <v>対象</v>
      </c>
      <c r="U247" s="418" t="s">
        <v>539</v>
      </c>
      <c r="V247" s="99" t="str">
        <f t="shared" si="102"/>
        <v>放課後児童支援員</v>
      </c>
      <c r="W247" s="100" t="str">
        <f t="shared" si="96"/>
        <v>対象</v>
      </c>
      <c r="X247" s="418" t="s">
        <v>546</v>
      </c>
      <c r="Y247" s="99" t="str">
        <f t="shared" si="103"/>
        <v>放課後児童支援員</v>
      </c>
      <c r="Z247" s="100" t="str">
        <f t="shared" si="97"/>
        <v>対象</v>
      </c>
      <c r="AA247" s="418"/>
      <c r="AB247" s="99">
        <f t="shared" si="104"/>
        <v>0</v>
      </c>
      <c r="AC247" s="100">
        <f t="shared" si="98"/>
        <v>0</v>
      </c>
      <c r="AD247" s="418"/>
      <c r="AE247" s="99">
        <f t="shared" si="105"/>
        <v>0</v>
      </c>
      <c r="AF247" s="100">
        <f t="shared" si="99"/>
        <v>0</v>
      </c>
      <c r="AG247" s="351" t="str">
        <f t="shared" si="100"/>
        <v/>
      </c>
      <c r="AH247" s="272" t="str">
        <f t="shared" si="90"/>
        <v/>
      </c>
      <c r="AI247" s="358" t="str">
        <f t="shared" si="91"/>
        <v/>
      </c>
      <c r="AJ247" s="272" t="str">
        <f t="shared" si="92"/>
        <v/>
      </c>
      <c r="AK247" s="361" t="str">
        <f t="shared" si="93"/>
        <v/>
      </c>
      <c r="AL247" s="11"/>
      <c r="AM247" s="11"/>
      <c r="AN247" s="11"/>
    </row>
    <row r="248" spans="1:40" ht="15" thickBot="1">
      <c r="A248" s="788"/>
      <c r="B248" s="33" t="s">
        <v>202</v>
      </c>
      <c r="C248" s="184" t="s">
        <v>183</v>
      </c>
      <c r="D248" s="413" t="s">
        <v>173</v>
      </c>
      <c r="E248" s="50"/>
      <c r="F248" s="50"/>
      <c r="G248" s="101">
        <f t="shared" si="84"/>
        <v>0</v>
      </c>
      <c r="H248" s="555" t="str">
        <f t="shared" si="94"/>
        <v>0:00</v>
      </c>
      <c r="I248" s="557">
        <f t="shared" si="85"/>
        <v>0</v>
      </c>
      <c r="J248" s="102">
        <f t="shared" si="86"/>
        <v>0</v>
      </c>
      <c r="K248" s="34">
        <f t="shared" si="87"/>
        <v>0</v>
      </c>
      <c r="L248" s="103" t="str">
        <f t="shared" si="88"/>
        <v/>
      </c>
      <c r="M248" s="104">
        <f t="shared" si="89"/>
        <v>0</v>
      </c>
      <c r="N248" s="105">
        <f>IF(M248=0,0,IF(SUM($M$5:M248)&gt;251,1,0))</f>
        <v>0</v>
      </c>
      <c r="O248" s="195"/>
      <c r="P248" s="196"/>
      <c r="Q248" s="108">
        <f>SUM(O219:O248)</f>
        <v>815</v>
      </c>
      <c r="R248" s="416"/>
      <c r="S248" s="185">
        <f t="shared" si="101"/>
        <v>0</v>
      </c>
      <c r="T248" s="107">
        <f t="shared" si="95"/>
        <v>0</v>
      </c>
      <c r="U248" s="419"/>
      <c r="V248" s="185">
        <f t="shared" si="102"/>
        <v>0</v>
      </c>
      <c r="W248" s="107">
        <f t="shared" si="96"/>
        <v>0</v>
      </c>
      <c r="X248" s="419"/>
      <c r="Y248" s="185">
        <f t="shared" si="103"/>
        <v>0</v>
      </c>
      <c r="Z248" s="107">
        <f t="shared" si="97"/>
        <v>0</v>
      </c>
      <c r="AA248" s="419"/>
      <c r="AB248" s="185">
        <f t="shared" si="104"/>
        <v>0</v>
      </c>
      <c r="AC248" s="107">
        <f t="shared" si="98"/>
        <v>0</v>
      </c>
      <c r="AD248" s="419"/>
      <c r="AE248" s="185">
        <f t="shared" si="105"/>
        <v>0</v>
      </c>
      <c r="AF248" s="107">
        <f t="shared" si="99"/>
        <v>0</v>
      </c>
      <c r="AG248" s="182" t="str">
        <f t="shared" si="100"/>
        <v/>
      </c>
      <c r="AH248" s="273" t="str">
        <f t="shared" si="90"/>
        <v/>
      </c>
      <c r="AI248" s="464" t="str">
        <f t="shared" si="91"/>
        <v/>
      </c>
      <c r="AJ248" s="273" t="str">
        <f t="shared" si="92"/>
        <v/>
      </c>
      <c r="AK248" s="362" t="str">
        <f t="shared" si="93"/>
        <v/>
      </c>
      <c r="AL248" s="11"/>
      <c r="AM248" s="11"/>
      <c r="AN248" s="11"/>
    </row>
    <row r="249" spans="1:40" ht="14.25">
      <c r="A249" s="786" t="s">
        <v>209</v>
      </c>
      <c r="B249" s="27" t="s">
        <v>170</v>
      </c>
      <c r="C249" s="184" t="s">
        <v>118</v>
      </c>
      <c r="D249" s="413" t="s">
        <v>24</v>
      </c>
      <c r="E249" s="49">
        <v>0.59722222222222221</v>
      </c>
      <c r="F249" s="49">
        <v>0.7715277777777777</v>
      </c>
      <c r="G249" s="85">
        <f t="shared" si="84"/>
        <v>0.17430555555555549</v>
      </c>
      <c r="H249" s="555">
        <f t="shared" si="94"/>
        <v>6.9444444444433095E-4</v>
      </c>
      <c r="I249" s="558">
        <f t="shared" si="85"/>
        <v>1</v>
      </c>
      <c r="J249" s="86">
        <f t="shared" si="86"/>
        <v>0</v>
      </c>
      <c r="K249" s="29">
        <f t="shared" si="87"/>
        <v>0</v>
      </c>
      <c r="L249" s="87" t="str">
        <f t="shared" si="88"/>
        <v/>
      </c>
      <c r="M249" s="88">
        <f t="shared" si="89"/>
        <v>0</v>
      </c>
      <c r="N249" s="89">
        <f>IF(M249=0,0,IF(SUM($M$5:M249)&gt;251,1,0))</f>
        <v>0</v>
      </c>
      <c r="O249" s="162">
        <v>40</v>
      </c>
      <c r="P249" s="163">
        <v>1</v>
      </c>
      <c r="Q249" s="90"/>
      <c r="R249" s="415" t="s">
        <v>543</v>
      </c>
      <c r="S249" s="91" t="str">
        <f t="shared" si="101"/>
        <v>放課後児童支援員</v>
      </c>
      <c r="T249" s="92" t="str">
        <f t="shared" si="95"/>
        <v>対象</v>
      </c>
      <c r="U249" s="418" t="s">
        <v>539</v>
      </c>
      <c r="V249" s="91" t="str">
        <f t="shared" si="102"/>
        <v>放課後児童支援員</v>
      </c>
      <c r="W249" s="92" t="str">
        <f t="shared" si="96"/>
        <v>対象</v>
      </c>
      <c r="X249" s="417"/>
      <c r="Y249" s="91">
        <f t="shared" si="103"/>
        <v>0</v>
      </c>
      <c r="Z249" s="92">
        <f t="shared" si="97"/>
        <v>0</v>
      </c>
      <c r="AA249" s="417"/>
      <c r="AB249" s="91">
        <f t="shared" si="104"/>
        <v>0</v>
      </c>
      <c r="AC249" s="92">
        <f t="shared" si="98"/>
        <v>0</v>
      </c>
      <c r="AD249" s="417"/>
      <c r="AE249" s="91">
        <f t="shared" si="105"/>
        <v>0</v>
      </c>
      <c r="AF249" s="92">
        <f t="shared" si="99"/>
        <v>0</v>
      </c>
      <c r="AG249" s="363" t="str">
        <f t="shared" si="100"/>
        <v/>
      </c>
      <c r="AH249" s="359" t="str">
        <f t="shared" si="90"/>
        <v/>
      </c>
      <c r="AI249" s="359" t="str">
        <f t="shared" si="91"/>
        <v/>
      </c>
      <c r="AJ249" s="359" t="str">
        <f t="shared" si="92"/>
        <v/>
      </c>
      <c r="AK249" s="360" t="str">
        <f t="shared" si="93"/>
        <v/>
      </c>
      <c r="AL249" s="11"/>
      <c r="AM249" s="11"/>
      <c r="AN249" s="11"/>
    </row>
    <row r="250" spans="1:40" ht="14.25">
      <c r="A250" s="787"/>
      <c r="B250" s="31" t="s">
        <v>172</v>
      </c>
      <c r="C250" s="184" t="s">
        <v>123</v>
      </c>
      <c r="D250" s="413" t="s">
        <v>24</v>
      </c>
      <c r="E250" s="49">
        <v>0.59722222222222221</v>
      </c>
      <c r="F250" s="49">
        <v>0.79166666666666663</v>
      </c>
      <c r="G250" s="93">
        <f t="shared" si="84"/>
        <v>0.19444444444444442</v>
      </c>
      <c r="H250" s="555">
        <f t="shared" si="94"/>
        <v>2.0833333333333259E-2</v>
      </c>
      <c r="I250" s="556">
        <f t="shared" si="85"/>
        <v>1</v>
      </c>
      <c r="J250" s="94">
        <f t="shared" si="86"/>
        <v>0</v>
      </c>
      <c r="K250" s="32">
        <f t="shared" si="87"/>
        <v>0</v>
      </c>
      <c r="L250" s="95" t="str">
        <f t="shared" si="88"/>
        <v/>
      </c>
      <c r="M250" s="96">
        <f t="shared" si="89"/>
        <v>0</v>
      </c>
      <c r="N250" s="97">
        <f>IF(M250=0,0,IF(SUM($M$5:M250)&gt;251,1,0))</f>
        <v>0</v>
      </c>
      <c r="O250" s="162">
        <v>40</v>
      </c>
      <c r="P250" s="163">
        <v>1</v>
      </c>
      <c r="Q250" s="98"/>
      <c r="R250" s="415" t="s">
        <v>543</v>
      </c>
      <c r="S250" s="99" t="str">
        <f t="shared" si="101"/>
        <v>放課後児童支援員</v>
      </c>
      <c r="T250" s="100" t="str">
        <f t="shared" si="95"/>
        <v>対象</v>
      </c>
      <c r="U250" s="418" t="s">
        <v>539</v>
      </c>
      <c r="V250" s="99" t="str">
        <f t="shared" si="102"/>
        <v>放課後児童支援員</v>
      </c>
      <c r="W250" s="100" t="str">
        <f t="shared" si="96"/>
        <v>対象</v>
      </c>
      <c r="X250" s="418" t="s">
        <v>546</v>
      </c>
      <c r="Y250" s="99" t="str">
        <f t="shared" si="103"/>
        <v>放課後児童支援員</v>
      </c>
      <c r="Z250" s="100" t="str">
        <f t="shared" si="97"/>
        <v>対象</v>
      </c>
      <c r="AA250" s="418"/>
      <c r="AB250" s="99">
        <f t="shared" si="104"/>
        <v>0</v>
      </c>
      <c r="AC250" s="100">
        <f t="shared" si="98"/>
        <v>0</v>
      </c>
      <c r="AD250" s="418"/>
      <c r="AE250" s="99">
        <f t="shared" si="105"/>
        <v>0</v>
      </c>
      <c r="AF250" s="100">
        <f t="shared" si="99"/>
        <v>0</v>
      </c>
      <c r="AG250" s="351" t="str">
        <f t="shared" si="100"/>
        <v/>
      </c>
      <c r="AH250" s="272" t="str">
        <f t="shared" si="90"/>
        <v/>
      </c>
      <c r="AI250" s="358" t="str">
        <f t="shared" si="91"/>
        <v/>
      </c>
      <c r="AJ250" s="272" t="str">
        <f t="shared" si="92"/>
        <v/>
      </c>
      <c r="AK250" s="361" t="str">
        <f t="shared" si="93"/>
        <v/>
      </c>
      <c r="AL250" s="11"/>
      <c r="AM250" s="11"/>
      <c r="AN250" s="11"/>
    </row>
    <row r="251" spans="1:40" ht="14.25">
      <c r="A251" s="787"/>
      <c r="B251" s="31" t="s">
        <v>174</v>
      </c>
      <c r="C251" s="184" t="s">
        <v>119</v>
      </c>
      <c r="D251" s="413" t="s">
        <v>24</v>
      </c>
      <c r="E251" s="49">
        <v>0.59722222222222221</v>
      </c>
      <c r="F251" s="49">
        <v>0.79166666666666663</v>
      </c>
      <c r="G251" s="93">
        <f t="shared" si="84"/>
        <v>0.19444444444444442</v>
      </c>
      <c r="H251" s="555">
        <f t="shared" si="94"/>
        <v>2.0833333333333259E-2</v>
      </c>
      <c r="I251" s="556">
        <f t="shared" si="85"/>
        <v>1</v>
      </c>
      <c r="J251" s="94">
        <f t="shared" si="86"/>
        <v>0</v>
      </c>
      <c r="K251" s="32">
        <f t="shared" si="87"/>
        <v>0</v>
      </c>
      <c r="L251" s="95" t="str">
        <f t="shared" si="88"/>
        <v/>
      </c>
      <c r="M251" s="96">
        <f t="shared" si="89"/>
        <v>0</v>
      </c>
      <c r="N251" s="97">
        <f>IF(M251=0,0,IF(SUM($M$5:M251)&gt;251,1,0))</f>
        <v>0</v>
      </c>
      <c r="O251" s="162">
        <v>40</v>
      </c>
      <c r="P251" s="163">
        <v>1</v>
      </c>
      <c r="Q251" s="98"/>
      <c r="R251" s="415" t="s">
        <v>543</v>
      </c>
      <c r="S251" s="99" t="str">
        <f t="shared" si="101"/>
        <v>放課後児童支援員</v>
      </c>
      <c r="T251" s="100" t="str">
        <f t="shared" si="95"/>
        <v>対象</v>
      </c>
      <c r="U251" s="418" t="s">
        <v>539</v>
      </c>
      <c r="V251" s="99" t="str">
        <f t="shared" si="102"/>
        <v>放課後児童支援員</v>
      </c>
      <c r="W251" s="100" t="str">
        <f t="shared" si="96"/>
        <v>対象</v>
      </c>
      <c r="X251" s="418" t="s">
        <v>546</v>
      </c>
      <c r="Y251" s="99" t="str">
        <f t="shared" si="103"/>
        <v>放課後児童支援員</v>
      </c>
      <c r="Z251" s="100" t="str">
        <f t="shared" si="97"/>
        <v>対象</v>
      </c>
      <c r="AA251" s="418"/>
      <c r="AB251" s="99">
        <f t="shared" si="104"/>
        <v>0</v>
      </c>
      <c r="AC251" s="100">
        <f t="shared" si="98"/>
        <v>0</v>
      </c>
      <c r="AD251" s="418"/>
      <c r="AE251" s="99">
        <f t="shared" si="105"/>
        <v>0</v>
      </c>
      <c r="AF251" s="100">
        <f t="shared" si="99"/>
        <v>0</v>
      </c>
      <c r="AG251" s="351" t="str">
        <f t="shared" si="100"/>
        <v/>
      </c>
      <c r="AH251" s="272" t="str">
        <f t="shared" si="90"/>
        <v/>
      </c>
      <c r="AI251" s="358" t="str">
        <f t="shared" si="91"/>
        <v/>
      </c>
      <c r="AJ251" s="272" t="str">
        <f t="shared" si="92"/>
        <v/>
      </c>
      <c r="AK251" s="361" t="str">
        <f t="shared" si="93"/>
        <v/>
      </c>
      <c r="AL251" s="11"/>
      <c r="AM251" s="11"/>
      <c r="AN251" s="11"/>
    </row>
    <row r="252" spans="1:40" ht="14.25">
      <c r="A252" s="787"/>
      <c r="B252" s="31" t="s">
        <v>175</v>
      </c>
      <c r="C252" s="184" t="s">
        <v>120</v>
      </c>
      <c r="D252" s="413" t="s">
        <v>24</v>
      </c>
      <c r="E252" s="49">
        <v>0.54861111111111105</v>
      </c>
      <c r="F252" s="49">
        <v>0.79166666666666663</v>
      </c>
      <c r="G252" s="93">
        <f t="shared" si="84"/>
        <v>0.24305555555555558</v>
      </c>
      <c r="H252" s="555">
        <f t="shared" si="94"/>
        <v>2.0833333333333259E-2</v>
      </c>
      <c r="I252" s="556">
        <f t="shared" si="85"/>
        <v>1</v>
      </c>
      <c r="J252" s="94">
        <f t="shared" si="86"/>
        <v>0</v>
      </c>
      <c r="K252" s="32">
        <f t="shared" si="87"/>
        <v>0</v>
      </c>
      <c r="L252" s="95" t="str">
        <f t="shared" si="88"/>
        <v/>
      </c>
      <c r="M252" s="96">
        <f t="shared" si="89"/>
        <v>0</v>
      </c>
      <c r="N252" s="97">
        <f>IF(M252=0,0,IF(SUM($M$5:M252)&gt;251,1,0))</f>
        <v>0</v>
      </c>
      <c r="O252" s="162">
        <v>40</v>
      </c>
      <c r="P252" s="163">
        <v>1</v>
      </c>
      <c r="Q252" s="98"/>
      <c r="R252" s="415" t="s">
        <v>543</v>
      </c>
      <c r="S252" s="99" t="str">
        <f t="shared" si="101"/>
        <v>放課後児童支援員</v>
      </c>
      <c r="T252" s="100" t="str">
        <f t="shared" si="95"/>
        <v>対象</v>
      </c>
      <c r="U252" s="418" t="s">
        <v>539</v>
      </c>
      <c r="V252" s="99" t="str">
        <f t="shared" si="102"/>
        <v>放課後児童支援員</v>
      </c>
      <c r="W252" s="100" t="str">
        <f t="shared" si="96"/>
        <v>対象</v>
      </c>
      <c r="X252" s="418" t="s">
        <v>546</v>
      </c>
      <c r="Y252" s="99" t="str">
        <f t="shared" si="103"/>
        <v>放課後児童支援員</v>
      </c>
      <c r="Z252" s="100" t="str">
        <f t="shared" si="97"/>
        <v>対象</v>
      </c>
      <c r="AA252" s="418"/>
      <c r="AB252" s="99">
        <f t="shared" si="104"/>
        <v>0</v>
      </c>
      <c r="AC252" s="100">
        <f t="shared" si="98"/>
        <v>0</v>
      </c>
      <c r="AD252" s="418"/>
      <c r="AE252" s="99">
        <f t="shared" si="105"/>
        <v>0</v>
      </c>
      <c r="AF252" s="100">
        <f t="shared" si="99"/>
        <v>0</v>
      </c>
      <c r="AG252" s="351" t="str">
        <f t="shared" si="100"/>
        <v/>
      </c>
      <c r="AH252" s="272" t="str">
        <f t="shared" si="90"/>
        <v/>
      </c>
      <c r="AI252" s="358" t="str">
        <f t="shared" si="91"/>
        <v/>
      </c>
      <c r="AJ252" s="272" t="str">
        <f t="shared" si="92"/>
        <v/>
      </c>
      <c r="AK252" s="361" t="str">
        <f t="shared" si="93"/>
        <v/>
      </c>
      <c r="AL252" s="11"/>
      <c r="AM252" s="11"/>
      <c r="AN252" s="11"/>
    </row>
    <row r="253" spans="1:40" ht="14.25">
      <c r="A253" s="787"/>
      <c r="B253" s="31" t="s">
        <v>176</v>
      </c>
      <c r="C253" s="184" t="s">
        <v>121</v>
      </c>
      <c r="D253" s="413" t="s">
        <v>24</v>
      </c>
      <c r="E253" s="49">
        <v>0.59722222222222221</v>
      </c>
      <c r="F253" s="49">
        <v>0.80555555555555547</v>
      </c>
      <c r="G253" s="93">
        <f t="shared" si="84"/>
        <v>0.20833333333333326</v>
      </c>
      <c r="H253" s="555">
        <f t="shared" si="94"/>
        <v>3.4722222222222099E-2</v>
      </c>
      <c r="I253" s="556">
        <f t="shared" si="85"/>
        <v>1</v>
      </c>
      <c r="J253" s="94">
        <f t="shared" si="86"/>
        <v>0</v>
      </c>
      <c r="K253" s="32">
        <f t="shared" si="87"/>
        <v>0</v>
      </c>
      <c r="L253" s="95" t="str">
        <f t="shared" si="88"/>
        <v/>
      </c>
      <c r="M253" s="96">
        <f t="shared" si="89"/>
        <v>0</v>
      </c>
      <c r="N253" s="97">
        <f>IF(M253=0,0,IF(SUM($M$5:M253)&gt;251,1,0))</f>
        <v>0</v>
      </c>
      <c r="O253" s="162">
        <v>40</v>
      </c>
      <c r="P253" s="163">
        <v>1</v>
      </c>
      <c r="Q253" s="98"/>
      <c r="R253" s="415" t="s">
        <v>543</v>
      </c>
      <c r="S253" s="99" t="str">
        <f t="shared" si="101"/>
        <v>放課後児童支援員</v>
      </c>
      <c r="T253" s="100" t="str">
        <f t="shared" si="95"/>
        <v>対象</v>
      </c>
      <c r="U253" s="418" t="s">
        <v>539</v>
      </c>
      <c r="V253" s="99" t="str">
        <f t="shared" si="102"/>
        <v>放課後児童支援員</v>
      </c>
      <c r="W253" s="100" t="str">
        <f t="shared" si="96"/>
        <v>対象</v>
      </c>
      <c r="X253" s="418" t="s">
        <v>546</v>
      </c>
      <c r="Y253" s="99" t="str">
        <f t="shared" si="103"/>
        <v>放課後児童支援員</v>
      </c>
      <c r="Z253" s="100" t="str">
        <f t="shared" si="97"/>
        <v>対象</v>
      </c>
      <c r="AA253" s="418"/>
      <c r="AB253" s="99">
        <f t="shared" si="104"/>
        <v>0</v>
      </c>
      <c r="AC253" s="100">
        <f t="shared" si="98"/>
        <v>0</v>
      </c>
      <c r="AD253" s="418"/>
      <c r="AE253" s="99">
        <f t="shared" si="105"/>
        <v>0</v>
      </c>
      <c r="AF253" s="100">
        <f t="shared" si="99"/>
        <v>0</v>
      </c>
      <c r="AG253" s="351" t="str">
        <f t="shared" si="100"/>
        <v/>
      </c>
      <c r="AH253" s="272" t="str">
        <f t="shared" si="90"/>
        <v/>
      </c>
      <c r="AI253" s="358" t="str">
        <f t="shared" si="91"/>
        <v/>
      </c>
      <c r="AJ253" s="272" t="str">
        <f t="shared" si="92"/>
        <v/>
      </c>
      <c r="AK253" s="361" t="str">
        <f t="shared" si="93"/>
        <v/>
      </c>
      <c r="AL253" s="11"/>
      <c r="AM253" s="11"/>
      <c r="AN253" s="11"/>
    </row>
    <row r="254" spans="1:40" ht="14.25">
      <c r="A254" s="787"/>
      <c r="B254" s="31" t="s">
        <v>177</v>
      </c>
      <c r="C254" s="184" t="s">
        <v>122</v>
      </c>
      <c r="D254" s="413" t="s">
        <v>171</v>
      </c>
      <c r="E254" s="49">
        <v>0.33333333333333331</v>
      </c>
      <c r="F254" s="49">
        <v>0.6875</v>
      </c>
      <c r="G254" s="93">
        <f t="shared" si="84"/>
        <v>0.35416666666666669</v>
      </c>
      <c r="H254" s="555" t="str">
        <f t="shared" si="94"/>
        <v>0:00</v>
      </c>
      <c r="I254" s="556">
        <f t="shared" si="85"/>
        <v>0</v>
      </c>
      <c r="J254" s="94">
        <f t="shared" si="86"/>
        <v>2.083333333333337E-2</v>
      </c>
      <c r="K254" s="32">
        <f t="shared" si="87"/>
        <v>1</v>
      </c>
      <c r="L254" s="95" t="str">
        <f t="shared" si="88"/>
        <v/>
      </c>
      <c r="M254" s="96">
        <f t="shared" si="89"/>
        <v>1</v>
      </c>
      <c r="N254" s="97">
        <f>IF(M254=0,0,IF(SUM($M$5:M254)&gt;251,1,0))</f>
        <v>0</v>
      </c>
      <c r="O254" s="162">
        <v>5</v>
      </c>
      <c r="P254" s="163">
        <v>0</v>
      </c>
      <c r="Q254" s="98"/>
      <c r="R254" s="415" t="s">
        <v>543</v>
      </c>
      <c r="S254" s="516" t="str">
        <f t="shared" si="101"/>
        <v>放課後児童支援員</v>
      </c>
      <c r="T254" s="517" t="str">
        <f t="shared" si="95"/>
        <v>対象</v>
      </c>
      <c r="U254" s="518" t="s">
        <v>539</v>
      </c>
      <c r="V254" s="99" t="str">
        <f t="shared" si="102"/>
        <v>放課後児童支援員</v>
      </c>
      <c r="W254" s="100" t="str">
        <f t="shared" si="96"/>
        <v>対象</v>
      </c>
      <c r="X254" s="418" t="s">
        <v>546</v>
      </c>
      <c r="Y254" s="99" t="str">
        <f t="shared" si="103"/>
        <v>放課後児童支援員</v>
      </c>
      <c r="Z254" s="100" t="str">
        <f t="shared" si="97"/>
        <v>対象</v>
      </c>
      <c r="AA254" s="418"/>
      <c r="AB254" s="99">
        <f t="shared" si="104"/>
        <v>0</v>
      </c>
      <c r="AC254" s="100">
        <f t="shared" si="98"/>
        <v>0</v>
      </c>
      <c r="AD254" s="418"/>
      <c r="AE254" s="99">
        <f t="shared" si="105"/>
        <v>0</v>
      </c>
      <c r="AF254" s="100">
        <f t="shared" si="99"/>
        <v>0</v>
      </c>
      <c r="AG254" s="351" t="str">
        <f t="shared" si="100"/>
        <v/>
      </c>
      <c r="AH254" s="272" t="str">
        <f t="shared" si="90"/>
        <v/>
      </c>
      <c r="AI254" s="358" t="str">
        <f t="shared" si="91"/>
        <v/>
      </c>
      <c r="AJ254" s="272" t="str">
        <f t="shared" si="92"/>
        <v/>
      </c>
      <c r="AK254" s="361" t="str">
        <f t="shared" si="93"/>
        <v/>
      </c>
      <c r="AL254" s="11"/>
      <c r="AM254" s="11"/>
      <c r="AN254" s="11"/>
    </row>
    <row r="255" spans="1:40" ht="14.25">
      <c r="A255" s="787"/>
      <c r="B255" s="31" t="s">
        <v>178</v>
      </c>
      <c r="C255" s="184" t="s">
        <v>183</v>
      </c>
      <c r="D255" s="413" t="s">
        <v>173</v>
      </c>
      <c r="E255" s="49"/>
      <c r="F255" s="49"/>
      <c r="G255" s="93">
        <f t="shared" si="84"/>
        <v>0</v>
      </c>
      <c r="H255" s="555" t="str">
        <f t="shared" si="94"/>
        <v>0:00</v>
      </c>
      <c r="I255" s="556">
        <f t="shared" si="85"/>
        <v>0</v>
      </c>
      <c r="J255" s="94">
        <f t="shared" si="86"/>
        <v>0</v>
      </c>
      <c r="K255" s="32">
        <f t="shared" si="87"/>
        <v>0</v>
      </c>
      <c r="L255" s="95" t="str">
        <f t="shared" si="88"/>
        <v/>
      </c>
      <c r="M255" s="96">
        <f t="shared" si="89"/>
        <v>0</v>
      </c>
      <c r="N255" s="97">
        <f>IF(M255=0,0,IF(SUM($M$5:M255)&gt;251,1,0))</f>
        <v>0</v>
      </c>
      <c r="O255" s="162"/>
      <c r="P255" s="163"/>
      <c r="Q255" s="98"/>
      <c r="R255" s="513"/>
      <c r="S255" s="99">
        <f t="shared" si="101"/>
        <v>0</v>
      </c>
      <c r="T255" s="100">
        <f t="shared" si="95"/>
        <v>0</v>
      </c>
      <c r="U255" s="514"/>
      <c r="V255" s="99">
        <f t="shared" si="102"/>
        <v>0</v>
      </c>
      <c r="W255" s="100">
        <f t="shared" si="96"/>
        <v>0</v>
      </c>
      <c r="X255" s="418"/>
      <c r="Y255" s="99">
        <f t="shared" si="103"/>
        <v>0</v>
      </c>
      <c r="Z255" s="100">
        <f t="shared" si="97"/>
        <v>0</v>
      </c>
      <c r="AA255" s="418"/>
      <c r="AB255" s="99">
        <f t="shared" si="104"/>
        <v>0</v>
      </c>
      <c r="AC255" s="100">
        <f t="shared" si="98"/>
        <v>0</v>
      </c>
      <c r="AD255" s="418"/>
      <c r="AE255" s="99">
        <f t="shared" si="105"/>
        <v>0</v>
      </c>
      <c r="AF255" s="100">
        <f t="shared" si="99"/>
        <v>0</v>
      </c>
      <c r="AG255" s="351" t="str">
        <f t="shared" si="100"/>
        <v/>
      </c>
      <c r="AH255" s="272" t="str">
        <f t="shared" si="90"/>
        <v/>
      </c>
      <c r="AI255" s="358" t="str">
        <f t="shared" si="91"/>
        <v/>
      </c>
      <c r="AJ255" s="272" t="str">
        <f t="shared" si="92"/>
        <v/>
      </c>
      <c r="AK255" s="361" t="str">
        <f t="shared" si="93"/>
        <v/>
      </c>
      <c r="AL255" s="11"/>
      <c r="AM255" s="11"/>
      <c r="AN255" s="11"/>
    </row>
    <row r="256" spans="1:40" ht="14.25">
      <c r="A256" s="787"/>
      <c r="B256" s="31" t="s">
        <v>179</v>
      </c>
      <c r="C256" s="184" t="s">
        <v>118</v>
      </c>
      <c r="D256" s="413" t="s">
        <v>24</v>
      </c>
      <c r="E256" s="49">
        <v>0.59722222222222221</v>
      </c>
      <c r="F256" s="49">
        <v>0.7715277777777777</v>
      </c>
      <c r="G256" s="93">
        <f t="shared" si="84"/>
        <v>0.17430555555555549</v>
      </c>
      <c r="H256" s="555">
        <f t="shared" si="94"/>
        <v>6.9444444444433095E-4</v>
      </c>
      <c r="I256" s="556">
        <f t="shared" si="85"/>
        <v>1</v>
      </c>
      <c r="J256" s="94">
        <f t="shared" si="86"/>
        <v>0</v>
      </c>
      <c r="K256" s="32">
        <f t="shared" si="87"/>
        <v>0</v>
      </c>
      <c r="L256" s="95" t="str">
        <f t="shared" si="88"/>
        <v/>
      </c>
      <c r="M256" s="96">
        <f t="shared" si="89"/>
        <v>0</v>
      </c>
      <c r="N256" s="97">
        <f>IF(M256=0,0,IF(SUM($M$5:M256)&gt;251,1,0))</f>
        <v>0</v>
      </c>
      <c r="O256" s="162">
        <v>40</v>
      </c>
      <c r="P256" s="163">
        <v>1</v>
      </c>
      <c r="Q256" s="98"/>
      <c r="R256" s="415" t="s">
        <v>543</v>
      </c>
      <c r="S256" s="99" t="str">
        <f t="shared" si="101"/>
        <v>放課後児童支援員</v>
      </c>
      <c r="T256" s="100" t="str">
        <f t="shared" si="95"/>
        <v>対象</v>
      </c>
      <c r="U256" s="418" t="s">
        <v>539</v>
      </c>
      <c r="V256" s="99" t="str">
        <f t="shared" si="102"/>
        <v>放課後児童支援員</v>
      </c>
      <c r="W256" s="100" t="str">
        <f t="shared" si="96"/>
        <v>対象</v>
      </c>
      <c r="X256" s="418"/>
      <c r="Y256" s="99">
        <f t="shared" si="103"/>
        <v>0</v>
      </c>
      <c r="Z256" s="100">
        <f t="shared" si="97"/>
        <v>0</v>
      </c>
      <c r="AA256" s="418"/>
      <c r="AB256" s="99">
        <f t="shared" si="104"/>
        <v>0</v>
      </c>
      <c r="AC256" s="100">
        <f t="shared" si="98"/>
        <v>0</v>
      </c>
      <c r="AD256" s="418"/>
      <c r="AE256" s="99">
        <f t="shared" si="105"/>
        <v>0</v>
      </c>
      <c r="AF256" s="100">
        <f t="shared" si="99"/>
        <v>0</v>
      </c>
      <c r="AG256" s="351" t="str">
        <f t="shared" si="100"/>
        <v/>
      </c>
      <c r="AH256" s="272" t="str">
        <f t="shared" si="90"/>
        <v/>
      </c>
      <c r="AI256" s="358" t="str">
        <f t="shared" si="91"/>
        <v/>
      </c>
      <c r="AJ256" s="272" t="str">
        <f t="shared" si="92"/>
        <v/>
      </c>
      <c r="AK256" s="361" t="str">
        <f t="shared" si="93"/>
        <v/>
      </c>
      <c r="AL256" s="11"/>
      <c r="AM256" s="11"/>
      <c r="AN256" s="11"/>
    </row>
    <row r="257" spans="1:40" ht="14.25">
      <c r="A257" s="787"/>
      <c r="B257" s="31" t="s">
        <v>180</v>
      </c>
      <c r="C257" s="184" t="s">
        <v>123</v>
      </c>
      <c r="D257" s="413" t="s">
        <v>24</v>
      </c>
      <c r="E257" s="49">
        <v>0.59722222222222221</v>
      </c>
      <c r="F257" s="49">
        <v>0.79166666666666663</v>
      </c>
      <c r="G257" s="93">
        <f t="shared" si="84"/>
        <v>0.19444444444444442</v>
      </c>
      <c r="H257" s="555">
        <f t="shared" si="94"/>
        <v>2.0833333333333259E-2</v>
      </c>
      <c r="I257" s="556">
        <f t="shared" si="85"/>
        <v>1</v>
      </c>
      <c r="J257" s="94">
        <f t="shared" si="86"/>
        <v>0</v>
      </c>
      <c r="K257" s="32">
        <f t="shared" si="87"/>
        <v>0</v>
      </c>
      <c r="L257" s="95" t="str">
        <f t="shared" si="88"/>
        <v/>
      </c>
      <c r="M257" s="96">
        <f t="shared" si="89"/>
        <v>0</v>
      </c>
      <c r="N257" s="97">
        <f>IF(M257=0,0,IF(SUM($M$5:M257)&gt;251,1,0))</f>
        <v>0</v>
      </c>
      <c r="O257" s="162">
        <v>40</v>
      </c>
      <c r="P257" s="163">
        <v>1</v>
      </c>
      <c r="Q257" s="98"/>
      <c r="R257" s="415" t="s">
        <v>543</v>
      </c>
      <c r="S257" s="99" t="str">
        <f t="shared" si="101"/>
        <v>放課後児童支援員</v>
      </c>
      <c r="T257" s="100" t="str">
        <f t="shared" si="95"/>
        <v>対象</v>
      </c>
      <c r="U257" s="418" t="s">
        <v>539</v>
      </c>
      <c r="V257" s="99" t="str">
        <f t="shared" si="102"/>
        <v>放課後児童支援員</v>
      </c>
      <c r="W257" s="100" t="str">
        <f t="shared" si="96"/>
        <v>対象</v>
      </c>
      <c r="X257" s="418" t="s">
        <v>546</v>
      </c>
      <c r="Y257" s="99" t="str">
        <f t="shared" si="103"/>
        <v>放課後児童支援員</v>
      </c>
      <c r="Z257" s="100" t="str">
        <f t="shared" si="97"/>
        <v>対象</v>
      </c>
      <c r="AA257" s="418"/>
      <c r="AB257" s="99">
        <f t="shared" si="104"/>
        <v>0</v>
      </c>
      <c r="AC257" s="100">
        <f t="shared" si="98"/>
        <v>0</v>
      </c>
      <c r="AD257" s="418"/>
      <c r="AE257" s="99">
        <f t="shared" si="105"/>
        <v>0</v>
      </c>
      <c r="AF257" s="100">
        <f t="shared" si="99"/>
        <v>0</v>
      </c>
      <c r="AG257" s="351" t="str">
        <f t="shared" si="100"/>
        <v/>
      </c>
      <c r="AH257" s="272" t="str">
        <f t="shared" si="90"/>
        <v/>
      </c>
      <c r="AI257" s="358" t="str">
        <f t="shared" si="91"/>
        <v/>
      </c>
      <c r="AJ257" s="272" t="str">
        <f t="shared" si="92"/>
        <v/>
      </c>
      <c r="AK257" s="361" t="str">
        <f t="shared" si="93"/>
        <v/>
      </c>
      <c r="AL257" s="11"/>
      <c r="AM257" s="11"/>
      <c r="AN257" s="11"/>
    </row>
    <row r="258" spans="1:40" ht="14.25">
      <c r="A258" s="787"/>
      <c r="B258" s="31" t="s">
        <v>181</v>
      </c>
      <c r="C258" s="184" t="s">
        <v>119</v>
      </c>
      <c r="D258" s="413" t="s">
        <v>24</v>
      </c>
      <c r="E258" s="49">
        <v>0.59722222222222221</v>
      </c>
      <c r="F258" s="49">
        <v>0.79166666666666663</v>
      </c>
      <c r="G258" s="93">
        <f t="shared" si="84"/>
        <v>0.19444444444444442</v>
      </c>
      <c r="H258" s="555">
        <f t="shared" si="94"/>
        <v>2.0833333333333259E-2</v>
      </c>
      <c r="I258" s="556">
        <f t="shared" si="85"/>
        <v>1</v>
      </c>
      <c r="J258" s="94">
        <f t="shared" si="86"/>
        <v>0</v>
      </c>
      <c r="K258" s="32">
        <f t="shared" si="87"/>
        <v>0</v>
      </c>
      <c r="L258" s="95" t="str">
        <f t="shared" si="88"/>
        <v/>
      </c>
      <c r="M258" s="96">
        <f t="shared" si="89"/>
        <v>0</v>
      </c>
      <c r="N258" s="97">
        <f>IF(M258=0,0,IF(SUM($M$5:M258)&gt;251,1,0))</f>
        <v>0</v>
      </c>
      <c r="O258" s="162">
        <v>40</v>
      </c>
      <c r="P258" s="163">
        <v>1</v>
      </c>
      <c r="Q258" s="98"/>
      <c r="R258" s="415" t="s">
        <v>543</v>
      </c>
      <c r="S258" s="99" t="str">
        <f t="shared" si="101"/>
        <v>放課後児童支援員</v>
      </c>
      <c r="T258" s="100" t="str">
        <f t="shared" si="95"/>
        <v>対象</v>
      </c>
      <c r="U258" s="418" t="s">
        <v>539</v>
      </c>
      <c r="V258" s="99" t="str">
        <f t="shared" si="102"/>
        <v>放課後児童支援員</v>
      </c>
      <c r="W258" s="100" t="str">
        <f t="shared" si="96"/>
        <v>対象</v>
      </c>
      <c r="X258" s="418" t="s">
        <v>546</v>
      </c>
      <c r="Y258" s="99" t="str">
        <f t="shared" si="103"/>
        <v>放課後児童支援員</v>
      </c>
      <c r="Z258" s="100" t="str">
        <f t="shared" si="97"/>
        <v>対象</v>
      </c>
      <c r="AA258" s="418"/>
      <c r="AB258" s="99">
        <f t="shared" si="104"/>
        <v>0</v>
      </c>
      <c r="AC258" s="100">
        <f t="shared" si="98"/>
        <v>0</v>
      </c>
      <c r="AD258" s="418"/>
      <c r="AE258" s="99">
        <f t="shared" si="105"/>
        <v>0</v>
      </c>
      <c r="AF258" s="100">
        <f t="shared" si="99"/>
        <v>0</v>
      </c>
      <c r="AG258" s="351" t="str">
        <f t="shared" si="100"/>
        <v/>
      </c>
      <c r="AH258" s="272" t="str">
        <f t="shared" si="90"/>
        <v/>
      </c>
      <c r="AI258" s="358" t="str">
        <f t="shared" si="91"/>
        <v/>
      </c>
      <c r="AJ258" s="272" t="str">
        <f t="shared" si="92"/>
        <v/>
      </c>
      <c r="AK258" s="361" t="str">
        <f t="shared" si="93"/>
        <v/>
      </c>
      <c r="AL258" s="11"/>
      <c r="AM258" s="11"/>
      <c r="AN258" s="11"/>
    </row>
    <row r="259" spans="1:40" ht="14.25">
      <c r="A259" s="787"/>
      <c r="B259" s="31" t="s">
        <v>182</v>
      </c>
      <c r="C259" s="184" t="s">
        <v>120</v>
      </c>
      <c r="D259" s="413" t="s">
        <v>24</v>
      </c>
      <c r="E259" s="49">
        <v>0.54861111111111105</v>
      </c>
      <c r="F259" s="49">
        <v>0.79166666666666663</v>
      </c>
      <c r="G259" s="93">
        <f t="shared" si="84"/>
        <v>0.24305555555555558</v>
      </c>
      <c r="H259" s="555">
        <f t="shared" si="94"/>
        <v>2.0833333333333259E-2</v>
      </c>
      <c r="I259" s="556">
        <f t="shared" si="85"/>
        <v>1</v>
      </c>
      <c r="J259" s="94">
        <f t="shared" si="86"/>
        <v>0</v>
      </c>
      <c r="K259" s="32">
        <f t="shared" si="87"/>
        <v>0</v>
      </c>
      <c r="L259" s="95" t="str">
        <f t="shared" si="88"/>
        <v/>
      </c>
      <c r="M259" s="96">
        <f t="shared" si="89"/>
        <v>0</v>
      </c>
      <c r="N259" s="97">
        <f>IF(M259=0,0,IF(SUM($M$5:M259)&gt;251,1,0))</f>
        <v>0</v>
      </c>
      <c r="O259" s="162">
        <v>40</v>
      </c>
      <c r="P259" s="163">
        <v>1</v>
      </c>
      <c r="Q259" s="98"/>
      <c r="R259" s="415" t="s">
        <v>543</v>
      </c>
      <c r="S259" s="99" t="str">
        <f t="shared" si="101"/>
        <v>放課後児童支援員</v>
      </c>
      <c r="T259" s="100" t="str">
        <f t="shared" si="95"/>
        <v>対象</v>
      </c>
      <c r="U259" s="418" t="s">
        <v>539</v>
      </c>
      <c r="V259" s="99" t="str">
        <f t="shared" si="102"/>
        <v>放課後児童支援員</v>
      </c>
      <c r="W259" s="100" t="str">
        <f t="shared" si="96"/>
        <v>対象</v>
      </c>
      <c r="X259" s="418" t="s">
        <v>546</v>
      </c>
      <c r="Y259" s="99" t="str">
        <f t="shared" si="103"/>
        <v>放課後児童支援員</v>
      </c>
      <c r="Z259" s="100" t="str">
        <f t="shared" si="97"/>
        <v>対象</v>
      </c>
      <c r="AA259" s="418"/>
      <c r="AB259" s="99">
        <f t="shared" si="104"/>
        <v>0</v>
      </c>
      <c r="AC259" s="100">
        <f t="shared" si="98"/>
        <v>0</v>
      </c>
      <c r="AD259" s="418"/>
      <c r="AE259" s="99">
        <f t="shared" si="105"/>
        <v>0</v>
      </c>
      <c r="AF259" s="100">
        <f t="shared" si="99"/>
        <v>0</v>
      </c>
      <c r="AG259" s="351" t="str">
        <f t="shared" si="100"/>
        <v/>
      </c>
      <c r="AH259" s="272" t="str">
        <f t="shared" si="90"/>
        <v/>
      </c>
      <c r="AI259" s="358" t="str">
        <f t="shared" si="91"/>
        <v/>
      </c>
      <c r="AJ259" s="272" t="str">
        <f t="shared" si="92"/>
        <v/>
      </c>
      <c r="AK259" s="361" t="str">
        <f t="shared" si="93"/>
        <v/>
      </c>
      <c r="AL259" s="11"/>
      <c r="AM259" s="11"/>
      <c r="AN259" s="11"/>
    </row>
    <row r="260" spans="1:40" ht="14.25">
      <c r="A260" s="787"/>
      <c r="B260" s="31" t="s">
        <v>184</v>
      </c>
      <c r="C260" s="184" t="s">
        <v>121</v>
      </c>
      <c r="D260" s="413" t="s">
        <v>24</v>
      </c>
      <c r="E260" s="49">
        <v>0.59722222222222221</v>
      </c>
      <c r="F260" s="49">
        <v>0.80555555555555547</v>
      </c>
      <c r="G260" s="93">
        <f t="shared" si="84"/>
        <v>0.20833333333333326</v>
      </c>
      <c r="H260" s="555">
        <f t="shared" si="94"/>
        <v>3.4722222222222099E-2</v>
      </c>
      <c r="I260" s="556">
        <f t="shared" si="85"/>
        <v>1</v>
      </c>
      <c r="J260" s="94">
        <f t="shared" si="86"/>
        <v>0</v>
      </c>
      <c r="K260" s="32">
        <f t="shared" si="87"/>
        <v>0</v>
      </c>
      <c r="L260" s="95" t="str">
        <f t="shared" si="88"/>
        <v/>
      </c>
      <c r="M260" s="96">
        <f t="shared" si="89"/>
        <v>0</v>
      </c>
      <c r="N260" s="97">
        <f>IF(M260=0,0,IF(SUM($M$5:M260)&gt;251,1,0))</f>
        <v>0</v>
      </c>
      <c r="O260" s="162">
        <v>40</v>
      </c>
      <c r="P260" s="163">
        <v>1</v>
      </c>
      <c r="Q260" s="98"/>
      <c r="R260" s="415" t="s">
        <v>543</v>
      </c>
      <c r="S260" s="99" t="str">
        <f t="shared" si="101"/>
        <v>放課後児童支援員</v>
      </c>
      <c r="T260" s="100" t="str">
        <f t="shared" si="95"/>
        <v>対象</v>
      </c>
      <c r="U260" s="418" t="s">
        <v>539</v>
      </c>
      <c r="V260" s="99" t="str">
        <f t="shared" si="102"/>
        <v>放課後児童支援員</v>
      </c>
      <c r="W260" s="100" t="str">
        <f t="shared" si="96"/>
        <v>対象</v>
      </c>
      <c r="X260" s="418" t="s">
        <v>546</v>
      </c>
      <c r="Y260" s="99" t="str">
        <f t="shared" si="103"/>
        <v>放課後児童支援員</v>
      </c>
      <c r="Z260" s="100" t="str">
        <f t="shared" si="97"/>
        <v>対象</v>
      </c>
      <c r="AA260" s="418"/>
      <c r="AB260" s="99">
        <f t="shared" si="104"/>
        <v>0</v>
      </c>
      <c r="AC260" s="100">
        <f t="shared" si="98"/>
        <v>0</v>
      </c>
      <c r="AD260" s="418"/>
      <c r="AE260" s="99">
        <f t="shared" si="105"/>
        <v>0</v>
      </c>
      <c r="AF260" s="100">
        <f t="shared" si="99"/>
        <v>0</v>
      </c>
      <c r="AG260" s="351" t="str">
        <f t="shared" si="100"/>
        <v/>
      </c>
      <c r="AH260" s="272" t="str">
        <f t="shared" si="90"/>
        <v/>
      </c>
      <c r="AI260" s="358" t="str">
        <f t="shared" si="91"/>
        <v/>
      </c>
      <c r="AJ260" s="272" t="str">
        <f t="shared" si="92"/>
        <v/>
      </c>
      <c r="AK260" s="361" t="str">
        <f t="shared" si="93"/>
        <v/>
      </c>
      <c r="AL260" s="11"/>
      <c r="AM260" s="11"/>
      <c r="AN260" s="11"/>
    </row>
    <row r="261" spans="1:40" ht="14.25">
      <c r="A261" s="787"/>
      <c r="B261" s="31" t="s">
        <v>185</v>
      </c>
      <c r="C261" s="184" t="s">
        <v>122</v>
      </c>
      <c r="D261" s="413" t="s">
        <v>171</v>
      </c>
      <c r="E261" s="49">
        <v>0.33333333333333331</v>
      </c>
      <c r="F261" s="49">
        <v>0.6875</v>
      </c>
      <c r="G261" s="93">
        <f t="shared" ref="G261:G324" si="106">F261-E261</f>
        <v>0.35416666666666669</v>
      </c>
      <c r="H261" s="555" t="str">
        <f t="shared" si="94"/>
        <v>0:00</v>
      </c>
      <c r="I261" s="556">
        <f t="shared" ref="I261:I324" si="107">IF(ISNUMBER(SEARCH("平日", D261)), 1, 0)</f>
        <v>0</v>
      </c>
      <c r="J261" s="94">
        <f t="shared" ref="J261:J324" si="108">IF(D261="土・日・祝・長期休暇",MAX(G261-TIME(8,0,0),0),0)</f>
        <v>2.083333333333337E-2</v>
      </c>
      <c r="K261" s="32">
        <f t="shared" ref="K261:K324" si="109">IF(ISNUMBER(SEARCH("長期", D261)), 1, 0)</f>
        <v>1</v>
      </c>
      <c r="L261" s="95" t="str">
        <f t="shared" ref="L261:L324" si="110">IF(D261="休所",IF(E261&lt;&gt;"","入力にエラーがあります",""),"")</f>
        <v/>
      </c>
      <c r="M261" s="96">
        <f t="shared" ref="M261:M324" si="111">IF(OR(D261="休所",D261="",D261="平日：開所とみなす閉所"),0,IF(OR(G261-TIME(7,59,59)&gt;0,D261="土日祝長期：開所とみなす閉所"),1,0))</f>
        <v>1</v>
      </c>
      <c r="N261" s="97">
        <f>IF(M261=0,0,IF(SUM($M$5:M261)&gt;251,1,0))</f>
        <v>0</v>
      </c>
      <c r="O261" s="162">
        <v>5</v>
      </c>
      <c r="P261" s="163">
        <v>0</v>
      </c>
      <c r="Q261" s="98"/>
      <c r="R261" s="415" t="s">
        <v>543</v>
      </c>
      <c r="S261" s="99" t="str">
        <f t="shared" si="101"/>
        <v>放課後児童支援員</v>
      </c>
      <c r="T261" s="100" t="str">
        <f t="shared" si="95"/>
        <v>対象</v>
      </c>
      <c r="U261" s="418" t="s">
        <v>539</v>
      </c>
      <c r="V261" s="99" t="str">
        <f t="shared" si="102"/>
        <v>放課後児童支援員</v>
      </c>
      <c r="W261" s="100" t="str">
        <f t="shared" si="96"/>
        <v>対象</v>
      </c>
      <c r="X261" s="418" t="s">
        <v>546</v>
      </c>
      <c r="Y261" s="99" t="str">
        <f t="shared" si="103"/>
        <v>放課後児童支援員</v>
      </c>
      <c r="Z261" s="100" t="str">
        <f t="shared" si="97"/>
        <v>対象</v>
      </c>
      <c r="AA261" s="418"/>
      <c r="AB261" s="99">
        <f t="shared" si="104"/>
        <v>0</v>
      </c>
      <c r="AC261" s="100">
        <f t="shared" si="98"/>
        <v>0</v>
      </c>
      <c r="AD261" s="418"/>
      <c r="AE261" s="99">
        <f t="shared" si="105"/>
        <v>0</v>
      </c>
      <c r="AF261" s="100">
        <f t="shared" si="99"/>
        <v>0</v>
      </c>
      <c r="AG261" s="351" t="str">
        <f t="shared" si="100"/>
        <v/>
      </c>
      <c r="AH261" s="272" t="str">
        <f t="shared" ref="AH261:AH324" si="112">IF(OR(D261=$AL$6,D261=$AL$7,D261=$AL$8),"",IF(P261&gt;0,IF(COUNTIF(R261:AF261,"対象")&gt;0,"","障害児加配対象職員がいません"),""))</f>
        <v/>
      </c>
      <c r="AI261" s="358" t="str">
        <f t="shared" ref="AI261:AI324" si="113">IF(OR(D261=$AL$6, D261=$AL$7, D261=$AL$8), "", IF(P261&gt;2, IF(COUNTIF(R261:AF261, "対象")&lt;=1, IF(AA261&lt;&gt;"", "", "障害児が３名以上いますが、職員の配置が３名以下です(強化加算対象外)"), IF(AA261&lt;&gt;"", "", "障害児が３名以上いますが、職員の配置が３名以下です(強化加算対象外)")), ""))</f>
        <v/>
      </c>
      <c r="AJ261" s="272" t="str">
        <f t="shared" ref="AJ261:AJ324" si="114">IF(AND(D261="平日", G261*24&lt;3), "平日は3時間以上開所", IF(AND(D261="土・日・祝・長期休暇", G261*24&lt;8), "学校の休業日は8時間以上開所", ""))</f>
        <v/>
      </c>
      <c r="AK261" s="361" t="str">
        <f t="shared" ref="AK261:AK324" si="115">IF(AND(OR(D261="平日", D261="土・日・祝・長期休暇"), OR(O261="")), "児童数が入力されていません！", "")</f>
        <v/>
      </c>
      <c r="AL261" s="11"/>
      <c r="AM261" s="11"/>
      <c r="AN261" s="11"/>
    </row>
    <row r="262" spans="1:40" ht="14.25">
      <c r="A262" s="787"/>
      <c r="B262" s="31" t="s">
        <v>186</v>
      </c>
      <c r="C262" s="184" t="s">
        <v>183</v>
      </c>
      <c r="D262" s="413" t="s">
        <v>173</v>
      </c>
      <c r="E262" s="49"/>
      <c r="F262" s="49"/>
      <c r="G262" s="93">
        <f t="shared" si="106"/>
        <v>0</v>
      </c>
      <c r="H262" s="555" t="str">
        <f t="shared" ref="H262:H325" si="116">IF(AND(D262="平日", F262&gt;TIME(18,30,0)), (F262-TIME(18,30,0))*1440/1440, "0:00")</f>
        <v>0:00</v>
      </c>
      <c r="I262" s="556">
        <f t="shared" si="107"/>
        <v>0</v>
      </c>
      <c r="J262" s="94">
        <f t="shared" si="108"/>
        <v>0</v>
      </c>
      <c r="K262" s="32">
        <f t="shared" si="109"/>
        <v>0</v>
      </c>
      <c r="L262" s="95" t="str">
        <f t="shared" si="110"/>
        <v/>
      </c>
      <c r="M262" s="96">
        <f t="shared" si="111"/>
        <v>0</v>
      </c>
      <c r="N262" s="97">
        <f>IF(M262=0,0,IF(SUM($M$5:M262)&gt;251,1,0))</f>
        <v>0</v>
      </c>
      <c r="O262" s="162"/>
      <c r="P262" s="163"/>
      <c r="Q262" s="98"/>
      <c r="R262" s="415"/>
      <c r="S262" s="99">
        <f t="shared" si="101"/>
        <v>0</v>
      </c>
      <c r="T262" s="100">
        <f t="shared" ref="T262:T325" si="117">VLOOKUP(R262,$AM$12:$AO$31,3,FALSE)</f>
        <v>0</v>
      </c>
      <c r="U262" s="418"/>
      <c r="V262" s="99">
        <f t="shared" si="102"/>
        <v>0</v>
      </c>
      <c r="W262" s="100">
        <f t="shared" ref="W262:W325" si="118">VLOOKUP(U262,$AM$12:$AO$31,3,FALSE)</f>
        <v>0</v>
      </c>
      <c r="X262" s="418"/>
      <c r="Y262" s="99">
        <f t="shared" si="103"/>
        <v>0</v>
      </c>
      <c r="Z262" s="100">
        <f t="shared" ref="Z262:Z325" si="119">VLOOKUP(X262,$AM$12:$AO$31,3,FALSE)</f>
        <v>0</v>
      </c>
      <c r="AA262" s="418"/>
      <c r="AB262" s="99">
        <f t="shared" si="104"/>
        <v>0</v>
      </c>
      <c r="AC262" s="100">
        <f t="shared" ref="AC262:AC325" si="120">VLOOKUP(AA262,$AM$12:$AO$31,3,FALSE)</f>
        <v>0</v>
      </c>
      <c r="AD262" s="418"/>
      <c r="AE262" s="99">
        <f t="shared" si="105"/>
        <v>0</v>
      </c>
      <c r="AF262" s="100">
        <f t="shared" ref="AF262:AF325" si="121">VLOOKUP(AD262,$AM$12:$AO$31,3,FALSE)</f>
        <v>0</v>
      </c>
      <c r="AG262" s="351" t="str">
        <f t="shared" ref="AG262:AG325" si="122">IF(OR(D262=$AL$6,D262=$AL$7,D262=$AL$8,D262=""),"",IF(COUNTIF(R262:AF262,"*支援員*")&gt;0,"","支援員がいません！"))</f>
        <v/>
      </c>
      <c r="AH262" s="272" t="str">
        <f t="shared" si="112"/>
        <v/>
      </c>
      <c r="AI262" s="358" t="str">
        <f t="shared" si="113"/>
        <v/>
      </c>
      <c r="AJ262" s="272" t="str">
        <f t="shared" si="114"/>
        <v/>
      </c>
      <c r="AK262" s="361" t="str">
        <f t="shared" si="115"/>
        <v/>
      </c>
      <c r="AL262" s="11"/>
      <c r="AM262" s="11"/>
      <c r="AN262" s="11"/>
    </row>
    <row r="263" spans="1:40" ht="14.25">
      <c r="A263" s="787"/>
      <c r="B263" s="31" t="s">
        <v>187</v>
      </c>
      <c r="C263" s="184" t="s">
        <v>118</v>
      </c>
      <c r="D263" s="413" t="s">
        <v>24</v>
      </c>
      <c r="E263" s="49">
        <v>0.59722222222222221</v>
      </c>
      <c r="F263" s="49">
        <v>0.7715277777777777</v>
      </c>
      <c r="G263" s="93">
        <f t="shared" si="106"/>
        <v>0.17430555555555549</v>
      </c>
      <c r="H263" s="555">
        <f t="shared" si="116"/>
        <v>6.9444444444433095E-4</v>
      </c>
      <c r="I263" s="556">
        <f t="shared" si="107"/>
        <v>1</v>
      </c>
      <c r="J263" s="94">
        <f t="shared" si="108"/>
        <v>0</v>
      </c>
      <c r="K263" s="32">
        <f t="shared" si="109"/>
        <v>0</v>
      </c>
      <c r="L263" s="95" t="str">
        <f t="shared" si="110"/>
        <v/>
      </c>
      <c r="M263" s="96">
        <f t="shared" si="111"/>
        <v>0</v>
      </c>
      <c r="N263" s="97">
        <f>IF(M263=0,0,IF(SUM($M$5:M263)&gt;251,1,0))</f>
        <v>0</v>
      </c>
      <c r="O263" s="162">
        <v>40</v>
      </c>
      <c r="P263" s="163">
        <v>1</v>
      </c>
      <c r="Q263" s="98"/>
      <c r="R263" s="415" t="s">
        <v>543</v>
      </c>
      <c r="S263" s="99" t="str">
        <f t="shared" ref="S263:S326" si="123">VLOOKUP(R263,$AM$12:$AN$31,2,FALSE)</f>
        <v>放課後児童支援員</v>
      </c>
      <c r="T263" s="100" t="str">
        <f t="shared" si="117"/>
        <v>対象</v>
      </c>
      <c r="U263" s="418" t="s">
        <v>539</v>
      </c>
      <c r="V263" s="99" t="str">
        <f t="shared" ref="V263:V326" si="124">VLOOKUP(U263,$AM$12:$AN$31,2,FALSE)</f>
        <v>放課後児童支援員</v>
      </c>
      <c r="W263" s="100" t="str">
        <f t="shared" si="118"/>
        <v>対象</v>
      </c>
      <c r="X263" s="418"/>
      <c r="Y263" s="99">
        <f t="shared" ref="Y263:Y326" si="125">VLOOKUP(X263,$AM$12:$AN$31,2,FALSE)</f>
        <v>0</v>
      </c>
      <c r="Z263" s="100">
        <f t="shared" si="119"/>
        <v>0</v>
      </c>
      <c r="AA263" s="418"/>
      <c r="AB263" s="99">
        <f t="shared" ref="AB263:AB326" si="126">VLOOKUP(AA263,$AM$12:$AN$31,2,FALSE)</f>
        <v>0</v>
      </c>
      <c r="AC263" s="100">
        <f t="shared" si="120"/>
        <v>0</v>
      </c>
      <c r="AD263" s="418"/>
      <c r="AE263" s="99">
        <f t="shared" ref="AE263:AE326" si="127">VLOOKUP(AD263,$AM$12:$AN$31,2,FALSE)</f>
        <v>0</v>
      </c>
      <c r="AF263" s="100">
        <f t="shared" si="121"/>
        <v>0</v>
      </c>
      <c r="AG263" s="351" t="str">
        <f t="shared" si="122"/>
        <v/>
      </c>
      <c r="AH263" s="272" t="str">
        <f t="shared" si="112"/>
        <v/>
      </c>
      <c r="AI263" s="358" t="str">
        <f t="shared" si="113"/>
        <v/>
      </c>
      <c r="AJ263" s="272" t="str">
        <f t="shared" si="114"/>
        <v/>
      </c>
      <c r="AK263" s="361" t="str">
        <f t="shared" si="115"/>
        <v/>
      </c>
      <c r="AL263" s="11"/>
      <c r="AM263" s="11"/>
      <c r="AN263" s="11"/>
    </row>
    <row r="264" spans="1:40" ht="14.25">
      <c r="A264" s="787"/>
      <c r="B264" s="31" t="s">
        <v>188</v>
      </c>
      <c r="C264" s="184" t="s">
        <v>123</v>
      </c>
      <c r="D264" s="413" t="s">
        <v>24</v>
      </c>
      <c r="E264" s="49">
        <v>0.59722222222222221</v>
      </c>
      <c r="F264" s="49">
        <v>0.79166666666666663</v>
      </c>
      <c r="G264" s="93">
        <f t="shared" si="106"/>
        <v>0.19444444444444442</v>
      </c>
      <c r="H264" s="555">
        <f t="shared" si="116"/>
        <v>2.0833333333333259E-2</v>
      </c>
      <c r="I264" s="556">
        <f t="shared" si="107"/>
        <v>1</v>
      </c>
      <c r="J264" s="94">
        <f t="shared" si="108"/>
        <v>0</v>
      </c>
      <c r="K264" s="32">
        <f t="shared" si="109"/>
        <v>0</v>
      </c>
      <c r="L264" s="95" t="str">
        <f t="shared" si="110"/>
        <v/>
      </c>
      <c r="M264" s="96">
        <f t="shared" si="111"/>
        <v>0</v>
      </c>
      <c r="N264" s="97">
        <f>IF(M264=0,0,IF(SUM($M$5:M264)&gt;251,1,0))</f>
        <v>0</v>
      </c>
      <c r="O264" s="162">
        <v>40</v>
      </c>
      <c r="P264" s="163">
        <v>1</v>
      </c>
      <c r="Q264" s="98"/>
      <c r="R264" s="415" t="s">
        <v>543</v>
      </c>
      <c r="S264" s="99" t="str">
        <f t="shared" si="123"/>
        <v>放課後児童支援員</v>
      </c>
      <c r="T264" s="100" t="str">
        <f t="shared" si="117"/>
        <v>対象</v>
      </c>
      <c r="U264" s="418" t="s">
        <v>539</v>
      </c>
      <c r="V264" s="99" t="str">
        <f t="shared" si="124"/>
        <v>放課後児童支援員</v>
      </c>
      <c r="W264" s="100" t="str">
        <f t="shared" si="118"/>
        <v>対象</v>
      </c>
      <c r="X264" s="418" t="s">
        <v>546</v>
      </c>
      <c r="Y264" s="99" t="str">
        <f t="shared" si="125"/>
        <v>放課後児童支援員</v>
      </c>
      <c r="Z264" s="100" t="str">
        <f t="shared" si="119"/>
        <v>対象</v>
      </c>
      <c r="AA264" s="418"/>
      <c r="AB264" s="99">
        <f t="shared" si="126"/>
        <v>0</v>
      </c>
      <c r="AC264" s="100">
        <f t="shared" si="120"/>
        <v>0</v>
      </c>
      <c r="AD264" s="418"/>
      <c r="AE264" s="99">
        <f t="shared" si="127"/>
        <v>0</v>
      </c>
      <c r="AF264" s="100">
        <f t="shared" si="121"/>
        <v>0</v>
      </c>
      <c r="AG264" s="351" t="str">
        <f t="shared" si="122"/>
        <v/>
      </c>
      <c r="AH264" s="272" t="str">
        <f t="shared" si="112"/>
        <v/>
      </c>
      <c r="AI264" s="358" t="str">
        <f t="shared" si="113"/>
        <v/>
      </c>
      <c r="AJ264" s="272" t="str">
        <f t="shared" si="114"/>
        <v/>
      </c>
      <c r="AK264" s="361" t="str">
        <f t="shared" si="115"/>
        <v/>
      </c>
      <c r="AL264" s="11"/>
      <c r="AM264" s="11"/>
      <c r="AN264" s="11"/>
    </row>
    <row r="265" spans="1:40" ht="14.25">
      <c r="A265" s="787"/>
      <c r="B265" s="31" t="s">
        <v>189</v>
      </c>
      <c r="C265" s="184" t="s">
        <v>119</v>
      </c>
      <c r="D265" s="413" t="s">
        <v>24</v>
      </c>
      <c r="E265" s="49">
        <v>0.59722222222222221</v>
      </c>
      <c r="F265" s="49">
        <v>0.79166666666666663</v>
      </c>
      <c r="G265" s="93">
        <f t="shared" si="106"/>
        <v>0.19444444444444442</v>
      </c>
      <c r="H265" s="555">
        <f t="shared" si="116"/>
        <v>2.0833333333333259E-2</v>
      </c>
      <c r="I265" s="556">
        <f t="shared" si="107"/>
        <v>1</v>
      </c>
      <c r="J265" s="94">
        <f t="shared" si="108"/>
        <v>0</v>
      </c>
      <c r="K265" s="32">
        <f t="shared" si="109"/>
        <v>0</v>
      </c>
      <c r="L265" s="95" t="str">
        <f t="shared" si="110"/>
        <v/>
      </c>
      <c r="M265" s="96">
        <f t="shared" si="111"/>
        <v>0</v>
      </c>
      <c r="N265" s="97">
        <f>IF(M265=0,0,IF(SUM($M$5:M265)&gt;251,1,0))</f>
        <v>0</v>
      </c>
      <c r="O265" s="162">
        <v>40</v>
      </c>
      <c r="P265" s="163">
        <v>1</v>
      </c>
      <c r="Q265" s="98"/>
      <c r="R265" s="415" t="s">
        <v>543</v>
      </c>
      <c r="S265" s="99" t="str">
        <f t="shared" si="123"/>
        <v>放課後児童支援員</v>
      </c>
      <c r="T265" s="100" t="str">
        <f t="shared" si="117"/>
        <v>対象</v>
      </c>
      <c r="U265" s="418" t="s">
        <v>539</v>
      </c>
      <c r="V265" s="99" t="str">
        <f t="shared" si="124"/>
        <v>放課後児童支援員</v>
      </c>
      <c r="W265" s="100" t="str">
        <f t="shared" si="118"/>
        <v>対象</v>
      </c>
      <c r="X265" s="418" t="s">
        <v>546</v>
      </c>
      <c r="Y265" s="99" t="str">
        <f t="shared" si="125"/>
        <v>放課後児童支援員</v>
      </c>
      <c r="Z265" s="100" t="str">
        <f t="shared" si="119"/>
        <v>対象</v>
      </c>
      <c r="AA265" s="418"/>
      <c r="AB265" s="99">
        <f t="shared" si="126"/>
        <v>0</v>
      </c>
      <c r="AC265" s="100">
        <f t="shared" si="120"/>
        <v>0</v>
      </c>
      <c r="AD265" s="418"/>
      <c r="AE265" s="99">
        <f t="shared" si="127"/>
        <v>0</v>
      </c>
      <c r="AF265" s="100">
        <f t="shared" si="121"/>
        <v>0</v>
      </c>
      <c r="AG265" s="351" t="str">
        <f t="shared" si="122"/>
        <v/>
      </c>
      <c r="AH265" s="272" t="str">
        <f t="shared" si="112"/>
        <v/>
      </c>
      <c r="AI265" s="358" t="str">
        <f t="shared" si="113"/>
        <v/>
      </c>
      <c r="AJ265" s="272" t="str">
        <f t="shared" si="114"/>
        <v/>
      </c>
      <c r="AK265" s="361" t="str">
        <f t="shared" si="115"/>
        <v/>
      </c>
      <c r="AL265" s="11"/>
      <c r="AM265" s="11"/>
      <c r="AN265" s="11"/>
    </row>
    <row r="266" spans="1:40" ht="14.25">
      <c r="A266" s="787"/>
      <c r="B266" s="31" t="s">
        <v>190</v>
      </c>
      <c r="C266" s="184" t="s">
        <v>120</v>
      </c>
      <c r="D266" s="413" t="s">
        <v>24</v>
      </c>
      <c r="E266" s="49">
        <v>0.54861111111111105</v>
      </c>
      <c r="F266" s="49">
        <v>0.79166666666666663</v>
      </c>
      <c r="G266" s="93">
        <f t="shared" si="106"/>
        <v>0.24305555555555558</v>
      </c>
      <c r="H266" s="555">
        <f t="shared" si="116"/>
        <v>2.0833333333333259E-2</v>
      </c>
      <c r="I266" s="556">
        <f t="shared" si="107"/>
        <v>1</v>
      </c>
      <c r="J266" s="94">
        <f t="shared" si="108"/>
        <v>0</v>
      </c>
      <c r="K266" s="32">
        <f t="shared" si="109"/>
        <v>0</v>
      </c>
      <c r="L266" s="95" t="str">
        <f t="shared" si="110"/>
        <v/>
      </c>
      <c r="M266" s="96">
        <f t="shared" si="111"/>
        <v>0</v>
      </c>
      <c r="N266" s="97">
        <f>IF(M266=0,0,IF(SUM($M$5:M266)&gt;251,1,0))</f>
        <v>0</v>
      </c>
      <c r="O266" s="162">
        <v>40</v>
      </c>
      <c r="P266" s="163">
        <v>1</v>
      </c>
      <c r="Q266" s="98"/>
      <c r="R266" s="415" t="s">
        <v>543</v>
      </c>
      <c r="S266" s="99" t="str">
        <f t="shared" si="123"/>
        <v>放課後児童支援員</v>
      </c>
      <c r="T266" s="100" t="str">
        <f t="shared" si="117"/>
        <v>対象</v>
      </c>
      <c r="U266" s="418" t="s">
        <v>539</v>
      </c>
      <c r="V266" s="99" t="str">
        <f t="shared" si="124"/>
        <v>放課後児童支援員</v>
      </c>
      <c r="W266" s="100" t="str">
        <f t="shared" si="118"/>
        <v>対象</v>
      </c>
      <c r="X266" s="418" t="s">
        <v>546</v>
      </c>
      <c r="Y266" s="99" t="str">
        <f t="shared" si="125"/>
        <v>放課後児童支援員</v>
      </c>
      <c r="Z266" s="100" t="str">
        <f t="shared" si="119"/>
        <v>対象</v>
      </c>
      <c r="AA266" s="418"/>
      <c r="AB266" s="99">
        <f t="shared" si="126"/>
        <v>0</v>
      </c>
      <c r="AC266" s="100">
        <f t="shared" si="120"/>
        <v>0</v>
      </c>
      <c r="AD266" s="418"/>
      <c r="AE266" s="99">
        <f t="shared" si="127"/>
        <v>0</v>
      </c>
      <c r="AF266" s="100">
        <f t="shared" si="121"/>
        <v>0</v>
      </c>
      <c r="AG266" s="351" t="str">
        <f t="shared" si="122"/>
        <v/>
      </c>
      <c r="AH266" s="272" t="str">
        <f t="shared" si="112"/>
        <v/>
      </c>
      <c r="AI266" s="358" t="str">
        <f t="shared" si="113"/>
        <v/>
      </c>
      <c r="AJ266" s="272" t="str">
        <f t="shared" si="114"/>
        <v/>
      </c>
      <c r="AK266" s="361" t="str">
        <f t="shared" si="115"/>
        <v/>
      </c>
      <c r="AL266" s="11"/>
      <c r="AM266" s="11"/>
      <c r="AN266" s="11"/>
    </row>
    <row r="267" spans="1:40" ht="14.25">
      <c r="A267" s="787"/>
      <c r="B267" s="31" t="s">
        <v>191</v>
      </c>
      <c r="C267" s="184" t="s">
        <v>121</v>
      </c>
      <c r="D267" s="413" t="s">
        <v>24</v>
      </c>
      <c r="E267" s="49">
        <v>0.59722222222222221</v>
      </c>
      <c r="F267" s="49">
        <v>0.80555555555555547</v>
      </c>
      <c r="G267" s="93">
        <f t="shared" si="106"/>
        <v>0.20833333333333326</v>
      </c>
      <c r="H267" s="555">
        <f t="shared" si="116"/>
        <v>3.4722222222222099E-2</v>
      </c>
      <c r="I267" s="556">
        <f t="shared" si="107"/>
        <v>1</v>
      </c>
      <c r="J267" s="94">
        <f t="shared" si="108"/>
        <v>0</v>
      </c>
      <c r="K267" s="32">
        <f t="shared" si="109"/>
        <v>0</v>
      </c>
      <c r="L267" s="95" t="str">
        <f t="shared" si="110"/>
        <v/>
      </c>
      <c r="M267" s="96">
        <f t="shared" si="111"/>
        <v>0</v>
      </c>
      <c r="N267" s="97">
        <f>IF(M267=0,0,IF(SUM($M$5:M267)&gt;251,1,0))</f>
        <v>0</v>
      </c>
      <c r="O267" s="162">
        <v>40</v>
      </c>
      <c r="P267" s="163">
        <v>1</v>
      </c>
      <c r="Q267" s="98"/>
      <c r="R267" s="415" t="s">
        <v>543</v>
      </c>
      <c r="S267" s="99" t="str">
        <f t="shared" si="123"/>
        <v>放課後児童支援員</v>
      </c>
      <c r="T267" s="100" t="str">
        <f t="shared" si="117"/>
        <v>対象</v>
      </c>
      <c r="U267" s="418" t="s">
        <v>539</v>
      </c>
      <c r="V267" s="99" t="str">
        <f t="shared" si="124"/>
        <v>放課後児童支援員</v>
      </c>
      <c r="W267" s="100" t="str">
        <f t="shared" si="118"/>
        <v>対象</v>
      </c>
      <c r="X267" s="418" t="s">
        <v>546</v>
      </c>
      <c r="Y267" s="99" t="str">
        <f t="shared" si="125"/>
        <v>放課後児童支援員</v>
      </c>
      <c r="Z267" s="100" t="str">
        <f t="shared" si="119"/>
        <v>対象</v>
      </c>
      <c r="AA267" s="418"/>
      <c r="AB267" s="99">
        <f t="shared" si="126"/>
        <v>0</v>
      </c>
      <c r="AC267" s="100">
        <f t="shared" si="120"/>
        <v>0</v>
      </c>
      <c r="AD267" s="418"/>
      <c r="AE267" s="99">
        <f t="shared" si="127"/>
        <v>0</v>
      </c>
      <c r="AF267" s="100">
        <f t="shared" si="121"/>
        <v>0</v>
      </c>
      <c r="AG267" s="351" t="str">
        <f t="shared" si="122"/>
        <v/>
      </c>
      <c r="AH267" s="272" t="str">
        <f t="shared" si="112"/>
        <v/>
      </c>
      <c r="AI267" s="358" t="str">
        <f t="shared" si="113"/>
        <v/>
      </c>
      <c r="AJ267" s="272" t="str">
        <f t="shared" si="114"/>
        <v/>
      </c>
      <c r="AK267" s="361" t="str">
        <f t="shared" si="115"/>
        <v/>
      </c>
      <c r="AL267" s="11"/>
      <c r="AM267" s="11"/>
      <c r="AN267" s="11"/>
    </row>
    <row r="268" spans="1:40" ht="14.25">
      <c r="A268" s="787"/>
      <c r="B268" s="31" t="s">
        <v>192</v>
      </c>
      <c r="C268" s="184" t="s">
        <v>122</v>
      </c>
      <c r="D268" s="413" t="s">
        <v>171</v>
      </c>
      <c r="E268" s="49">
        <v>0.33333333333333331</v>
      </c>
      <c r="F268" s="49">
        <v>0.6875</v>
      </c>
      <c r="G268" s="93">
        <f t="shared" si="106"/>
        <v>0.35416666666666669</v>
      </c>
      <c r="H268" s="555" t="str">
        <f t="shared" si="116"/>
        <v>0:00</v>
      </c>
      <c r="I268" s="556">
        <f t="shared" si="107"/>
        <v>0</v>
      </c>
      <c r="J268" s="94">
        <f t="shared" si="108"/>
        <v>2.083333333333337E-2</v>
      </c>
      <c r="K268" s="32">
        <f t="shared" si="109"/>
        <v>1</v>
      </c>
      <c r="L268" s="95" t="str">
        <f t="shared" si="110"/>
        <v/>
      </c>
      <c r="M268" s="96">
        <f t="shared" si="111"/>
        <v>1</v>
      </c>
      <c r="N268" s="97">
        <f>IF(M268=0,0,IF(SUM($M$5:M268)&gt;251,1,0))</f>
        <v>0</v>
      </c>
      <c r="O268" s="162">
        <v>5</v>
      </c>
      <c r="P268" s="163">
        <v>0</v>
      </c>
      <c r="Q268" s="98"/>
      <c r="R268" s="415" t="s">
        <v>543</v>
      </c>
      <c r="S268" s="99" t="str">
        <f t="shared" si="123"/>
        <v>放課後児童支援員</v>
      </c>
      <c r="T268" s="100" t="str">
        <f t="shared" si="117"/>
        <v>対象</v>
      </c>
      <c r="U268" s="418" t="s">
        <v>539</v>
      </c>
      <c r="V268" s="99" t="str">
        <f t="shared" si="124"/>
        <v>放課後児童支援員</v>
      </c>
      <c r="W268" s="100" t="str">
        <f t="shared" si="118"/>
        <v>対象</v>
      </c>
      <c r="X268" s="418" t="s">
        <v>546</v>
      </c>
      <c r="Y268" s="99" t="str">
        <f t="shared" si="125"/>
        <v>放課後児童支援員</v>
      </c>
      <c r="Z268" s="100" t="str">
        <f t="shared" si="119"/>
        <v>対象</v>
      </c>
      <c r="AA268" s="418"/>
      <c r="AB268" s="99">
        <f t="shared" si="126"/>
        <v>0</v>
      </c>
      <c r="AC268" s="100">
        <f t="shared" si="120"/>
        <v>0</v>
      </c>
      <c r="AD268" s="418"/>
      <c r="AE268" s="99">
        <f t="shared" si="127"/>
        <v>0</v>
      </c>
      <c r="AF268" s="100">
        <f t="shared" si="121"/>
        <v>0</v>
      </c>
      <c r="AG268" s="351" t="str">
        <f t="shared" si="122"/>
        <v/>
      </c>
      <c r="AH268" s="272" t="str">
        <f t="shared" si="112"/>
        <v/>
      </c>
      <c r="AI268" s="358" t="str">
        <f t="shared" si="113"/>
        <v/>
      </c>
      <c r="AJ268" s="272" t="str">
        <f t="shared" si="114"/>
        <v/>
      </c>
      <c r="AK268" s="361" t="str">
        <f t="shared" si="115"/>
        <v/>
      </c>
      <c r="AL268" s="11"/>
      <c r="AM268" s="11"/>
      <c r="AN268" s="11"/>
    </row>
    <row r="269" spans="1:40" ht="14.25">
      <c r="A269" s="787"/>
      <c r="B269" s="31" t="s">
        <v>193</v>
      </c>
      <c r="C269" s="184" t="s">
        <v>183</v>
      </c>
      <c r="D269" s="413" t="s">
        <v>173</v>
      </c>
      <c r="E269" s="49"/>
      <c r="F269" s="49"/>
      <c r="G269" s="93">
        <f t="shared" si="106"/>
        <v>0</v>
      </c>
      <c r="H269" s="555" t="str">
        <f t="shared" si="116"/>
        <v>0:00</v>
      </c>
      <c r="I269" s="556">
        <f t="shared" si="107"/>
        <v>0</v>
      </c>
      <c r="J269" s="94">
        <f t="shared" si="108"/>
        <v>0</v>
      </c>
      <c r="K269" s="32">
        <f t="shared" si="109"/>
        <v>0</v>
      </c>
      <c r="L269" s="95" t="str">
        <f t="shared" si="110"/>
        <v/>
      </c>
      <c r="M269" s="96">
        <f t="shared" si="111"/>
        <v>0</v>
      </c>
      <c r="N269" s="97">
        <f>IF(M269=0,0,IF(SUM($M$5:M269)&gt;251,1,0))</f>
        <v>0</v>
      </c>
      <c r="O269" s="162"/>
      <c r="P269" s="163"/>
      <c r="Q269" s="98"/>
      <c r="R269" s="415"/>
      <c r="S269" s="99">
        <f t="shared" si="123"/>
        <v>0</v>
      </c>
      <c r="T269" s="100">
        <f t="shared" si="117"/>
        <v>0</v>
      </c>
      <c r="U269" s="418"/>
      <c r="V269" s="99">
        <f t="shared" si="124"/>
        <v>0</v>
      </c>
      <c r="W269" s="100">
        <f t="shared" si="118"/>
        <v>0</v>
      </c>
      <c r="X269" s="418"/>
      <c r="Y269" s="99">
        <f t="shared" si="125"/>
        <v>0</v>
      </c>
      <c r="Z269" s="100">
        <f t="shared" si="119"/>
        <v>0</v>
      </c>
      <c r="AA269" s="418"/>
      <c r="AB269" s="99">
        <f t="shared" si="126"/>
        <v>0</v>
      </c>
      <c r="AC269" s="100">
        <f t="shared" si="120"/>
        <v>0</v>
      </c>
      <c r="AD269" s="418"/>
      <c r="AE269" s="99">
        <f t="shared" si="127"/>
        <v>0</v>
      </c>
      <c r="AF269" s="100">
        <f t="shared" si="121"/>
        <v>0</v>
      </c>
      <c r="AG269" s="351" t="str">
        <f t="shared" si="122"/>
        <v/>
      </c>
      <c r="AH269" s="272" t="str">
        <f t="shared" si="112"/>
        <v/>
      </c>
      <c r="AI269" s="358" t="str">
        <f t="shared" si="113"/>
        <v/>
      </c>
      <c r="AJ269" s="272" t="str">
        <f t="shared" si="114"/>
        <v/>
      </c>
      <c r="AK269" s="361" t="str">
        <f t="shared" si="115"/>
        <v/>
      </c>
      <c r="AL269" s="11"/>
      <c r="AM269" s="11"/>
      <c r="AN269" s="11"/>
    </row>
    <row r="270" spans="1:40" ht="14.25">
      <c r="A270" s="787"/>
      <c r="B270" s="31" t="s">
        <v>194</v>
      </c>
      <c r="C270" s="184" t="s">
        <v>118</v>
      </c>
      <c r="D270" s="413" t="s">
        <v>24</v>
      </c>
      <c r="E270" s="49">
        <v>0.59722222222222221</v>
      </c>
      <c r="F270" s="49">
        <v>0.7715277777777777</v>
      </c>
      <c r="G270" s="93">
        <f t="shared" si="106"/>
        <v>0.17430555555555549</v>
      </c>
      <c r="H270" s="555">
        <f t="shared" si="116"/>
        <v>6.9444444444433095E-4</v>
      </c>
      <c r="I270" s="556">
        <f t="shared" si="107"/>
        <v>1</v>
      </c>
      <c r="J270" s="94">
        <f t="shared" si="108"/>
        <v>0</v>
      </c>
      <c r="K270" s="32">
        <f t="shared" si="109"/>
        <v>0</v>
      </c>
      <c r="L270" s="95" t="str">
        <f t="shared" si="110"/>
        <v/>
      </c>
      <c r="M270" s="96">
        <f t="shared" si="111"/>
        <v>0</v>
      </c>
      <c r="N270" s="97">
        <f>IF(M270=0,0,IF(SUM($M$5:M270)&gt;251,1,0))</f>
        <v>0</v>
      </c>
      <c r="O270" s="162">
        <v>40</v>
      </c>
      <c r="P270" s="163">
        <v>1</v>
      </c>
      <c r="Q270" s="98"/>
      <c r="R270" s="415" t="s">
        <v>543</v>
      </c>
      <c r="S270" s="99" t="str">
        <f t="shared" si="123"/>
        <v>放課後児童支援員</v>
      </c>
      <c r="T270" s="100" t="str">
        <f t="shared" si="117"/>
        <v>対象</v>
      </c>
      <c r="U270" s="418" t="s">
        <v>539</v>
      </c>
      <c r="V270" s="99" t="str">
        <f t="shared" si="124"/>
        <v>放課後児童支援員</v>
      </c>
      <c r="W270" s="100" t="str">
        <f t="shared" si="118"/>
        <v>対象</v>
      </c>
      <c r="X270" s="418"/>
      <c r="Y270" s="99">
        <f t="shared" si="125"/>
        <v>0</v>
      </c>
      <c r="Z270" s="100">
        <f t="shared" si="119"/>
        <v>0</v>
      </c>
      <c r="AA270" s="418"/>
      <c r="AB270" s="99">
        <f t="shared" si="126"/>
        <v>0</v>
      </c>
      <c r="AC270" s="100">
        <f t="shared" si="120"/>
        <v>0</v>
      </c>
      <c r="AD270" s="418"/>
      <c r="AE270" s="99">
        <f t="shared" si="127"/>
        <v>0</v>
      </c>
      <c r="AF270" s="100">
        <f t="shared" si="121"/>
        <v>0</v>
      </c>
      <c r="AG270" s="351" t="str">
        <f t="shared" si="122"/>
        <v/>
      </c>
      <c r="AH270" s="272" t="str">
        <f t="shared" si="112"/>
        <v/>
      </c>
      <c r="AI270" s="358" t="str">
        <f t="shared" si="113"/>
        <v/>
      </c>
      <c r="AJ270" s="272" t="str">
        <f t="shared" si="114"/>
        <v/>
      </c>
      <c r="AK270" s="361" t="str">
        <f t="shared" si="115"/>
        <v/>
      </c>
      <c r="AL270" s="11"/>
      <c r="AM270" s="11"/>
      <c r="AN270" s="11"/>
    </row>
    <row r="271" spans="1:40" ht="14.25">
      <c r="A271" s="787"/>
      <c r="B271" s="31" t="s">
        <v>195</v>
      </c>
      <c r="C271" s="184" t="s">
        <v>123</v>
      </c>
      <c r="D271" s="413" t="s">
        <v>24</v>
      </c>
      <c r="E271" s="49">
        <v>0.59722222222222221</v>
      </c>
      <c r="F271" s="49">
        <v>0.79166666666666663</v>
      </c>
      <c r="G271" s="93">
        <f t="shared" si="106"/>
        <v>0.19444444444444442</v>
      </c>
      <c r="H271" s="555">
        <f t="shared" si="116"/>
        <v>2.0833333333333259E-2</v>
      </c>
      <c r="I271" s="556">
        <f t="shared" si="107"/>
        <v>1</v>
      </c>
      <c r="J271" s="94">
        <f t="shared" si="108"/>
        <v>0</v>
      </c>
      <c r="K271" s="32">
        <f t="shared" si="109"/>
        <v>0</v>
      </c>
      <c r="L271" s="95" t="str">
        <f t="shared" si="110"/>
        <v/>
      </c>
      <c r="M271" s="96">
        <f t="shared" si="111"/>
        <v>0</v>
      </c>
      <c r="N271" s="97">
        <f>IF(M271=0,0,IF(SUM($M$5:M271)&gt;251,1,0))</f>
        <v>0</v>
      </c>
      <c r="O271" s="162">
        <v>40</v>
      </c>
      <c r="P271" s="163">
        <v>1</v>
      </c>
      <c r="Q271" s="98"/>
      <c r="R271" s="415" t="s">
        <v>543</v>
      </c>
      <c r="S271" s="99" t="str">
        <f t="shared" si="123"/>
        <v>放課後児童支援員</v>
      </c>
      <c r="T271" s="100" t="str">
        <f t="shared" si="117"/>
        <v>対象</v>
      </c>
      <c r="U271" s="418" t="s">
        <v>539</v>
      </c>
      <c r="V271" s="99" t="str">
        <f t="shared" si="124"/>
        <v>放課後児童支援員</v>
      </c>
      <c r="W271" s="100" t="str">
        <f t="shared" si="118"/>
        <v>対象</v>
      </c>
      <c r="X271" s="418" t="s">
        <v>546</v>
      </c>
      <c r="Y271" s="99" t="str">
        <f t="shared" si="125"/>
        <v>放課後児童支援員</v>
      </c>
      <c r="Z271" s="100" t="str">
        <f t="shared" si="119"/>
        <v>対象</v>
      </c>
      <c r="AA271" s="418"/>
      <c r="AB271" s="99">
        <f t="shared" si="126"/>
        <v>0</v>
      </c>
      <c r="AC271" s="100">
        <f t="shared" si="120"/>
        <v>0</v>
      </c>
      <c r="AD271" s="418"/>
      <c r="AE271" s="99">
        <f t="shared" si="127"/>
        <v>0</v>
      </c>
      <c r="AF271" s="100">
        <f t="shared" si="121"/>
        <v>0</v>
      </c>
      <c r="AG271" s="351" t="str">
        <f t="shared" si="122"/>
        <v/>
      </c>
      <c r="AH271" s="272" t="str">
        <f t="shared" si="112"/>
        <v/>
      </c>
      <c r="AI271" s="358" t="str">
        <f t="shared" si="113"/>
        <v/>
      </c>
      <c r="AJ271" s="272" t="str">
        <f t="shared" si="114"/>
        <v/>
      </c>
      <c r="AK271" s="361" t="str">
        <f t="shared" si="115"/>
        <v/>
      </c>
      <c r="AL271" s="11"/>
      <c r="AM271" s="11"/>
      <c r="AN271" s="11"/>
    </row>
    <row r="272" spans="1:40" ht="14.25">
      <c r="A272" s="787"/>
      <c r="B272" s="31" t="s">
        <v>196</v>
      </c>
      <c r="C272" s="184" t="s">
        <v>119</v>
      </c>
      <c r="D272" s="413" t="s">
        <v>24</v>
      </c>
      <c r="E272" s="49">
        <v>0.59722222222222221</v>
      </c>
      <c r="F272" s="49">
        <v>0.79166666666666663</v>
      </c>
      <c r="G272" s="93">
        <f t="shared" si="106"/>
        <v>0.19444444444444442</v>
      </c>
      <c r="H272" s="555">
        <f t="shared" si="116"/>
        <v>2.0833333333333259E-2</v>
      </c>
      <c r="I272" s="556">
        <f t="shared" si="107"/>
        <v>1</v>
      </c>
      <c r="J272" s="94">
        <f t="shared" si="108"/>
        <v>0</v>
      </c>
      <c r="K272" s="32">
        <f t="shared" si="109"/>
        <v>0</v>
      </c>
      <c r="L272" s="95" t="str">
        <f t="shared" si="110"/>
        <v/>
      </c>
      <c r="M272" s="96">
        <f t="shared" si="111"/>
        <v>0</v>
      </c>
      <c r="N272" s="97">
        <f>IF(M272=0,0,IF(SUM($M$5:M272)&gt;251,1,0))</f>
        <v>0</v>
      </c>
      <c r="O272" s="162">
        <v>40</v>
      </c>
      <c r="P272" s="163">
        <v>1</v>
      </c>
      <c r="Q272" s="98"/>
      <c r="R272" s="415" t="s">
        <v>543</v>
      </c>
      <c r="S272" s="99" t="str">
        <f t="shared" si="123"/>
        <v>放課後児童支援員</v>
      </c>
      <c r="T272" s="100" t="str">
        <f t="shared" si="117"/>
        <v>対象</v>
      </c>
      <c r="U272" s="418" t="s">
        <v>539</v>
      </c>
      <c r="V272" s="99" t="str">
        <f t="shared" si="124"/>
        <v>放課後児童支援員</v>
      </c>
      <c r="W272" s="100" t="str">
        <f t="shared" si="118"/>
        <v>対象</v>
      </c>
      <c r="X272" s="418" t="s">
        <v>546</v>
      </c>
      <c r="Y272" s="99" t="str">
        <f t="shared" si="125"/>
        <v>放課後児童支援員</v>
      </c>
      <c r="Z272" s="100" t="str">
        <f t="shared" si="119"/>
        <v>対象</v>
      </c>
      <c r="AA272" s="418"/>
      <c r="AB272" s="99">
        <f t="shared" si="126"/>
        <v>0</v>
      </c>
      <c r="AC272" s="100">
        <f t="shared" si="120"/>
        <v>0</v>
      </c>
      <c r="AD272" s="418"/>
      <c r="AE272" s="99">
        <f t="shared" si="127"/>
        <v>0</v>
      </c>
      <c r="AF272" s="100">
        <f t="shared" si="121"/>
        <v>0</v>
      </c>
      <c r="AG272" s="351" t="str">
        <f t="shared" si="122"/>
        <v/>
      </c>
      <c r="AH272" s="272" t="str">
        <f t="shared" si="112"/>
        <v/>
      </c>
      <c r="AI272" s="358" t="str">
        <f t="shared" si="113"/>
        <v/>
      </c>
      <c r="AJ272" s="272" t="str">
        <f t="shared" si="114"/>
        <v/>
      </c>
      <c r="AK272" s="361" t="str">
        <f t="shared" si="115"/>
        <v/>
      </c>
      <c r="AL272" s="11"/>
      <c r="AM272" s="11"/>
      <c r="AN272" s="11"/>
    </row>
    <row r="273" spans="1:40" ht="14.25">
      <c r="A273" s="787"/>
      <c r="B273" s="31" t="s">
        <v>197</v>
      </c>
      <c r="C273" s="184" t="s">
        <v>120</v>
      </c>
      <c r="D273" s="413" t="s">
        <v>24</v>
      </c>
      <c r="E273" s="49">
        <v>0.54861111111111105</v>
      </c>
      <c r="F273" s="49">
        <v>0.79166666666666663</v>
      </c>
      <c r="G273" s="93">
        <f t="shared" si="106"/>
        <v>0.24305555555555558</v>
      </c>
      <c r="H273" s="555">
        <f t="shared" si="116"/>
        <v>2.0833333333333259E-2</v>
      </c>
      <c r="I273" s="556">
        <f t="shared" si="107"/>
        <v>1</v>
      </c>
      <c r="J273" s="94">
        <f t="shared" si="108"/>
        <v>0</v>
      </c>
      <c r="K273" s="32">
        <f t="shared" si="109"/>
        <v>0</v>
      </c>
      <c r="L273" s="95" t="str">
        <f t="shared" si="110"/>
        <v/>
      </c>
      <c r="M273" s="96">
        <f t="shared" si="111"/>
        <v>0</v>
      </c>
      <c r="N273" s="97">
        <f>IF(M273=0,0,IF(SUM($M$5:M273)&gt;251,1,0))</f>
        <v>0</v>
      </c>
      <c r="O273" s="162">
        <v>40</v>
      </c>
      <c r="P273" s="163">
        <v>1</v>
      </c>
      <c r="Q273" s="98"/>
      <c r="R273" s="415" t="s">
        <v>543</v>
      </c>
      <c r="S273" s="516" t="str">
        <f t="shared" si="123"/>
        <v>放課後児童支援員</v>
      </c>
      <c r="T273" s="517" t="str">
        <f t="shared" si="117"/>
        <v>対象</v>
      </c>
      <c r="U273" s="518" t="s">
        <v>539</v>
      </c>
      <c r="V273" s="99" t="str">
        <f t="shared" si="124"/>
        <v>放課後児童支援員</v>
      </c>
      <c r="W273" s="100" t="str">
        <f t="shared" si="118"/>
        <v>対象</v>
      </c>
      <c r="X273" s="418" t="s">
        <v>546</v>
      </c>
      <c r="Y273" s="99" t="str">
        <f t="shared" si="125"/>
        <v>放課後児童支援員</v>
      </c>
      <c r="Z273" s="100" t="str">
        <f t="shared" si="119"/>
        <v>対象</v>
      </c>
      <c r="AA273" s="418"/>
      <c r="AB273" s="99">
        <f t="shared" si="126"/>
        <v>0</v>
      </c>
      <c r="AC273" s="100">
        <f t="shared" si="120"/>
        <v>0</v>
      </c>
      <c r="AD273" s="418"/>
      <c r="AE273" s="99">
        <f t="shared" si="127"/>
        <v>0</v>
      </c>
      <c r="AF273" s="100">
        <f t="shared" si="121"/>
        <v>0</v>
      </c>
      <c r="AG273" s="351" t="str">
        <f t="shared" si="122"/>
        <v/>
      </c>
      <c r="AH273" s="272" t="str">
        <f t="shared" si="112"/>
        <v/>
      </c>
      <c r="AI273" s="358" t="str">
        <f t="shared" si="113"/>
        <v/>
      </c>
      <c r="AJ273" s="272" t="str">
        <f t="shared" si="114"/>
        <v/>
      </c>
      <c r="AK273" s="361" t="str">
        <f t="shared" si="115"/>
        <v/>
      </c>
      <c r="AL273" s="11"/>
      <c r="AM273" s="11"/>
      <c r="AN273" s="11"/>
    </row>
    <row r="274" spans="1:40" ht="14.25">
      <c r="A274" s="787"/>
      <c r="B274" s="31" t="s">
        <v>198</v>
      </c>
      <c r="C274" s="184" t="s">
        <v>121</v>
      </c>
      <c r="D274" s="413" t="s">
        <v>171</v>
      </c>
      <c r="E274" s="49">
        <v>0.33333333333333331</v>
      </c>
      <c r="F274" s="49">
        <v>0.80555555555555547</v>
      </c>
      <c r="G274" s="93">
        <f t="shared" si="106"/>
        <v>0.47222222222222215</v>
      </c>
      <c r="H274" s="555" t="str">
        <f t="shared" si="116"/>
        <v>0:00</v>
      </c>
      <c r="I274" s="556">
        <f t="shared" si="107"/>
        <v>0</v>
      </c>
      <c r="J274" s="94">
        <f t="shared" si="108"/>
        <v>0.13888888888888884</v>
      </c>
      <c r="K274" s="32">
        <f t="shared" si="109"/>
        <v>1</v>
      </c>
      <c r="L274" s="95" t="str">
        <f t="shared" si="110"/>
        <v/>
      </c>
      <c r="M274" s="96">
        <f t="shared" si="111"/>
        <v>1</v>
      </c>
      <c r="N274" s="97">
        <f>IF(M274=0,0,IF(SUM($M$5:M274)&gt;251,1,0))</f>
        <v>0</v>
      </c>
      <c r="O274" s="162">
        <v>40</v>
      </c>
      <c r="P274" s="163">
        <v>1</v>
      </c>
      <c r="Q274" s="98"/>
      <c r="R274" s="513" t="s">
        <v>543</v>
      </c>
      <c r="S274" s="99" t="str">
        <f t="shared" si="123"/>
        <v>放課後児童支援員</v>
      </c>
      <c r="T274" s="100" t="str">
        <f t="shared" si="117"/>
        <v>対象</v>
      </c>
      <c r="U274" s="514" t="s">
        <v>539</v>
      </c>
      <c r="V274" s="99" t="str">
        <f t="shared" si="124"/>
        <v>放課後児童支援員</v>
      </c>
      <c r="W274" s="100" t="str">
        <f t="shared" si="118"/>
        <v>対象</v>
      </c>
      <c r="X274" s="418" t="s">
        <v>546</v>
      </c>
      <c r="Y274" s="99" t="str">
        <f t="shared" si="125"/>
        <v>放課後児童支援員</v>
      </c>
      <c r="Z274" s="100" t="str">
        <f t="shared" si="119"/>
        <v>対象</v>
      </c>
      <c r="AA274" s="418"/>
      <c r="AB274" s="99">
        <f t="shared" si="126"/>
        <v>0</v>
      </c>
      <c r="AC274" s="100">
        <f t="shared" si="120"/>
        <v>0</v>
      </c>
      <c r="AD274" s="418"/>
      <c r="AE274" s="99">
        <f t="shared" si="127"/>
        <v>0</v>
      </c>
      <c r="AF274" s="100">
        <f t="shared" si="121"/>
        <v>0</v>
      </c>
      <c r="AG274" s="351" t="str">
        <f t="shared" si="122"/>
        <v/>
      </c>
      <c r="AH274" s="272" t="str">
        <f t="shared" si="112"/>
        <v/>
      </c>
      <c r="AI274" s="358" t="str">
        <f t="shared" si="113"/>
        <v/>
      </c>
      <c r="AJ274" s="272" t="str">
        <f t="shared" si="114"/>
        <v/>
      </c>
      <c r="AK274" s="361" t="str">
        <f t="shared" si="115"/>
        <v/>
      </c>
      <c r="AL274" s="11"/>
      <c r="AM274" s="11"/>
      <c r="AN274" s="11"/>
    </row>
    <row r="275" spans="1:40" ht="14.25">
      <c r="A275" s="787"/>
      <c r="B275" s="31" t="s">
        <v>199</v>
      </c>
      <c r="C275" s="184" t="s">
        <v>122</v>
      </c>
      <c r="D275" s="413" t="s">
        <v>173</v>
      </c>
      <c r="E275" s="49"/>
      <c r="F275" s="49"/>
      <c r="G275" s="93">
        <f t="shared" si="106"/>
        <v>0</v>
      </c>
      <c r="H275" s="555" t="str">
        <f t="shared" si="116"/>
        <v>0:00</v>
      </c>
      <c r="I275" s="556">
        <f t="shared" si="107"/>
        <v>0</v>
      </c>
      <c r="J275" s="94">
        <f t="shared" si="108"/>
        <v>0</v>
      </c>
      <c r="K275" s="32">
        <f t="shared" si="109"/>
        <v>0</v>
      </c>
      <c r="L275" s="95" t="str">
        <f t="shared" si="110"/>
        <v/>
      </c>
      <c r="M275" s="96">
        <f t="shared" si="111"/>
        <v>0</v>
      </c>
      <c r="N275" s="97">
        <f>IF(M275=0,0,IF(SUM($M$5:M275)&gt;251,1,0))</f>
        <v>0</v>
      </c>
      <c r="O275" s="162"/>
      <c r="P275" s="163"/>
      <c r="Q275" s="98"/>
      <c r="R275" s="415"/>
      <c r="S275" s="99">
        <f t="shared" si="123"/>
        <v>0</v>
      </c>
      <c r="T275" s="100">
        <f t="shared" si="117"/>
        <v>0</v>
      </c>
      <c r="U275" s="418"/>
      <c r="V275" s="99">
        <f t="shared" si="124"/>
        <v>0</v>
      </c>
      <c r="W275" s="100">
        <f t="shared" si="118"/>
        <v>0</v>
      </c>
      <c r="X275" s="418"/>
      <c r="Y275" s="99">
        <f t="shared" si="125"/>
        <v>0</v>
      </c>
      <c r="Z275" s="100">
        <f t="shared" si="119"/>
        <v>0</v>
      </c>
      <c r="AA275" s="418"/>
      <c r="AB275" s="99">
        <f t="shared" si="126"/>
        <v>0</v>
      </c>
      <c r="AC275" s="100">
        <f t="shared" si="120"/>
        <v>0</v>
      </c>
      <c r="AD275" s="418"/>
      <c r="AE275" s="99">
        <f t="shared" si="127"/>
        <v>0</v>
      </c>
      <c r="AF275" s="100">
        <f t="shared" si="121"/>
        <v>0</v>
      </c>
      <c r="AG275" s="351" t="str">
        <f t="shared" si="122"/>
        <v/>
      </c>
      <c r="AH275" s="272" t="str">
        <f t="shared" si="112"/>
        <v/>
      </c>
      <c r="AI275" s="358" t="str">
        <f t="shared" si="113"/>
        <v/>
      </c>
      <c r="AJ275" s="272" t="str">
        <f t="shared" si="114"/>
        <v/>
      </c>
      <c r="AK275" s="361" t="str">
        <f t="shared" si="115"/>
        <v/>
      </c>
      <c r="AL275" s="11"/>
      <c r="AM275" s="11"/>
      <c r="AN275" s="11"/>
    </row>
    <row r="276" spans="1:40" ht="14.25">
      <c r="A276" s="787"/>
      <c r="B276" s="31" t="s">
        <v>200</v>
      </c>
      <c r="C276" s="184" t="s">
        <v>183</v>
      </c>
      <c r="D276" s="413" t="s">
        <v>173</v>
      </c>
      <c r="E276" s="49"/>
      <c r="F276" s="49"/>
      <c r="G276" s="93">
        <f t="shared" si="106"/>
        <v>0</v>
      </c>
      <c r="H276" s="555" t="str">
        <f t="shared" si="116"/>
        <v>0:00</v>
      </c>
      <c r="I276" s="556">
        <f t="shared" si="107"/>
        <v>0</v>
      </c>
      <c r="J276" s="94">
        <f t="shared" si="108"/>
        <v>0</v>
      </c>
      <c r="K276" s="32">
        <f t="shared" si="109"/>
        <v>0</v>
      </c>
      <c r="L276" s="95" t="str">
        <f t="shared" si="110"/>
        <v/>
      </c>
      <c r="M276" s="96">
        <f t="shared" si="111"/>
        <v>0</v>
      </c>
      <c r="N276" s="97">
        <f>IF(M276=0,0,IF(SUM($M$5:M276)&gt;251,1,0))</f>
        <v>0</v>
      </c>
      <c r="O276" s="162"/>
      <c r="P276" s="163"/>
      <c r="Q276" s="98"/>
      <c r="R276" s="415"/>
      <c r="S276" s="99">
        <f t="shared" si="123"/>
        <v>0</v>
      </c>
      <c r="T276" s="100">
        <f t="shared" si="117"/>
        <v>0</v>
      </c>
      <c r="U276" s="418"/>
      <c r="V276" s="99">
        <f t="shared" si="124"/>
        <v>0</v>
      </c>
      <c r="W276" s="100">
        <f t="shared" si="118"/>
        <v>0</v>
      </c>
      <c r="X276" s="418"/>
      <c r="Y276" s="99">
        <f t="shared" si="125"/>
        <v>0</v>
      </c>
      <c r="Z276" s="100">
        <f t="shared" si="119"/>
        <v>0</v>
      </c>
      <c r="AA276" s="418"/>
      <c r="AB276" s="99">
        <f t="shared" si="126"/>
        <v>0</v>
      </c>
      <c r="AC276" s="100">
        <f t="shared" si="120"/>
        <v>0</v>
      </c>
      <c r="AD276" s="418"/>
      <c r="AE276" s="99">
        <f t="shared" si="127"/>
        <v>0</v>
      </c>
      <c r="AF276" s="100">
        <f t="shared" si="121"/>
        <v>0</v>
      </c>
      <c r="AG276" s="351" t="str">
        <f t="shared" si="122"/>
        <v/>
      </c>
      <c r="AH276" s="272" t="str">
        <f t="shared" si="112"/>
        <v/>
      </c>
      <c r="AI276" s="358" t="str">
        <f t="shared" si="113"/>
        <v/>
      </c>
      <c r="AJ276" s="272" t="str">
        <f t="shared" si="114"/>
        <v/>
      </c>
      <c r="AK276" s="361" t="str">
        <f t="shared" si="115"/>
        <v/>
      </c>
      <c r="AL276" s="11"/>
      <c r="AM276" s="11"/>
      <c r="AN276" s="11"/>
    </row>
    <row r="277" spans="1:40" ht="14.25">
      <c r="A277" s="787"/>
      <c r="B277" s="31" t="s">
        <v>201</v>
      </c>
      <c r="C277" s="184" t="s">
        <v>118</v>
      </c>
      <c r="D277" s="413" t="s">
        <v>173</v>
      </c>
      <c r="E277" s="49"/>
      <c r="F277" s="49"/>
      <c r="G277" s="93">
        <f t="shared" si="106"/>
        <v>0</v>
      </c>
      <c r="H277" s="555" t="str">
        <f t="shared" si="116"/>
        <v>0:00</v>
      </c>
      <c r="I277" s="556">
        <f t="shared" si="107"/>
        <v>0</v>
      </c>
      <c r="J277" s="94">
        <f t="shared" si="108"/>
        <v>0</v>
      </c>
      <c r="K277" s="32">
        <f t="shared" si="109"/>
        <v>0</v>
      </c>
      <c r="L277" s="95" t="str">
        <f t="shared" si="110"/>
        <v/>
      </c>
      <c r="M277" s="96">
        <f t="shared" si="111"/>
        <v>0</v>
      </c>
      <c r="N277" s="97">
        <f>IF(M277=0,0,IF(SUM($M$5:M277)&gt;251,1,0))</f>
        <v>0</v>
      </c>
      <c r="O277" s="162"/>
      <c r="P277" s="163"/>
      <c r="Q277" s="98"/>
      <c r="R277" s="415"/>
      <c r="S277" s="99">
        <f t="shared" si="123"/>
        <v>0</v>
      </c>
      <c r="T277" s="100">
        <f t="shared" si="117"/>
        <v>0</v>
      </c>
      <c r="U277" s="418"/>
      <c r="V277" s="99">
        <f t="shared" si="124"/>
        <v>0</v>
      </c>
      <c r="W277" s="100">
        <f t="shared" si="118"/>
        <v>0</v>
      </c>
      <c r="X277" s="418"/>
      <c r="Y277" s="99">
        <f t="shared" si="125"/>
        <v>0</v>
      </c>
      <c r="Z277" s="100">
        <f t="shared" si="119"/>
        <v>0</v>
      </c>
      <c r="AA277" s="418"/>
      <c r="AB277" s="99">
        <f t="shared" si="126"/>
        <v>0</v>
      </c>
      <c r="AC277" s="100">
        <f t="shared" si="120"/>
        <v>0</v>
      </c>
      <c r="AD277" s="418"/>
      <c r="AE277" s="99">
        <f t="shared" si="127"/>
        <v>0</v>
      </c>
      <c r="AF277" s="100">
        <f t="shared" si="121"/>
        <v>0</v>
      </c>
      <c r="AG277" s="351" t="str">
        <f t="shared" si="122"/>
        <v/>
      </c>
      <c r="AH277" s="272" t="str">
        <f t="shared" si="112"/>
        <v/>
      </c>
      <c r="AI277" s="358" t="str">
        <f t="shared" si="113"/>
        <v/>
      </c>
      <c r="AJ277" s="272" t="str">
        <f t="shared" si="114"/>
        <v/>
      </c>
      <c r="AK277" s="361" t="str">
        <f t="shared" si="115"/>
        <v/>
      </c>
      <c r="AL277" s="11"/>
      <c r="AM277" s="11"/>
      <c r="AN277" s="11"/>
    </row>
    <row r="278" spans="1:40" ht="14.25">
      <c r="A278" s="787"/>
      <c r="B278" s="31" t="s">
        <v>202</v>
      </c>
      <c r="C278" s="184" t="s">
        <v>123</v>
      </c>
      <c r="D278" s="413" t="s">
        <v>173</v>
      </c>
      <c r="E278" s="49"/>
      <c r="F278" s="49"/>
      <c r="G278" s="93">
        <f t="shared" si="106"/>
        <v>0</v>
      </c>
      <c r="H278" s="555" t="str">
        <f t="shared" si="116"/>
        <v>0:00</v>
      </c>
      <c r="I278" s="556">
        <f t="shared" si="107"/>
        <v>0</v>
      </c>
      <c r="J278" s="94">
        <f t="shared" si="108"/>
        <v>0</v>
      </c>
      <c r="K278" s="32">
        <f t="shared" si="109"/>
        <v>0</v>
      </c>
      <c r="L278" s="95" t="str">
        <f t="shared" si="110"/>
        <v/>
      </c>
      <c r="M278" s="96">
        <f t="shared" si="111"/>
        <v>0</v>
      </c>
      <c r="N278" s="97">
        <f>IF(M278=0,0,IF(SUM($M$5:M278)&gt;251,1,0))</f>
        <v>0</v>
      </c>
      <c r="O278" s="162"/>
      <c r="P278" s="163"/>
      <c r="Q278" s="98"/>
      <c r="R278" s="415"/>
      <c r="S278" s="99">
        <f t="shared" si="123"/>
        <v>0</v>
      </c>
      <c r="T278" s="100">
        <f t="shared" si="117"/>
        <v>0</v>
      </c>
      <c r="U278" s="418"/>
      <c r="V278" s="99">
        <f t="shared" si="124"/>
        <v>0</v>
      </c>
      <c r="W278" s="100">
        <f t="shared" si="118"/>
        <v>0</v>
      </c>
      <c r="X278" s="418"/>
      <c r="Y278" s="99">
        <f t="shared" si="125"/>
        <v>0</v>
      </c>
      <c r="Z278" s="100">
        <f t="shared" si="119"/>
        <v>0</v>
      </c>
      <c r="AA278" s="418"/>
      <c r="AB278" s="99">
        <f t="shared" si="126"/>
        <v>0</v>
      </c>
      <c r="AC278" s="100">
        <f t="shared" si="120"/>
        <v>0</v>
      </c>
      <c r="AD278" s="418"/>
      <c r="AE278" s="99">
        <f t="shared" si="127"/>
        <v>0</v>
      </c>
      <c r="AF278" s="100">
        <f t="shared" si="121"/>
        <v>0</v>
      </c>
      <c r="AG278" s="351" t="str">
        <f t="shared" si="122"/>
        <v/>
      </c>
      <c r="AH278" s="272" t="str">
        <f t="shared" si="112"/>
        <v/>
      </c>
      <c r="AI278" s="358" t="str">
        <f t="shared" si="113"/>
        <v/>
      </c>
      <c r="AJ278" s="272" t="str">
        <f t="shared" si="114"/>
        <v/>
      </c>
      <c r="AK278" s="361" t="str">
        <f t="shared" si="115"/>
        <v/>
      </c>
      <c r="AL278" s="11"/>
      <c r="AM278" s="11"/>
      <c r="AN278" s="11"/>
    </row>
    <row r="279" spans="1:40" ht="15" thickBot="1">
      <c r="A279" s="788"/>
      <c r="B279" s="33" t="s">
        <v>213</v>
      </c>
      <c r="C279" s="184" t="s">
        <v>119</v>
      </c>
      <c r="D279" s="413" t="s">
        <v>173</v>
      </c>
      <c r="E279" s="50"/>
      <c r="F279" s="50"/>
      <c r="G279" s="101">
        <f t="shared" si="106"/>
        <v>0</v>
      </c>
      <c r="H279" s="555" t="str">
        <f t="shared" si="116"/>
        <v>0:00</v>
      </c>
      <c r="I279" s="557">
        <f t="shared" si="107"/>
        <v>0</v>
      </c>
      <c r="J279" s="102">
        <f t="shared" si="108"/>
        <v>0</v>
      </c>
      <c r="K279" s="34">
        <f t="shared" si="109"/>
        <v>0</v>
      </c>
      <c r="L279" s="103" t="str">
        <f t="shared" si="110"/>
        <v/>
      </c>
      <c r="M279" s="104">
        <f t="shared" si="111"/>
        <v>0</v>
      </c>
      <c r="N279" s="105">
        <f>IF(M279=0,0,IF(SUM($M$5:M279)&gt;251,1,0))</f>
        <v>0</v>
      </c>
      <c r="O279" s="195"/>
      <c r="P279" s="196"/>
      <c r="Q279" s="108">
        <f>SUM(O249:O279)</f>
        <v>815</v>
      </c>
      <c r="R279" s="416"/>
      <c r="S279" s="185">
        <f t="shared" si="123"/>
        <v>0</v>
      </c>
      <c r="T279" s="107">
        <f t="shared" si="117"/>
        <v>0</v>
      </c>
      <c r="U279" s="419"/>
      <c r="V279" s="185">
        <f t="shared" si="124"/>
        <v>0</v>
      </c>
      <c r="W279" s="107">
        <f t="shared" si="118"/>
        <v>0</v>
      </c>
      <c r="X279" s="419"/>
      <c r="Y279" s="185">
        <f t="shared" si="125"/>
        <v>0</v>
      </c>
      <c r="Z279" s="107">
        <f t="shared" si="119"/>
        <v>0</v>
      </c>
      <c r="AA279" s="419"/>
      <c r="AB279" s="185">
        <f t="shared" si="126"/>
        <v>0</v>
      </c>
      <c r="AC279" s="107">
        <f t="shared" si="120"/>
        <v>0</v>
      </c>
      <c r="AD279" s="419"/>
      <c r="AE279" s="185">
        <f t="shared" si="127"/>
        <v>0</v>
      </c>
      <c r="AF279" s="107">
        <f t="shared" si="121"/>
        <v>0</v>
      </c>
      <c r="AG279" s="182" t="str">
        <f t="shared" si="122"/>
        <v/>
      </c>
      <c r="AH279" s="273" t="str">
        <f t="shared" si="112"/>
        <v/>
      </c>
      <c r="AI279" s="464" t="str">
        <f t="shared" si="113"/>
        <v/>
      </c>
      <c r="AJ279" s="273" t="str">
        <f t="shared" si="114"/>
        <v/>
      </c>
      <c r="AK279" s="362" t="str">
        <f t="shared" si="115"/>
        <v/>
      </c>
      <c r="AL279" s="11"/>
      <c r="AM279" s="11"/>
      <c r="AN279" s="11"/>
    </row>
    <row r="280" spans="1:40" ht="14.25">
      <c r="A280" s="786" t="s">
        <v>210</v>
      </c>
      <c r="B280" s="27" t="s">
        <v>170</v>
      </c>
      <c r="C280" s="184" t="s">
        <v>120</v>
      </c>
      <c r="D280" s="413" t="s">
        <v>173</v>
      </c>
      <c r="E280" s="48"/>
      <c r="F280" s="48"/>
      <c r="G280" s="85">
        <f t="shared" si="106"/>
        <v>0</v>
      </c>
      <c r="H280" s="555" t="str">
        <f t="shared" si="116"/>
        <v>0:00</v>
      </c>
      <c r="I280" s="558">
        <f t="shared" si="107"/>
        <v>0</v>
      </c>
      <c r="J280" s="86">
        <f t="shared" si="108"/>
        <v>0</v>
      </c>
      <c r="K280" s="29">
        <f t="shared" si="109"/>
        <v>0</v>
      </c>
      <c r="L280" s="87" t="str">
        <f t="shared" si="110"/>
        <v/>
      </c>
      <c r="M280" s="88">
        <f t="shared" si="111"/>
        <v>0</v>
      </c>
      <c r="N280" s="89">
        <f>IF(M280=0,0,IF(SUM($M$5:M280)&gt;251,1,0))</f>
        <v>0</v>
      </c>
      <c r="O280" s="160"/>
      <c r="P280" s="161"/>
      <c r="Q280" s="90"/>
      <c r="R280" s="414"/>
      <c r="S280" s="91">
        <f t="shared" si="123"/>
        <v>0</v>
      </c>
      <c r="T280" s="92">
        <f t="shared" si="117"/>
        <v>0</v>
      </c>
      <c r="U280" s="417"/>
      <c r="V280" s="91">
        <f t="shared" si="124"/>
        <v>0</v>
      </c>
      <c r="W280" s="92">
        <f t="shared" si="118"/>
        <v>0</v>
      </c>
      <c r="X280" s="417"/>
      <c r="Y280" s="91">
        <f t="shared" si="125"/>
        <v>0</v>
      </c>
      <c r="Z280" s="92">
        <f t="shared" si="119"/>
        <v>0</v>
      </c>
      <c r="AA280" s="417"/>
      <c r="AB280" s="91">
        <f t="shared" si="126"/>
        <v>0</v>
      </c>
      <c r="AC280" s="92">
        <f t="shared" si="120"/>
        <v>0</v>
      </c>
      <c r="AD280" s="417"/>
      <c r="AE280" s="91">
        <f t="shared" si="127"/>
        <v>0</v>
      </c>
      <c r="AF280" s="92">
        <f t="shared" si="121"/>
        <v>0</v>
      </c>
      <c r="AG280" s="363" t="str">
        <f t="shared" si="122"/>
        <v/>
      </c>
      <c r="AH280" s="359" t="str">
        <f t="shared" si="112"/>
        <v/>
      </c>
      <c r="AI280" s="359" t="str">
        <f t="shared" si="113"/>
        <v/>
      </c>
      <c r="AJ280" s="359" t="str">
        <f t="shared" si="114"/>
        <v/>
      </c>
      <c r="AK280" s="360" t="str">
        <f t="shared" si="115"/>
        <v/>
      </c>
      <c r="AL280" s="11"/>
      <c r="AM280" s="11"/>
      <c r="AN280" s="11"/>
    </row>
    <row r="281" spans="1:40" ht="14.25">
      <c r="A281" s="787"/>
      <c r="B281" s="31" t="s">
        <v>172</v>
      </c>
      <c r="C281" s="184" t="s">
        <v>121</v>
      </c>
      <c r="D281" s="413" t="s">
        <v>173</v>
      </c>
      <c r="E281" s="49"/>
      <c r="F281" s="49"/>
      <c r="G281" s="93">
        <f t="shared" si="106"/>
        <v>0</v>
      </c>
      <c r="H281" s="555" t="str">
        <f t="shared" si="116"/>
        <v>0:00</v>
      </c>
      <c r="I281" s="556">
        <f t="shared" si="107"/>
        <v>0</v>
      </c>
      <c r="J281" s="94">
        <f t="shared" si="108"/>
        <v>0</v>
      </c>
      <c r="K281" s="32">
        <f t="shared" si="109"/>
        <v>0</v>
      </c>
      <c r="L281" s="95" t="str">
        <f t="shared" si="110"/>
        <v/>
      </c>
      <c r="M281" s="96">
        <f t="shared" si="111"/>
        <v>0</v>
      </c>
      <c r="N281" s="97">
        <f>IF(M281=0,0,IF(SUM($M$5:M281)&gt;251,1,0))</f>
        <v>0</v>
      </c>
      <c r="O281" s="162"/>
      <c r="P281" s="163"/>
      <c r="Q281" s="98"/>
      <c r="R281" s="415"/>
      <c r="S281" s="99">
        <f t="shared" si="123"/>
        <v>0</v>
      </c>
      <c r="T281" s="100">
        <f t="shared" si="117"/>
        <v>0</v>
      </c>
      <c r="U281" s="418"/>
      <c r="V281" s="99">
        <f t="shared" si="124"/>
        <v>0</v>
      </c>
      <c r="W281" s="100">
        <f t="shared" si="118"/>
        <v>0</v>
      </c>
      <c r="X281" s="418"/>
      <c r="Y281" s="99">
        <f t="shared" si="125"/>
        <v>0</v>
      </c>
      <c r="Z281" s="100">
        <f t="shared" si="119"/>
        <v>0</v>
      </c>
      <c r="AA281" s="418"/>
      <c r="AB281" s="99">
        <f t="shared" si="126"/>
        <v>0</v>
      </c>
      <c r="AC281" s="100">
        <f t="shared" si="120"/>
        <v>0</v>
      </c>
      <c r="AD281" s="418"/>
      <c r="AE281" s="99">
        <f t="shared" si="127"/>
        <v>0</v>
      </c>
      <c r="AF281" s="100">
        <f t="shared" si="121"/>
        <v>0</v>
      </c>
      <c r="AG281" s="351" t="str">
        <f t="shared" si="122"/>
        <v/>
      </c>
      <c r="AH281" s="272" t="str">
        <f t="shared" si="112"/>
        <v/>
      </c>
      <c r="AI281" s="358" t="str">
        <f t="shared" si="113"/>
        <v/>
      </c>
      <c r="AJ281" s="272" t="str">
        <f t="shared" si="114"/>
        <v/>
      </c>
      <c r="AK281" s="361" t="str">
        <f t="shared" si="115"/>
        <v/>
      </c>
      <c r="AL281" s="11"/>
      <c r="AM281" s="11"/>
      <c r="AN281" s="11"/>
    </row>
    <row r="282" spans="1:40" ht="14.25">
      <c r="A282" s="787"/>
      <c r="B282" s="31" t="s">
        <v>174</v>
      </c>
      <c r="C282" s="184" t="s">
        <v>122</v>
      </c>
      <c r="D282" s="413" t="s">
        <v>173</v>
      </c>
      <c r="E282" s="49"/>
      <c r="F282" s="49"/>
      <c r="G282" s="93">
        <f t="shared" si="106"/>
        <v>0</v>
      </c>
      <c r="H282" s="555" t="str">
        <f t="shared" si="116"/>
        <v>0:00</v>
      </c>
      <c r="I282" s="556">
        <f t="shared" si="107"/>
        <v>0</v>
      </c>
      <c r="J282" s="94">
        <f t="shared" si="108"/>
        <v>0</v>
      </c>
      <c r="K282" s="32">
        <f t="shared" si="109"/>
        <v>0</v>
      </c>
      <c r="L282" s="95" t="str">
        <f t="shared" si="110"/>
        <v/>
      </c>
      <c r="M282" s="96">
        <f t="shared" si="111"/>
        <v>0</v>
      </c>
      <c r="N282" s="97">
        <f>IF(M282=0,0,IF(SUM($M$5:M282)&gt;251,1,0))</f>
        <v>0</v>
      </c>
      <c r="O282" s="162"/>
      <c r="P282" s="163"/>
      <c r="Q282" s="98"/>
      <c r="R282" s="415"/>
      <c r="S282" s="99">
        <f t="shared" si="123"/>
        <v>0</v>
      </c>
      <c r="T282" s="100">
        <f t="shared" si="117"/>
        <v>0</v>
      </c>
      <c r="U282" s="418"/>
      <c r="V282" s="99">
        <f t="shared" si="124"/>
        <v>0</v>
      </c>
      <c r="W282" s="100">
        <f t="shared" si="118"/>
        <v>0</v>
      </c>
      <c r="X282" s="418"/>
      <c r="Y282" s="99">
        <f t="shared" si="125"/>
        <v>0</v>
      </c>
      <c r="Z282" s="100">
        <f t="shared" si="119"/>
        <v>0</v>
      </c>
      <c r="AA282" s="418"/>
      <c r="AB282" s="99">
        <f t="shared" si="126"/>
        <v>0</v>
      </c>
      <c r="AC282" s="100">
        <f t="shared" si="120"/>
        <v>0</v>
      </c>
      <c r="AD282" s="418"/>
      <c r="AE282" s="99">
        <f t="shared" si="127"/>
        <v>0</v>
      </c>
      <c r="AF282" s="100">
        <f t="shared" si="121"/>
        <v>0</v>
      </c>
      <c r="AG282" s="351" t="str">
        <f t="shared" si="122"/>
        <v/>
      </c>
      <c r="AH282" s="272" t="str">
        <f t="shared" si="112"/>
        <v/>
      </c>
      <c r="AI282" s="358" t="str">
        <f t="shared" si="113"/>
        <v/>
      </c>
      <c r="AJ282" s="272" t="str">
        <f t="shared" si="114"/>
        <v/>
      </c>
      <c r="AK282" s="361" t="str">
        <f t="shared" si="115"/>
        <v/>
      </c>
      <c r="AL282" s="11"/>
      <c r="AM282" s="11"/>
      <c r="AN282" s="11"/>
    </row>
    <row r="283" spans="1:40" ht="14.25">
      <c r="A283" s="787"/>
      <c r="B283" s="31" t="s">
        <v>175</v>
      </c>
      <c r="C283" s="184" t="s">
        <v>183</v>
      </c>
      <c r="D283" s="413" t="s">
        <v>173</v>
      </c>
      <c r="E283" s="49"/>
      <c r="F283" s="49"/>
      <c r="G283" s="93">
        <f t="shared" si="106"/>
        <v>0</v>
      </c>
      <c r="H283" s="555" t="str">
        <f t="shared" si="116"/>
        <v>0:00</v>
      </c>
      <c r="I283" s="556">
        <f t="shared" si="107"/>
        <v>0</v>
      </c>
      <c r="J283" s="94">
        <f t="shared" si="108"/>
        <v>0</v>
      </c>
      <c r="K283" s="32">
        <f t="shared" si="109"/>
        <v>0</v>
      </c>
      <c r="L283" s="95" t="str">
        <f t="shared" si="110"/>
        <v/>
      </c>
      <c r="M283" s="96">
        <f t="shared" si="111"/>
        <v>0</v>
      </c>
      <c r="N283" s="97">
        <f>IF(M283=0,0,IF(SUM($M$5:M283)&gt;251,1,0))</f>
        <v>0</v>
      </c>
      <c r="O283" s="162"/>
      <c r="P283" s="163"/>
      <c r="Q283" s="98"/>
      <c r="R283" s="415"/>
      <c r="S283" s="99">
        <f t="shared" si="123"/>
        <v>0</v>
      </c>
      <c r="T283" s="100">
        <f t="shared" si="117"/>
        <v>0</v>
      </c>
      <c r="U283" s="418"/>
      <c r="V283" s="99">
        <f t="shared" si="124"/>
        <v>0</v>
      </c>
      <c r="W283" s="100">
        <f t="shared" si="118"/>
        <v>0</v>
      </c>
      <c r="X283" s="418"/>
      <c r="Y283" s="99">
        <f t="shared" si="125"/>
        <v>0</v>
      </c>
      <c r="Z283" s="100">
        <f t="shared" si="119"/>
        <v>0</v>
      </c>
      <c r="AA283" s="418"/>
      <c r="AB283" s="99">
        <f t="shared" si="126"/>
        <v>0</v>
      </c>
      <c r="AC283" s="100">
        <f t="shared" si="120"/>
        <v>0</v>
      </c>
      <c r="AD283" s="418"/>
      <c r="AE283" s="99">
        <f t="shared" si="127"/>
        <v>0</v>
      </c>
      <c r="AF283" s="100">
        <f t="shared" si="121"/>
        <v>0</v>
      </c>
      <c r="AG283" s="351" t="str">
        <f t="shared" si="122"/>
        <v/>
      </c>
      <c r="AH283" s="272" t="str">
        <f t="shared" si="112"/>
        <v/>
      </c>
      <c r="AI283" s="358" t="str">
        <f t="shared" si="113"/>
        <v/>
      </c>
      <c r="AJ283" s="272" t="str">
        <f t="shared" si="114"/>
        <v/>
      </c>
      <c r="AK283" s="361" t="str">
        <f t="shared" si="115"/>
        <v/>
      </c>
      <c r="AL283" s="11"/>
      <c r="AM283" s="11"/>
      <c r="AN283" s="11"/>
    </row>
    <row r="284" spans="1:40" ht="14.25">
      <c r="A284" s="787"/>
      <c r="B284" s="31" t="s">
        <v>176</v>
      </c>
      <c r="C284" s="184" t="s">
        <v>118</v>
      </c>
      <c r="D284" s="413" t="s">
        <v>24</v>
      </c>
      <c r="E284" s="49">
        <v>0.59722222222222221</v>
      </c>
      <c r="F284" s="49">
        <v>0.7715277777777777</v>
      </c>
      <c r="G284" s="93">
        <f t="shared" si="106"/>
        <v>0.17430555555555549</v>
      </c>
      <c r="H284" s="555">
        <f t="shared" si="116"/>
        <v>6.9444444444433095E-4</v>
      </c>
      <c r="I284" s="556">
        <f t="shared" si="107"/>
        <v>1</v>
      </c>
      <c r="J284" s="94">
        <f t="shared" si="108"/>
        <v>0</v>
      </c>
      <c r="K284" s="32">
        <f t="shared" si="109"/>
        <v>0</v>
      </c>
      <c r="L284" s="95" t="str">
        <f t="shared" si="110"/>
        <v/>
      </c>
      <c r="M284" s="96">
        <f t="shared" si="111"/>
        <v>0</v>
      </c>
      <c r="N284" s="97">
        <f>IF(M284=0,0,IF(SUM($M$5:M284)&gt;251,1,0))</f>
        <v>0</v>
      </c>
      <c r="O284" s="162">
        <v>40</v>
      </c>
      <c r="P284" s="163">
        <v>1</v>
      </c>
      <c r="Q284" s="98"/>
      <c r="R284" s="415" t="s">
        <v>543</v>
      </c>
      <c r="S284" s="99" t="str">
        <f t="shared" si="123"/>
        <v>放課後児童支援員</v>
      </c>
      <c r="T284" s="100" t="str">
        <f t="shared" si="117"/>
        <v>対象</v>
      </c>
      <c r="U284" s="418" t="s">
        <v>539</v>
      </c>
      <c r="V284" s="99" t="str">
        <f t="shared" si="124"/>
        <v>放課後児童支援員</v>
      </c>
      <c r="W284" s="100" t="str">
        <f t="shared" si="118"/>
        <v>対象</v>
      </c>
      <c r="X284" s="418"/>
      <c r="Y284" s="99">
        <f t="shared" si="125"/>
        <v>0</v>
      </c>
      <c r="Z284" s="100">
        <f t="shared" si="119"/>
        <v>0</v>
      </c>
      <c r="AA284" s="418"/>
      <c r="AB284" s="99">
        <f t="shared" si="126"/>
        <v>0</v>
      </c>
      <c r="AC284" s="100">
        <f t="shared" si="120"/>
        <v>0</v>
      </c>
      <c r="AD284" s="418"/>
      <c r="AE284" s="99">
        <f t="shared" si="127"/>
        <v>0</v>
      </c>
      <c r="AF284" s="100">
        <f t="shared" si="121"/>
        <v>0</v>
      </c>
      <c r="AG284" s="351" t="str">
        <f t="shared" si="122"/>
        <v/>
      </c>
      <c r="AH284" s="272" t="str">
        <f t="shared" si="112"/>
        <v/>
      </c>
      <c r="AI284" s="358" t="str">
        <f t="shared" si="113"/>
        <v/>
      </c>
      <c r="AJ284" s="272" t="str">
        <f t="shared" si="114"/>
        <v/>
      </c>
      <c r="AK284" s="361" t="str">
        <f t="shared" si="115"/>
        <v/>
      </c>
      <c r="AL284" s="11"/>
      <c r="AM284" s="11"/>
      <c r="AN284" s="11"/>
    </row>
    <row r="285" spans="1:40" ht="14.25">
      <c r="A285" s="787"/>
      <c r="B285" s="31" t="s">
        <v>177</v>
      </c>
      <c r="C285" s="184" t="s">
        <v>123</v>
      </c>
      <c r="D285" s="413" t="s">
        <v>24</v>
      </c>
      <c r="E285" s="49">
        <v>0.59722222222222221</v>
      </c>
      <c r="F285" s="49">
        <v>0.79166666666666663</v>
      </c>
      <c r="G285" s="93">
        <f t="shared" si="106"/>
        <v>0.19444444444444442</v>
      </c>
      <c r="H285" s="555">
        <f t="shared" si="116"/>
        <v>2.0833333333333259E-2</v>
      </c>
      <c r="I285" s="556">
        <f t="shared" si="107"/>
        <v>1</v>
      </c>
      <c r="J285" s="94">
        <f t="shared" si="108"/>
        <v>0</v>
      </c>
      <c r="K285" s="32">
        <f t="shared" si="109"/>
        <v>0</v>
      </c>
      <c r="L285" s="95" t="str">
        <f t="shared" si="110"/>
        <v/>
      </c>
      <c r="M285" s="96">
        <f t="shared" si="111"/>
        <v>0</v>
      </c>
      <c r="N285" s="97">
        <f>IF(M285=0,0,IF(SUM($M$5:M285)&gt;251,1,0))</f>
        <v>0</v>
      </c>
      <c r="O285" s="162">
        <v>40</v>
      </c>
      <c r="P285" s="163">
        <v>1</v>
      </c>
      <c r="Q285" s="98"/>
      <c r="R285" s="415" t="s">
        <v>543</v>
      </c>
      <c r="S285" s="99" t="str">
        <f t="shared" si="123"/>
        <v>放課後児童支援員</v>
      </c>
      <c r="T285" s="100" t="str">
        <f t="shared" si="117"/>
        <v>対象</v>
      </c>
      <c r="U285" s="418" t="s">
        <v>539</v>
      </c>
      <c r="V285" s="99" t="str">
        <f t="shared" si="124"/>
        <v>放課後児童支援員</v>
      </c>
      <c r="W285" s="100" t="str">
        <f t="shared" si="118"/>
        <v>対象</v>
      </c>
      <c r="X285" s="418" t="s">
        <v>546</v>
      </c>
      <c r="Y285" s="99" t="str">
        <f t="shared" si="125"/>
        <v>放課後児童支援員</v>
      </c>
      <c r="Z285" s="100" t="str">
        <f t="shared" si="119"/>
        <v>対象</v>
      </c>
      <c r="AA285" s="418"/>
      <c r="AB285" s="99">
        <f t="shared" si="126"/>
        <v>0</v>
      </c>
      <c r="AC285" s="100">
        <f t="shared" si="120"/>
        <v>0</v>
      </c>
      <c r="AD285" s="418"/>
      <c r="AE285" s="99">
        <f t="shared" si="127"/>
        <v>0</v>
      </c>
      <c r="AF285" s="100">
        <f t="shared" si="121"/>
        <v>0</v>
      </c>
      <c r="AG285" s="351" t="str">
        <f t="shared" si="122"/>
        <v/>
      </c>
      <c r="AH285" s="272" t="str">
        <f t="shared" si="112"/>
        <v/>
      </c>
      <c r="AI285" s="358" t="str">
        <f t="shared" si="113"/>
        <v/>
      </c>
      <c r="AJ285" s="272" t="str">
        <f t="shared" si="114"/>
        <v/>
      </c>
      <c r="AK285" s="361" t="str">
        <f t="shared" si="115"/>
        <v/>
      </c>
      <c r="AL285" s="11"/>
      <c r="AM285" s="11"/>
      <c r="AN285" s="11"/>
    </row>
    <row r="286" spans="1:40" ht="14.25">
      <c r="A286" s="787"/>
      <c r="B286" s="31" t="s">
        <v>178</v>
      </c>
      <c r="C286" s="184" t="s">
        <v>119</v>
      </c>
      <c r="D286" s="413" t="s">
        <v>24</v>
      </c>
      <c r="E286" s="49">
        <v>0.59722222222222221</v>
      </c>
      <c r="F286" s="49">
        <v>0.79166666666666663</v>
      </c>
      <c r="G286" s="93">
        <f t="shared" si="106"/>
        <v>0.19444444444444442</v>
      </c>
      <c r="H286" s="555">
        <f t="shared" si="116"/>
        <v>2.0833333333333259E-2</v>
      </c>
      <c r="I286" s="556">
        <f t="shared" si="107"/>
        <v>1</v>
      </c>
      <c r="J286" s="94">
        <f t="shared" si="108"/>
        <v>0</v>
      </c>
      <c r="K286" s="32">
        <f t="shared" si="109"/>
        <v>0</v>
      </c>
      <c r="L286" s="95" t="str">
        <f t="shared" si="110"/>
        <v/>
      </c>
      <c r="M286" s="96">
        <f t="shared" si="111"/>
        <v>0</v>
      </c>
      <c r="N286" s="97">
        <f>IF(M286=0,0,IF(SUM($M$5:M286)&gt;251,1,0))</f>
        <v>0</v>
      </c>
      <c r="O286" s="162">
        <v>40</v>
      </c>
      <c r="P286" s="163">
        <v>1</v>
      </c>
      <c r="Q286" s="98"/>
      <c r="R286" s="415" t="s">
        <v>543</v>
      </c>
      <c r="S286" s="99" t="str">
        <f t="shared" si="123"/>
        <v>放課後児童支援員</v>
      </c>
      <c r="T286" s="100" t="str">
        <f t="shared" si="117"/>
        <v>対象</v>
      </c>
      <c r="U286" s="418" t="s">
        <v>539</v>
      </c>
      <c r="V286" s="99" t="str">
        <f t="shared" si="124"/>
        <v>放課後児童支援員</v>
      </c>
      <c r="W286" s="100" t="str">
        <f t="shared" si="118"/>
        <v>対象</v>
      </c>
      <c r="X286" s="418"/>
      <c r="Y286" s="99">
        <f t="shared" si="125"/>
        <v>0</v>
      </c>
      <c r="Z286" s="100">
        <f t="shared" si="119"/>
        <v>0</v>
      </c>
      <c r="AA286" s="418"/>
      <c r="AB286" s="99">
        <f t="shared" si="126"/>
        <v>0</v>
      </c>
      <c r="AC286" s="100">
        <f t="shared" si="120"/>
        <v>0</v>
      </c>
      <c r="AD286" s="418"/>
      <c r="AE286" s="99">
        <f t="shared" si="127"/>
        <v>0</v>
      </c>
      <c r="AF286" s="100">
        <f t="shared" si="121"/>
        <v>0</v>
      </c>
      <c r="AG286" s="351" t="str">
        <f t="shared" si="122"/>
        <v/>
      </c>
      <c r="AH286" s="272" t="str">
        <f t="shared" si="112"/>
        <v/>
      </c>
      <c r="AI286" s="358" t="str">
        <f t="shared" si="113"/>
        <v/>
      </c>
      <c r="AJ286" s="272" t="str">
        <f t="shared" si="114"/>
        <v/>
      </c>
      <c r="AK286" s="361" t="str">
        <f t="shared" si="115"/>
        <v/>
      </c>
      <c r="AL286" s="11"/>
      <c r="AM286" s="11"/>
      <c r="AN286" s="11"/>
    </row>
    <row r="287" spans="1:40" ht="14.25">
      <c r="A287" s="787"/>
      <c r="B287" s="31" t="s">
        <v>179</v>
      </c>
      <c r="C287" s="184" t="s">
        <v>120</v>
      </c>
      <c r="D287" s="413" t="s">
        <v>24</v>
      </c>
      <c r="E287" s="49">
        <v>0.54861111111111105</v>
      </c>
      <c r="F287" s="49">
        <v>0.79166666666666663</v>
      </c>
      <c r="G287" s="93">
        <f t="shared" si="106"/>
        <v>0.24305555555555558</v>
      </c>
      <c r="H287" s="555">
        <f t="shared" si="116"/>
        <v>2.0833333333333259E-2</v>
      </c>
      <c r="I287" s="556">
        <f t="shared" si="107"/>
        <v>1</v>
      </c>
      <c r="J287" s="94">
        <f t="shared" si="108"/>
        <v>0</v>
      </c>
      <c r="K287" s="32">
        <f t="shared" si="109"/>
        <v>0</v>
      </c>
      <c r="L287" s="95" t="str">
        <f t="shared" si="110"/>
        <v/>
      </c>
      <c r="M287" s="96">
        <f t="shared" si="111"/>
        <v>0</v>
      </c>
      <c r="N287" s="97">
        <f>IF(M287=0,0,IF(SUM($M$5:M287)&gt;251,1,0))</f>
        <v>0</v>
      </c>
      <c r="O287" s="162">
        <v>40</v>
      </c>
      <c r="P287" s="163">
        <v>1</v>
      </c>
      <c r="Q287" s="98"/>
      <c r="R287" s="415" t="s">
        <v>543</v>
      </c>
      <c r="S287" s="99" t="str">
        <f t="shared" si="123"/>
        <v>放課後児童支援員</v>
      </c>
      <c r="T287" s="100" t="str">
        <f t="shared" si="117"/>
        <v>対象</v>
      </c>
      <c r="U287" s="418" t="s">
        <v>539</v>
      </c>
      <c r="V287" s="99" t="str">
        <f t="shared" si="124"/>
        <v>放課後児童支援員</v>
      </c>
      <c r="W287" s="100" t="str">
        <f t="shared" si="118"/>
        <v>対象</v>
      </c>
      <c r="X287" s="418" t="s">
        <v>546</v>
      </c>
      <c r="Y287" s="99" t="str">
        <f t="shared" si="125"/>
        <v>放課後児童支援員</v>
      </c>
      <c r="Z287" s="100" t="str">
        <f t="shared" si="119"/>
        <v>対象</v>
      </c>
      <c r="AA287" s="418"/>
      <c r="AB287" s="99">
        <f t="shared" si="126"/>
        <v>0</v>
      </c>
      <c r="AC287" s="100">
        <f t="shared" si="120"/>
        <v>0</v>
      </c>
      <c r="AD287" s="418"/>
      <c r="AE287" s="99">
        <f t="shared" si="127"/>
        <v>0</v>
      </c>
      <c r="AF287" s="100">
        <f t="shared" si="121"/>
        <v>0</v>
      </c>
      <c r="AG287" s="351" t="str">
        <f t="shared" si="122"/>
        <v/>
      </c>
      <c r="AH287" s="272" t="str">
        <f t="shared" si="112"/>
        <v/>
      </c>
      <c r="AI287" s="358" t="str">
        <f t="shared" si="113"/>
        <v/>
      </c>
      <c r="AJ287" s="272" t="str">
        <f t="shared" si="114"/>
        <v/>
      </c>
      <c r="AK287" s="361" t="str">
        <f t="shared" si="115"/>
        <v/>
      </c>
      <c r="AL287" s="11"/>
      <c r="AM287" s="11"/>
      <c r="AN287" s="11"/>
    </row>
    <row r="288" spans="1:40" ht="14.25">
      <c r="A288" s="787"/>
      <c r="B288" s="31" t="s">
        <v>180</v>
      </c>
      <c r="C288" s="184" t="s">
        <v>121</v>
      </c>
      <c r="D288" s="413" t="s">
        <v>24</v>
      </c>
      <c r="E288" s="49">
        <v>0.60416666666666663</v>
      </c>
      <c r="F288" s="49">
        <v>0.81180555555555556</v>
      </c>
      <c r="G288" s="93">
        <f t="shared" si="106"/>
        <v>0.20763888888888893</v>
      </c>
      <c r="H288" s="555">
        <f t="shared" si="116"/>
        <v>4.0972222222222188E-2</v>
      </c>
      <c r="I288" s="556">
        <f t="shared" si="107"/>
        <v>1</v>
      </c>
      <c r="J288" s="94">
        <f t="shared" si="108"/>
        <v>0</v>
      </c>
      <c r="K288" s="32">
        <f t="shared" si="109"/>
        <v>0</v>
      </c>
      <c r="L288" s="95" t="str">
        <f t="shared" si="110"/>
        <v/>
      </c>
      <c r="M288" s="96">
        <f t="shared" si="111"/>
        <v>0</v>
      </c>
      <c r="N288" s="97">
        <f>IF(M288=0,0,IF(SUM($M$5:M288)&gt;251,1,0))</f>
        <v>0</v>
      </c>
      <c r="O288" s="162">
        <v>40</v>
      </c>
      <c r="P288" s="163">
        <v>1</v>
      </c>
      <c r="Q288" s="98"/>
      <c r="R288" s="415" t="s">
        <v>543</v>
      </c>
      <c r="S288" s="99" t="str">
        <f t="shared" si="123"/>
        <v>放課後児童支援員</v>
      </c>
      <c r="T288" s="100" t="str">
        <f t="shared" si="117"/>
        <v>対象</v>
      </c>
      <c r="U288" s="418" t="s">
        <v>539</v>
      </c>
      <c r="V288" s="99" t="str">
        <f t="shared" si="124"/>
        <v>放課後児童支援員</v>
      </c>
      <c r="W288" s="100" t="str">
        <f t="shared" si="118"/>
        <v>対象</v>
      </c>
      <c r="X288" s="418" t="s">
        <v>546</v>
      </c>
      <c r="Y288" s="99" t="str">
        <f t="shared" si="125"/>
        <v>放課後児童支援員</v>
      </c>
      <c r="Z288" s="100" t="str">
        <f t="shared" si="119"/>
        <v>対象</v>
      </c>
      <c r="AA288" s="418"/>
      <c r="AB288" s="99">
        <f t="shared" si="126"/>
        <v>0</v>
      </c>
      <c r="AC288" s="100">
        <f t="shared" si="120"/>
        <v>0</v>
      </c>
      <c r="AD288" s="418"/>
      <c r="AE288" s="99">
        <f t="shared" si="127"/>
        <v>0</v>
      </c>
      <c r="AF288" s="100">
        <f t="shared" si="121"/>
        <v>0</v>
      </c>
      <c r="AG288" s="351" t="str">
        <f t="shared" si="122"/>
        <v/>
      </c>
      <c r="AH288" s="272" t="str">
        <f t="shared" si="112"/>
        <v/>
      </c>
      <c r="AI288" s="358" t="str">
        <f t="shared" si="113"/>
        <v/>
      </c>
      <c r="AJ288" s="272" t="str">
        <f t="shared" si="114"/>
        <v/>
      </c>
      <c r="AK288" s="361" t="str">
        <f t="shared" si="115"/>
        <v/>
      </c>
      <c r="AL288" s="11"/>
      <c r="AM288" s="11"/>
      <c r="AN288" s="11"/>
    </row>
    <row r="289" spans="1:40" ht="14.25">
      <c r="A289" s="787"/>
      <c r="B289" s="31" t="s">
        <v>181</v>
      </c>
      <c r="C289" s="184" t="s">
        <v>122</v>
      </c>
      <c r="D289" s="413" t="s">
        <v>173</v>
      </c>
      <c r="E289" s="49"/>
      <c r="F289" s="49"/>
      <c r="G289" s="93">
        <f t="shared" si="106"/>
        <v>0</v>
      </c>
      <c r="H289" s="555" t="str">
        <f t="shared" si="116"/>
        <v>0:00</v>
      </c>
      <c r="I289" s="556">
        <f t="shared" si="107"/>
        <v>0</v>
      </c>
      <c r="J289" s="94">
        <f t="shared" si="108"/>
        <v>0</v>
      </c>
      <c r="K289" s="32">
        <f t="shared" si="109"/>
        <v>0</v>
      </c>
      <c r="L289" s="95" t="str">
        <f t="shared" si="110"/>
        <v/>
      </c>
      <c r="M289" s="96">
        <f t="shared" si="111"/>
        <v>0</v>
      </c>
      <c r="N289" s="97">
        <f>IF(M289=0,0,IF(SUM($M$5:M289)&gt;251,1,0))</f>
        <v>0</v>
      </c>
      <c r="O289" s="162"/>
      <c r="P289" s="163"/>
      <c r="Q289" s="98"/>
      <c r="R289" s="415"/>
      <c r="S289" s="99">
        <f t="shared" si="123"/>
        <v>0</v>
      </c>
      <c r="T289" s="100">
        <f t="shared" si="117"/>
        <v>0</v>
      </c>
      <c r="U289" s="418"/>
      <c r="V289" s="99">
        <f t="shared" si="124"/>
        <v>0</v>
      </c>
      <c r="W289" s="100">
        <f t="shared" si="118"/>
        <v>0</v>
      </c>
      <c r="X289" s="418"/>
      <c r="Y289" s="99">
        <f t="shared" si="125"/>
        <v>0</v>
      </c>
      <c r="Z289" s="100">
        <f t="shared" si="119"/>
        <v>0</v>
      </c>
      <c r="AA289" s="418"/>
      <c r="AB289" s="99">
        <f t="shared" si="126"/>
        <v>0</v>
      </c>
      <c r="AC289" s="100">
        <f t="shared" si="120"/>
        <v>0</v>
      </c>
      <c r="AD289" s="418"/>
      <c r="AE289" s="99">
        <f t="shared" si="127"/>
        <v>0</v>
      </c>
      <c r="AF289" s="100">
        <f t="shared" si="121"/>
        <v>0</v>
      </c>
      <c r="AG289" s="351" t="str">
        <f t="shared" si="122"/>
        <v/>
      </c>
      <c r="AH289" s="272" t="str">
        <f t="shared" si="112"/>
        <v/>
      </c>
      <c r="AI289" s="358" t="str">
        <f t="shared" si="113"/>
        <v/>
      </c>
      <c r="AJ289" s="272" t="str">
        <f t="shared" si="114"/>
        <v/>
      </c>
      <c r="AK289" s="361" t="str">
        <f t="shared" si="115"/>
        <v/>
      </c>
      <c r="AL289" s="11"/>
      <c r="AM289" s="11"/>
      <c r="AN289" s="11"/>
    </row>
    <row r="290" spans="1:40" ht="14.25">
      <c r="A290" s="787"/>
      <c r="B290" s="31" t="s">
        <v>182</v>
      </c>
      <c r="C290" s="184" t="s">
        <v>183</v>
      </c>
      <c r="D290" s="413" t="s">
        <v>173</v>
      </c>
      <c r="E290" s="49"/>
      <c r="F290" s="49"/>
      <c r="G290" s="93">
        <f t="shared" si="106"/>
        <v>0</v>
      </c>
      <c r="H290" s="555" t="str">
        <f t="shared" si="116"/>
        <v>0:00</v>
      </c>
      <c r="I290" s="556">
        <f t="shared" si="107"/>
        <v>0</v>
      </c>
      <c r="J290" s="94">
        <f t="shared" si="108"/>
        <v>0</v>
      </c>
      <c r="K290" s="32">
        <f t="shared" si="109"/>
        <v>0</v>
      </c>
      <c r="L290" s="95" t="str">
        <f t="shared" si="110"/>
        <v/>
      </c>
      <c r="M290" s="96">
        <f t="shared" si="111"/>
        <v>0</v>
      </c>
      <c r="N290" s="97">
        <f>IF(M290=0,0,IF(SUM($M$5:M290)&gt;251,1,0))</f>
        <v>0</v>
      </c>
      <c r="O290" s="162"/>
      <c r="P290" s="163"/>
      <c r="Q290" s="98"/>
      <c r="R290" s="415"/>
      <c r="S290" s="99">
        <f t="shared" si="123"/>
        <v>0</v>
      </c>
      <c r="T290" s="100">
        <f t="shared" si="117"/>
        <v>0</v>
      </c>
      <c r="U290" s="418"/>
      <c r="V290" s="99">
        <f t="shared" si="124"/>
        <v>0</v>
      </c>
      <c r="W290" s="100">
        <f t="shared" si="118"/>
        <v>0</v>
      </c>
      <c r="X290" s="418"/>
      <c r="Y290" s="99">
        <f t="shared" si="125"/>
        <v>0</v>
      </c>
      <c r="Z290" s="100">
        <f t="shared" si="119"/>
        <v>0</v>
      </c>
      <c r="AA290" s="418"/>
      <c r="AB290" s="99">
        <f t="shared" si="126"/>
        <v>0</v>
      </c>
      <c r="AC290" s="100">
        <f t="shared" si="120"/>
        <v>0</v>
      </c>
      <c r="AD290" s="418"/>
      <c r="AE290" s="99">
        <f t="shared" si="127"/>
        <v>0</v>
      </c>
      <c r="AF290" s="100">
        <f t="shared" si="121"/>
        <v>0</v>
      </c>
      <c r="AG290" s="351" t="str">
        <f t="shared" si="122"/>
        <v/>
      </c>
      <c r="AH290" s="272" t="str">
        <f t="shared" si="112"/>
        <v/>
      </c>
      <c r="AI290" s="358" t="str">
        <f t="shared" si="113"/>
        <v/>
      </c>
      <c r="AJ290" s="272" t="str">
        <f t="shared" si="114"/>
        <v/>
      </c>
      <c r="AK290" s="361" t="str">
        <f t="shared" si="115"/>
        <v/>
      </c>
      <c r="AL290" s="11"/>
      <c r="AM290" s="11"/>
      <c r="AN290" s="11"/>
    </row>
    <row r="291" spans="1:40" ht="14.25">
      <c r="A291" s="787"/>
      <c r="B291" s="31" t="s">
        <v>184</v>
      </c>
      <c r="C291" s="184" t="s">
        <v>118</v>
      </c>
      <c r="D291" s="413" t="s">
        <v>24</v>
      </c>
      <c r="E291" s="49">
        <v>0.59722222222222221</v>
      </c>
      <c r="F291" s="49">
        <v>0.7715277777777777</v>
      </c>
      <c r="G291" s="93">
        <f t="shared" si="106"/>
        <v>0.17430555555555549</v>
      </c>
      <c r="H291" s="555">
        <f t="shared" si="116"/>
        <v>6.9444444444433095E-4</v>
      </c>
      <c r="I291" s="556">
        <f t="shared" si="107"/>
        <v>1</v>
      </c>
      <c r="J291" s="94">
        <f t="shared" si="108"/>
        <v>0</v>
      </c>
      <c r="K291" s="32">
        <f t="shared" si="109"/>
        <v>0</v>
      </c>
      <c r="L291" s="95" t="str">
        <f t="shared" si="110"/>
        <v/>
      </c>
      <c r="M291" s="96">
        <f t="shared" si="111"/>
        <v>0</v>
      </c>
      <c r="N291" s="97">
        <f>IF(M291=0,0,IF(SUM($M$5:M291)&gt;251,1,0))</f>
        <v>0</v>
      </c>
      <c r="O291" s="162">
        <v>40</v>
      </c>
      <c r="P291" s="163">
        <v>1</v>
      </c>
      <c r="Q291" s="98"/>
      <c r="R291" s="415" t="s">
        <v>543</v>
      </c>
      <c r="S291" s="99" t="str">
        <f t="shared" si="123"/>
        <v>放課後児童支援員</v>
      </c>
      <c r="T291" s="100" t="str">
        <f t="shared" si="117"/>
        <v>対象</v>
      </c>
      <c r="U291" s="418" t="s">
        <v>539</v>
      </c>
      <c r="V291" s="99" t="str">
        <f t="shared" si="124"/>
        <v>放課後児童支援員</v>
      </c>
      <c r="W291" s="100" t="str">
        <f t="shared" si="118"/>
        <v>対象</v>
      </c>
      <c r="X291" s="418"/>
      <c r="Y291" s="99">
        <f t="shared" si="125"/>
        <v>0</v>
      </c>
      <c r="Z291" s="100">
        <f t="shared" si="119"/>
        <v>0</v>
      </c>
      <c r="AA291" s="418"/>
      <c r="AB291" s="99">
        <f t="shared" si="126"/>
        <v>0</v>
      </c>
      <c r="AC291" s="100">
        <f t="shared" si="120"/>
        <v>0</v>
      </c>
      <c r="AD291" s="418"/>
      <c r="AE291" s="99">
        <f t="shared" si="127"/>
        <v>0</v>
      </c>
      <c r="AF291" s="100">
        <f t="shared" si="121"/>
        <v>0</v>
      </c>
      <c r="AG291" s="351" t="str">
        <f t="shared" si="122"/>
        <v/>
      </c>
      <c r="AH291" s="272" t="str">
        <f t="shared" si="112"/>
        <v/>
      </c>
      <c r="AI291" s="358" t="str">
        <f t="shared" si="113"/>
        <v/>
      </c>
      <c r="AJ291" s="272" t="str">
        <f t="shared" si="114"/>
        <v/>
      </c>
      <c r="AK291" s="361" t="str">
        <f t="shared" si="115"/>
        <v/>
      </c>
      <c r="AL291" s="11"/>
      <c r="AM291" s="11"/>
      <c r="AN291" s="11"/>
    </row>
    <row r="292" spans="1:40" ht="14.25">
      <c r="A292" s="787"/>
      <c r="B292" s="31" t="s">
        <v>185</v>
      </c>
      <c r="C292" s="184" t="s">
        <v>123</v>
      </c>
      <c r="D292" s="413" t="s">
        <v>24</v>
      </c>
      <c r="E292" s="49">
        <v>0.59722222222222221</v>
      </c>
      <c r="F292" s="49">
        <v>0.79166666666666663</v>
      </c>
      <c r="G292" s="93">
        <f t="shared" si="106"/>
        <v>0.19444444444444442</v>
      </c>
      <c r="H292" s="555">
        <f t="shared" si="116"/>
        <v>2.0833333333333259E-2</v>
      </c>
      <c r="I292" s="556">
        <f t="shared" si="107"/>
        <v>1</v>
      </c>
      <c r="J292" s="94">
        <f t="shared" si="108"/>
        <v>0</v>
      </c>
      <c r="K292" s="32">
        <f t="shared" si="109"/>
        <v>0</v>
      </c>
      <c r="L292" s="95" t="str">
        <f t="shared" si="110"/>
        <v/>
      </c>
      <c r="M292" s="96">
        <f t="shared" si="111"/>
        <v>0</v>
      </c>
      <c r="N292" s="97">
        <f>IF(M292=0,0,IF(SUM($M$5:M292)&gt;251,1,0))</f>
        <v>0</v>
      </c>
      <c r="O292" s="162">
        <v>40</v>
      </c>
      <c r="P292" s="163">
        <v>1</v>
      </c>
      <c r="Q292" s="98"/>
      <c r="R292" s="415" t="s">
        <v>543</v>
      </c>
      <c r="S292" s="99" t="str">
        <f t="shared" si="123"/>
        <v>放課後児童支援員</v>
      </c>
      <c r="T292" s="100" t="str">
        <f t="shared" si="117"/>
        <v>対象</v>
      </c>
      <c r="U292" s="418" t="s">
        <v>539</v>
      </c>
      <c r="V292" s="99" t="str">
        <f t="shared" si="124"/>
        <v>放課後児童支援員</v>
      </c>
      <c r="W292" s="100" t="str">
        <f t="shared" si="118"/>
        <v>対象</v>
      </c>
      <c r="X292" s="418"/>
      <c r="Y292" s="99">
        <f t="shared" si="125"/>
        <v>0</v>
      </c>
      <c r="Z292" s="100">
        <f t="shared" si="119"/>
        <v>0</v>
      </c>
      <c r="AA292" s="418"/>
      <c r="AB292" s="99">
        <f t="shared" si="126"/>
        <v>0</v>
      </c>
      <c r="AC292" s="100">
        <f t="shared" si="120"/>
        <v>0</v>
      </c>
      <c r="AD292" s="418"/>
      <c r="AE292" s="99">
        <f t="shared" si="127"/>
        <v>0</v>
      </c>
      <c r="AF292" s="100">
        <f t="shared" si="121"/>
        <v>0</v>
      </c>
      <c r="AG292" s="351" t="str">
        <f t="shared" si="122"/>
        <v/>
      </c>
      <c r="AH292" s="272" t="str">
        <f t="shared" si="112"/>
        <v/>
      </c>
      <c r="AI292" s="358" t="str">
        <f t="shared" si="113"/>
        <v/>
      </c>
      <c r="AJ292" s="272" t="str">
        <f t="shared" si="114"/>
        <v/>
      </c>
      <c r="AK292" s="361" t="str">
        <f t="shared" si="115"/>
        <v/>
      </c>
      <c r="AL292" s="11"/>
      <c r="AM292" s="11"/>
      <c r="AN292" s="11"/>
    </row>
    <row r="293" spans="1:40" ht="14.25">
      <c r="A293" s="787"/>
      <c r="B293" s="31" t="s">
        <v>186</v>
      </c>
      <c r="C293" s="184" t="s">
        <v>119</v>
      </c>
      <c r="D293" s="413" t="s">
        <v>24</v>
      </c>
      <c r="E293" s="49">
        <v>0.59722222222222221</v>
      </c>
      <c r="F293" s="49">
        <v>0.79166666666666663</v>
      </c>
      <c r="G293" s="93">
        <f t="shared" si="106"/>
        <v>0.19444444444444442</v>
      </c>
      <c r="H293" s="555">
        <f t="shared" si="116"/>
        <v>2.0833333333333259E-2</v>
      </c>
      <c r="I293" s="556">
        <f t="shared" si="107"/>
        <v>1</v>
      </c>
      <c r="J293" s="94">
        <f t="shared" si="108"/>
        <v>0</v>
      </c>
      <c r="K293" s="32">
        <f t="shared" si="109"/>
        <v>0</v>
      </c>
      <c r="L293" s="95" t="str">
        <f t="shared" si="110"/>
        <v/>
      </c>
      <c r="M293" s="96">
        <f t="shared" si="111"/>
        <v>0</v>
      </c>
      <c r="N293" s="97">
        <f>IF(M293=0,0,IF(SUM($M$5:M293)&gt;251,1,0))</f>
        <v>0</v>
      </c>
      <c r="O293" s="162">
        <v>40</v>
      </c>
      <c r="P293" s="163">
        <v>1</v>
      </c>
      <c r="Q293" s="98"/>
      <c r="R293" s="415" t="s">
        <v>543</v>
      </c>
      <c r="S293" s="99" t="str">
        <f t="shared" si="123"/>
        <v>放課後児童支援員</v>
      </c>
      <c r="T293" s="100" t="str">
        <f t="shared" si="117"/>
        <v>対象</v>
      </c>
      <c r="U293" s="418" t="s">
        <v>539</v>
      </c>
      <c r="V293" s="99" t="str">
        <f t="shared" si="124"/>
        <v>放課後児童支援員</v>
      </c>
      <c r="W293" s="100" t="str">
        <f t="shared" si="118"/>
        <v>対象</v>
      </c>
      <c r="X293" s="418"/>
      <c r="Y293" s="99">
        <f t="shared" si="125"/>
        <v>0</v>
      </c>
      <c r="Z293" s="100">
        <f t="shared" si="119"/>
        <v>0</v>
      </c>
      <c r="AA293" s="418"/>
      <c r="AB293" s="99">
        <f t="shared" si="126"/>
        <v>0</v>
      </c>
      <c r="AC293" s="100">
        <f t="shared" si="120"/>
        <v>0</v>
      </c>
      <c r="AD293" s="418"/>
      <c r="AE293" s="99">
        <f t="shared" si="127"/>
        <v>0</v>
      </c>
      <c r="AF293" s="100">
        <f t="shared" si="121"/>
        <v>0</v>
      </c>
      <c r="AG293" s="351" t="str">
        <f t="shared" si="122"/>
        <v/>
      </c>
      <c r="AH293" s="272" t="str">
        <f t="shared" si="112"/>
        <v/>
      </c>
      <c r="AI293" s="358" t="str">
        <f t="shared" si="113"/>
        <v/>
      </c>
      <c r="AJ293" s="272" t="str">
        <f t="shared" si="114"/>
        <v/>
      </c>
      <c r="AK293" s="361" t="str">
        <f t="shared" si="115"/>
        <v/>
      </c>
      <c r="AL293" s="11"/>
      <c r="AM293" s="11"/>
      <c r="AN293" s="11"/>
    </row>
    <row r="294" spans="1:40" ht="14.25">
      <c r="A294" s="787"/>
      <c r="B294" s="31" t="s">
        <v>187</v>
      </c>
      <c r="C294" s="184" t="s">
        <v>120</v>
      </c>
      <c r="D294" s="413" t="s">
        <v>24</v>
      </c>
      <c r="E294" s="49">
        <v>0.54861111111111105</v>
      </c>
      <c r="F294" s="49">
        <v>0.79166666666666663</v>
      </c>
      <c r="G294" s="93">
        <f t="shared" si="106"/>
        <v>0.24305555555555558</v>
      </c>
      <c r="H294" s="555">
        <f t="shared" si="116"/>
        <v>2.0833333333333259E-2</v>
      </c>
      <c r="I294" s="556">
        <f t="shared" si="107"/>
        <v>1</v>
      </c>
      <c r="J294" s="94">
        <f t="shared" si="108"/>
        <v>0</v>
      </c>
      <c r="K294" s="32">
        <f t="shared" si="109"/>
        <v>0</v>
      </c>
      <c r="L294" s="95" t="str">
        <f t="shared" si="110"/>
        <v/>
      </c>
      <c r="M294" s="96">
        <f t="shared" si="111"/>
        <v>0</v>
      </c>
      <c r="N294" s="97">
        <f>IF(M294=0,0,IF(SUM($M$5:M294)&gt;251,1,0))</f>
        <v>0</v>
      </c>
      <c r="O294" s="162">
        <v>40</v>
      </c>
      <c r="P294" s="163">
        <v>1</v>
      </c>
      <c r="Q294" s="98"/>
      <c r="R294" s="415" t="s">
        <v>543</v>
      </c>
      <c r="S294" s="99" t="str">
        <f t="shared" si="123"/>
        <v>放課後児童支援員</v>
      </c>
      <c r="T294" s="100" t="str">
        <f t="shared" si="117"/>
        <v>対象</v>
      </c>
      <c r="U294" s="418" t="s">
        <v>539</v>
      </c>
      <c r="V294" s="99" t="str">
        <f t="shared" si="124"/>
        <v>放課後児童支援員</v>
      </c>
      <c r="W294" s="100" t="str">
        <f t="shared" si="118"/>
        <v>対象</v>
      </c>
      <c r="X294" s="418" t="s">
        <v>546</v>
      </c>
      <c r="Y294" s="99" t="str">
        <f t="shared" si="125"/>
        <v>放課後児童支援員</v>
      </c>
      <c r="Z294" s="100" t="str">
        <f t="shared" si="119"/>
        <v>対象</v>
      </c>
      <c r="AA294" s="418"/>
      <c r="AB294" s="99">
        <f t="shared" si="126"/>
        <v>0</v>
      </c>
      <c r="AC294" s="100">
        <f t="shared" si="120"/>
        <v>0</v>
      </c>
      <c r="AD294" s="418"/>
      <c r="AE294" s="99">
        <f t="shared" si="127"/>
        <v>0</v>
      </c>
      <c r="AF294" s="100">
        <f t="shared" si="121"/>
        <v>0</v>
      </c>
      <c r="AG294" s="351" t="str">
        <f t="shared" si="122"/>
        <v/>
      </c>
      <c r="AH294" s="272" t="str">
        <f t="shared" si="112"/>
        <v/>
      </c>
      <c r="AI294" s="358" t="str">
        <f t="shared" si="113"/>
        <v/>
      </c>
      <c r="AJ294" s="272" t="str">
        <f t="shared" si="114"/>
        <v/>
      </c>
      <c r="AK294" s="361" t="str">
        <f t="shared" si="115"/>
        <v/>
      </c>
      <c r="AL294" s="11"/>
      <c r="AM294" s="11"/>
      <c r="AN294" s="11"/>
    </row>
    <row r="295" spans="1:40" ht="14.25">
      <c r="A295" s="787"/>
      <c r="B295" s="31" t="s">
        <v>188</v>
      </c>
      <c r="C295" s="184" t="s">
        <v>121</v>
      </c>
      <c r="D295" s="413" t="s">
        <v>24</v>
      </c>
      <c r="E295" s="49">
        <v>0.60416666666666663</v>
      </c>
      <c r="F295" s="49">
        <v>0.81180555555555556</v>
      </c>
      <c r="G295" s="93">
        <f t="shared" si="106"/>
        <v>0.20763888888888893</v>
      </c>
      <c r="H295" s="555">
        <f t="shared" si="116"/>
        <v>4.0972222222222188E-2</v>
      </c>
      <c r="I295" s="556">
        <f t="shared" si="107"/>
        <v>1</v>
      </c>
      <c r="J295" s="94">
        <f t="shared" si="108"/>
        <v>0</v>
      </c>
      <c r="K295" s="32">
        <f t="shared" si="109"/>
        <v>0</v>
      </c>
      <c r="L295" s="95" t="str">
        <f t="shared" si="110"/>
        <v/>
      </c>
      <c r="M295" s="96">
        <f t="shared" si="111"/>
        <v>0</v>
      </c>
      <c r="N295" s="97">
        <f>IF(M295=0,0,IF(SUM($M$5:M295)&gt;251,1,0))</f>
        <v>0</v>
      </c>
      <c r="O295" s="162">
        <v>40</v>
      </c>
      <c r="P295" s="163">
        <v>1</v>
      </c>
      <c r="Q295" s="98"/>
      <c r="R295" s="415" t="s">
        <v>543</v>
      </c>
      <c r="S295" s="99" t="str">
        <f t="shared" si="123"/>
        <v>放課後児童支援員</v>
      </c>
      <c r="T295" s="100" t="str">
        <f t="shared" si="117"/>
        <v>対象</v>
      </c>
      <c r="U295" s="418" t="s">
        <v>539</v>
      </c>
      <c r="V295" s="99" t="str">
        <f t="shared" si="124"/>
        <v>放課後児童支援員</v>
      </c>
      <c r="W295" s="100" t="str">
        <f t="shared" si="118"/>
        <v>対象</v>
      </c>
      <c r="X295" s="418" t="s">
        <v>546</v>
      </c>
      <c r="Y295" s="99" t="str">
        <f t="shared" si="125"/>
        <v>放課後児童支援員</v>
      </c>
      <c r="Z295" s="100" t="str">
        <f t="shared" si="119"/>
        <v>対象</v>
      </c>
      <c r="AA295" s="418"/>
      <c r="AB295" s="99">
        <f t="shared" si="126"/>
        <v>0</v>
      </c>
      <c r="AC295" s="100">
        <f t="shared" si="120"/>
        <v>0</v>
      </c>
      <c r="AD295" s="418"/>
      <c r="AE295" s="99">
        <f t="shared" si="127"/>
        <v>0</v>
      </c>
      <c r="AF295" s="100">
        <f t="shared" si="121"/>
        <v>0</v>
      </c>
      <c r="AG295" s="351" t="str">
        <f t="shared" si="122"/>
        <v/>
      </c>
      <c r="AH295" s="272" t="str">
        <f t="shared" si="112"/>
        <v/>
      </c>
      <c r="AI295" s="358" t="str">
        <f t="shared" si="113"/>
        <v/>
      </c>
      <c r="AJ295" s="272" t="str">
        <f t="shared" si="114"/>
        <v/>
      </c>
      <c r="AK295" s="361" t="str">
        <f t="shared" si="115"/>
        <v/>
      </c>
      <c r="AL295" s="11"/>
      <c r="AM295" s="11"/>
      <c r="AN295" s="11"/>
    </row>
    <row r="296" spans="1:40" ht="14.25">
      <c r="A296" s="787"/>
      <c r="B296" s="31" t="s">
        <v>189</v>
      </c>
      <c r="C296" s="184" t="s">
        <v>122</v>
      </c>
      <c r="D296" s="413" t="s">
        <v>171</v>
      </c>
      <c r="E296" s="49">
        <v>0.33333333333333331</v>
      </c>
      <c r="F296" s="49">
        <v>0.6875</v>
      </c>
      <c r="G296" s="93">
        <f t="shared" si="106"/>
        <v>0.35416666666666669</v>
      </c>
      <c r="H296" s="555" t="str">
        <f t="shared" si="116"/>
        <v>0:00</v>
      </c>
      <c r="I296" s="556">
        <f t="shared" si="107"/>
        <v>0</v>
      </c>
      <c r="J296" s="94">
        <f t="shared" si="108"/>
        <v>2.083333333333337E-2</v>
      </c>
      <c r="K296" s="32">
        <f t="shared" si="109"/>
        <v>1</v>
      </c>
      <c r="L296" s="95" t="str">
        <f t="shared" si="110"/>
        <v/>
      </c>
      <c r="M296" s="96">
        <f t="shared" si="111"/>
        <v>1</v>
      </c>
      <c r="N296" s="97">
        <f>IF(M296=0,0,IF(SUM($M$5:M296)&gt;251,1,0))</f>
        <v>0</v>
      </c>
      <c r="O296" s="162">
        <v>5</v>
      </c>
      <c r="P296" s="163">
        <v>0</v>
      </c>
      <c r="Q296" s="98"/>
      <c r="R296" s="415" t="s">
        <v>543</v>
      </c>
      <c r="S296" s="99" t="str">
        <f t="shared" si="123"/>
        <v>放課後児童支援員</v>
      </c>
      <c r="T296" s="100" t="str">
        <f t="shared" si="117"/>
        <v>対象</v>
      </c>
      <c r="U296" s="418" t="s">
        <v>539</v>
      </c>
      <c r="V296" s="99" t="str">
        <f t="shared" si="124"/>
        <v>放課後児童支援員</v>
      </c>
      <c r="W296" s="100" t="str">
        <f t="shared" si="118"/>
        <v>対象</v>
      </c>
      <c r="X296" s="418" t="s">
        <v>546</v>
      </c>
      <c r="Y296" s="99" t="str">
        <f t="shared" si="125"/>
        <v>放課後児童支援員</v>
      </c>
      <c r="Z296" s="100" t="str">
        <f t="shared" si="119"/>
        <v>対象</v>
      </c>
      <c r="AA296" s="418"/>
      <c r="AB296" s="99">
        <f t="shared" si="126"/>
        <v>0</v>
      </c>
      <c r="AC296" s="100">
        <f t="shared" si="120"/>
        <v>0</v>
      </c>
      <c r="AD296" s="418"/>
      <c r="AE296" s="99">
        <f t="shared" si="127"/>
        <v>0</v>
      </c>
      <c r="AF296" s="100">
        <f t="shared" si="121"/>
        <v>0</v>
      </c>
      <c r="AG296" s="351" t="str">
        <f t="shared" si="122"/>
        <v/>
      </c>
      <c r="AH296" s="272" t="str">
        <f t="shared" si="112"/>
        <v/>
      </c>
      <c r="AI296" s="358" t="str">
        <f t="shared" si="113"/>
        <v/>
      </c>
      <c r="AJ296" s="272" t="str">
        <f t="shared" si="114"/>
        <v/>
      </c>
      <c r="AK296" s="361" t="str">
        <f t="shared" si="115"/>
        <v/>
      </c>
      <c r="AL296" s="11"/>
      <c r="AM296" s="11"/>
      <c r="AN296" s="11"/>
    </row>
    <row r="297" spans="1:40" ht="14.25">
      <c r="A297" s="787"/>
      <c r="B297" s="31" t="s">
        <v>190</v>
      </c>
      <c r="C297" s="184" t="s">
        <v>183</v>
      </c>
      <c r="D297" s="413" t="s">
        <v>173</v>
      </c>
      <c r="E297" s="49"/>
      <c r="F297" s="49"/>
      <c r="G297" s="93">
        <f t="shared" si="106"/>
        <v>0</v>
      </c>
      <c r="H297" s="555" t="str">
        <f t="shared" si="116"/>
        <v>0:00</v>
      </c>
      <c r="I297" s="556">
        <f t="shared" si="107"/>
        <v>0</v>
      </c>
      <c r="J297" s="94">
        <f t="shared" si="108"/>
        <v>0</v>
      </c>
      <c r="K297" s="32">
        <f t="shared" si="109"/>
        <v>0</v>
      </c>
      <c r="L297" s="95" t="str">
        <f t="shared" si="110"/>
        <v/>
      </c>
      <c r="M297" s="96">
        <f t="shared" si="111"/>
        <v>0</v>
      </c>
      <c r="N297" s="97">
        <f>IF(M297=0,0,IF(SUM($M$5:M297)&gt;251,1,0))</f>
        <v>0</v>
      </c>
      <c r="O297" s="162"/>
      <c r="P297" s="163"/>
      <c r="Q297" s="98"/>
      <c r="R297" s="415"/>
      <c r="S297" s="99">
        <f t="shared" si="123"/>
        <v>0</v>
      </c>
      <c r="T297" s="100">
        <f t="shared" si="117"/>
        <v>0</v>
      </c>
      <c r="U297" s="418"/>
      <c r="V297" s="99">
        <f t="shared" si="124"/>
        <v>0</v>
      </c>
      <c r="W297" s="100">
        <f t="shared" si="118"/>
        <v>0</v>
      </c>
      <c r="X297" s="418"/>
      <c r="Y297" s="99">
        <f t="shared" si="125"/>
        <v>0</v>
      </c>
      <c r="Z297" s="100">
        <f t="shared" si="119"/>
        <v>0</v>
      </c>
      <c r="AA297" s="418"/>
      <c r="AB297" s="99">
        <f t="shared" si="126"/>
        <v>0</v>
      </c>
      <c r="AC297" s="100">
        <f t="shared" si="120"/>
        <v>0</v>
      </c>
      <c r="AD297" s="418"/>
      <c r="AE297" s="99">
        <f t="shared" si="127"/>
        <v>0</v>
      </c>
      <c r="AF297" s="100">
        <f t="shared" si="121"/>
        <v>0</v>
      </c>
      <c r="AG297" s="351" t="str">
        <f t="shared" si="122"/>
        <v/>
      </c>
      <c r="AH297" s="272" t="str">
        <f t="shared" si="112"/>
        <v/>
      </c>
      <c r="AI297" s="358" t="str">
        <f t="shared" si="113"/>
        <v/>
      </c>
      <c r="AJ297" s="272" t="str">
        <f t="shared" si="114"/>
        <v/>
      </c>
      <c r="AK297" s="361" t="str">
        <f t="shared" si="115"/>
        <v/>
      </c>
      <c r="AL297" s="11"/>
      <c r="AM297" s="11"/>
      <c r="AN297" s="11"/>
    </row>
    <row r="298" spans="1:40" ht="14.25">
      <c r="A298" s="787"/>
      <c r="B298" s="31" t="s">
        <v>191</v>
      </c>
      <c r="C298" s="184" t="s">
        <v>118</v>
      </c>
      <c r="D298" s="413" t="s">
        <v>24</v>
      </c>
      <c r="E298" s="49">
        <v>0.59722222222222221</v>
      </c>
      <c r="F298" s="49">
        <v>0.7715277777777777</v>
      </c>
      <c r="G298" s="93">
        <f t="shared" si="106"/>
        <v>0.17430555555555549</v>
      </c>
      <c r="H298" s="555">
        <f t="shared" si="116"/>
        <v>6.9444444444433095E-4</v>
      </c>
      <c r="I298" s="556">
        <f t="shared" si="107"/>
        <v>1</v>
      </c>
      <c r="J298" s="94">
        <f t="shared" si="108"/>
        <v>0</v>
      </c>
      <c r="K298" s="32">
        <f t="shared" si="109"/>
        <v>0</v>
      </c>
      <c r="L298" s="95" t="str">
        <f t="shared" si="110"/>
        <v/>
      </c>
      <c r="M298" s="96">
        <f t="shared" si="111"/>
        <v>0</v>
      </c>
      <c r="N298" s="97">
        <f>IF(M298=0,0,IF(SUM($M$5:M298)&gt;251,1,0))</f>
        <v>0</v>
      </c>
      <c r="O298" s="162">
        <v>40</v>
      </c>
      <c r="P298" s="163">
        <v>1</v>
      </c>
      <c r="Q298" s="98"/>
      <c r="R298" s="415" t="s">
        <v>543</v>
      </c>
      <c r="S298" s="99" t="str">
        <f t="shared" si="123"/>
        <v>放課後児童支援員</v>
      </c>
      <c r="T298" s="100" t="str">
        <f t="shared" si="117"/>
        <v>対象</v>
      </c>
      <c r="U298" s="418" t="s">
        <v>539</v>
      </c>
      <c r="V298" s="99" t="str">
        <f t="shared" si="124"/>
        <v>放課後児童支援員</v>
      </c>
      <c r="W298" s="100" t="str">
        <f t="shared" si="118"/>
        <v>対象</v>
      </c>
      <c r="X298" s="418"/>
      <c r="Y298" s="99">
        <f t="shared" si="125"/>
        <v>0</v>
      </c>
      <c r="Z298" s="100">
        <f t="shared" si="119"/>
        <v>0</v>
      </c>
      <c r="AA298" s="418"/>
      <c r="AB298" s="99">
        <f t="shared" si="126"/>
        <v>0</v>
      </c>
      <c r="AC298" s="100">
        <f t="shared" si="120"/>
        <v>0</v>
      </c>
      <c r="AD298" s="418"/>
      <c r="AE298" s="99">
        <f t="shared" si="127"/>
        <v>0</v>
      </c>
      <c r="AF298" s="100">
        <f t="shared" si="121"/>
        <v>0</v>
      </c>
      <c r="AG298" s="351" t="str">
        <f t="shared" si="122"/>
        <v/>
      </c>
      <c r="AH298" s="272" t="str">
        <f t="shared" si="112"/>
        <v/>
      </c>
      <c r="AI298" s="358" t="str">
        <f t="shared" si="113"/>
        <v/>
      </c>
      <c r="AJ298" s="272" t="str">
        <f t="shared" si="114"/>
        <v/>
      </c>
      <c r="AK298" s="361" t="str">
        <f t="shared" si="115"/>
        <v/>
      </c>
      <c r="AL298" s="11"/>
      <c r="AM298" s="11"/>
      <c r="AN298" s="11"/>
    </row>
    <row r="299" spans="1:40" ht="14.25">
      <c r="A299" s="787"/>
      <c r="B299" s="31" t="s">
        <v>192</v>
      </c>
      <c r="C299" s="184" t="s">
        <v>123</v>
      </c>
      <c r="D299" s="413" t="s">
        <v>24</v>
      </c>
      <c r="E299" s="49">
        <v>0.59722222222222221</v>
      </c>
      <c r="F299" s="49">
        <v>0.79166666666666663</v>
      </c>
      <c r="G299" s="93">
        <f t="shared" si="106"/>
        <v>0.19444444444444442</v>
      </c>
      <c r="H299" s="555">
        <f t="shared" si="116"/>
        <v>2.0833333333333259E-2</v>
      </c>
      <c r="I299" s="556">
        <f t="shared" si="107"/>
        <v>1</v>
      </c>
      <c r="J299" s="94">
        <f t="shared" si="108"/>
        <v>0</v>
      </c>
      <c r="K299" s="32">
        <f t="shared" si="109"/>
        <v>0</v>
      </c>
      <c r="L299" s="95" t="str">
        <f t="shared" si="110"/>
        <v/>
      </c>
      <c r="M299" s="96">
        <f t="shared" si="111"/>
        <v>0</v>
      </c>
      <c r="N299" s="97">
        <f>IF(M299=0,0,IF(SUM($M$5:M299)&gt;251,1,0))</f>
        <v>0</v>
      </c>
      <c r="O299" s="162">
        <v>40</v>
      </c>
      <c r="P299" s="163">
        <v>1</v>
      </c>
      <c r="Q299" s="98"/>
      <c r="R299" s="415" t="s">
        <v>543</v>
      </c>
      <c r="S299" s="99" t="str">
        <f t="shared" si="123"/>
        <v>放課後児童支援員</v>
      </c>
      <c r="T299" s="100" t="str">
        <f t="shared" si="117"/>
        <v>対象</v>
      </c>
      <c r="U299" s="418" t="s">
        <v>539</v>
      </c>
      <c r="V299" s="99" t="str">
        <f t="shared" si="124"/>
        <v>放課後児童支援員</v>
      </c>
      <c r="W299" s="100" t="str">
        <f t="shared" si="118"/>
        <v>対象</v>
      </c>
      <c r="X299" s="418" t="s">
        <v>546</v>
      </c>
      <c r="Y299" s="99" t="str">
        <f t="shared" si="125"/>
        <v>放課後児童支援員</v>
      </c>
      <c r="Z299" s="100" t="str">
        <f t="shared" si="119"/>
        <v>対象</v>
      </c>
      <c r="AA299" s="418"/>
      <c r="AB299" s="99">
        <f t="shared" si="126"/>
        <v>0</v>
      </c>
      <c r="AC299" s="100">
        <f t="shared" si="120"/>
        <v>0</v>
      </c>
      <c r="AD299" s="418"/>
      <c r="AE299" s="99">
        <f t="shared" si="127"/>
        <v>0</v>
      </c>
      <c r="AF299" s="100">
        <f t="shared" si="121"/>
        <v>0</v>
      </c>
      <c r="AG299" s="351" t="str">
        <f t="shared" si="122"/>
        <v/>
      </c>
      <c r="AH299" s="272" t="str">
        <f t="shared" si="112"/>
        <v/>
      </c>
      <c r="AI299" s="358" t="str">
        <f t="shared" si="113"/>
        <v/>
      </c>
      <c r="AJ299" s="272" t="str">
        <f t="shared" si="114"/>
        <v/>
      </c>
      <c r="AK299" s="361" t="str">
        <f t="shared" si="115"/>
        <v/>
      </c>
      <c r="AL299" s="11"/>
      <c r="AM299" s="11"/>
      <c r="AN299" s="11"/>
    </row>
    <row r="300" spans="1:40" ht="14.25">
      <c r="A300" s="787"/>
      <c r="B300" s="31" t="s">
        <v>193</v>
      </c>
      <c r="C300" s="184" t="s">
        <v>119</v>
      </c>
      <c r="D300" s="413" t="s">
        <v>24</v>
      </c>
      <c r="E300" s="49">
        <v>0.59722222222222221</v>
      </c>
      <c r="F300" s="49">
        <v>0.79166666666666663</v>
      </c>
      <c r="G300" s="93">
        <f t="shared" si="106"/>
        <v>0.19444444444444442</v>
      </c>
      <c r="H300" s="555">
        <f t="shared" si="116"/>
        <v>2.0833333333333259E-2</v>
      </c>
      <c r="I300" s="556">
        <f t="shared" si="107"/>
        <v>1</v>
      </c>
      <c r="J300" s="94">
        <f t="shared" si="108"/>
        <v>0</v>
      </c>
      <c r="K300" s="32">
        <f t="shared" si="109"/>
        <v>0</v>
      </c>
      <c r="L300" s="95" t="str">
        <f t="shared" si="110"/>
        <v/>
      </c>
      <c r="M300" s="96">
        <f t="shared" si="111"/>
        <v>0</v>
      </c>
      <c r="N300" s="97">
        <f>IF(M300=0,0,IF(SUM($M$5:M300)&gt;251,1,0))</f>
        <v>0</v>
      </c>
      <c r="O300" s="162">
        <v>40</v>
      </c>
      <c r="P300" s="163">
        <v>1</v>
      </c>
      <c r="Q300" s="98"/>
      <c r="R300" s="415" t="s">
        <v>543</v>
      </c>
      <c r="S300" s="99" t="str">
        <f t="shared" si="123"/>
        <v>放課後児童支援員</v>
      </c>
      <c r="T300" s="100" t="str">
        <f t="shared" si="117"/>
        <v>対象</v>
      </c>
      <c r="U300" s="418" t="s">
        <v>539</v>
      </c>
      <c r="V300" s="99" t="str">
        <f t="shared" si="124"/>
        <v>放課後児童支援員</v>
      </c>
      <c r="W300" s="100" t="str">
        <f t="shared" si="118"/>
        <v>対象</v>
      </c>
      <c r="X300" s="418" t="s">
        <v>546</v>
      </c>
      <c r="Y300" s="99" t="str">
        <f t="shared" si="125"/>
        <v>放課後児童支援員</v>
      </c>
      <c r="Z300" s="100" t="str">
        <f t="shared" si="119"/>
        <v>対象</v>
      </c>
      <c r="AA300" s="418"/>
      <c r="AB300" s="99">
        <f t="shared" si="126"/>
        <v>0</v>
      </c>
      <c r="AC300" s="100">
        <f t="shared" si="120"/>
        <v>0</v>
      </c>
      <c r="AD300" s="418"/>
      <c r="AE300" s="99">
        <f t="shared" si="127"/>
        <v>0</v>
      </c>
      <c r="AF300" s="100">
        <f t="shared" si="121"/>
        <v>0</v>
      </c>
      <c r="AG300" s="351" t="str">
        <f t="shared" si="122"/>
        <v/>
      </c>
      <c r="AH300" s="272" t="str">
        <f t="shared" si="112"/>
        <v/>
      </c>
      <c r="AI300" s="358" t="str">
        <f t="shared" si="113"/>
        <v/>
      </c>
      <c r="AJ300" s="272" t="str">
        <f t="shared" si="114"/>
        <v/>
      </c>
      <c r="AK300" s="361" t="str">
        <f t="shared" si="115"/>
        <v/>
      </c>
      <c r="AL300" s="11"/>
      <c r="AM300" s="11"/>
      <c r="AN300" s="11"/>
    </row>
    <row r="301" spans="1:40" ht="14.25">
      <c r="A301" s="787"/>
      <c r="B301" s="31" t="s">
        <v>194</v>
      </c>
      <c r="C301" s="184" t="s">
        <v>120</v>
      </c>
      <c r="D301" s="413" t="s">
        <v>24</v>
      </c>
      <c r="E301" s="49">
        <v>0.54861111111111105</v>
      </c>
      <c r="F301" s="49">
        <v>0.79166666666666663</v>
      </c>
      <c r="G301" s="93">
        <f t="shared" si="106"/>
        <v>0.24305555555555558</v>
      </c>
      <c r="H301" s="555">
        <f t="shared" si="116"/>
        <v>2.0833333333333259E-2</v>
      </c>
      <c r="I301" s="556">
        <f t="shared" si="107"/>
        <v>1</v>
      </c>
      <c r="J301" s="94">
        <f t="shared" si="108"/>
        <v>0</v>
      </c>
      <c r="K301" s="32">
        <f t="shared" si="109"/>
        <v>0</v>
      </c>
      <c r="L301" s="95" t="str">
        <f t="shared" si="110"/>
        <v/>
      </c>
      <c r="M301" s="96">
        <f t="shared" si="111"/>
        <v>0</v>
      </c>
      <c r="N301" s="97">
        <f>IF(M301=0,0,IF(SUM($M$5:M301)&gt;251,1,0))</f>
        <v>0</v>
      </c>
      <c r="O301" s="162">
        <v>40</v>
      </c>
      <c r="P301" s="163">
        <v>1</v>
      </c>
      <c r="Q301" s="98"/>
      <c r="R301" s="415" t="s">
        <v>543</v>
      </c>
      <c r="S301" s="99" t="str">
        <f t="shared" si="123"/>
        <v>放課後児童支援員</v>
      </c>
      <c r="T301" s="100" t="str">
        <f t="shared" si="117"/>
        <v>対象</v>
      </c>
      <c r="U301" s="418" t="s">
        <v>539</v>
      </c>
      <c r="V301" s="99" t="str">
        <f t="shared" si="124"/>
        <v>放課後児童支援員</v>
      </c>
      <c r="W301" s="100" t="str">
        <f t="shared" si="118"/>
        <v>対象</v>
      </c>
      <c r="X301" s="418" t="s">
        <v>546</v>
      </c>
      <c r="Y301" s="99" t="str">
        <f t="shared" si="125"/>
        <v>放課後児童支援員</v>
      </c>
      <c r="Z301" s="100" t="str">
        <f t="shared" si="119"/>
        <v>対象</v>
      </c>
      <c r="AA301" s="418"/>
      <c r="AB301" s="99">
        <f t="shared" si="126"/>
        <v>0</v>
      </c>
      <c r="AC301" s="100">
        <f t="shared" si="120"/>
        <v>0</v>
      </c>
      <c r="AD301" s="418"/>
      <c r="AE301" s="99">
        <f t="shared" si="127"/>
        <v>0</v>
      </c>
      <c r="AF301" s="100">
        <f t="shared" si="121"/>
        <v>0</v>
      </c>
      <c r="AG301" s="351" t="str">
        <f t="shared" si="122"/>
        <v/>
      </c>
      <c r="AH301" s="272" t="str">
        <f t="shared" si="112"/>
        <v/>
      </c>
      <c r="AI301" s="358" t="str">
        <f t="shared" si="113"/>
        <v/>
      </c>
      <c r="AJ301" s="272" t="str">
        <f t="shared" si="114"/>
        <v/>
      </c>
      <c r="AK301" s="361" t="str">
        <f t="shared" si="115"/>
        <v/>
      </c>
      <c r="AL301" s="11"/>
      <c r="AM301" s="11"/>
      <c r="AN301" s="11"/>
    </row>
    <row r="302" spans="1:40" ht="14.25">
      <c r="A302" s="787"/>
      <c r="B302" s="31" t="s">
        <v>195</v>
      </c>
      <c r="C302" s="184" t="s">
        <v>121</v>
      </c>
      <c r="D302" s="413" t="s">
        <v>24</v>
      </c>
      <c r="E302" s="49">
        <v>0.59722222222222221</v>
      </c>
      <c r="F302" s="49">
        <v>0.80555555555555547</v>
      </c>
      <c r="G302" s="93">
        <f t="shared" si="106"/>
        <v>0.20833333333333326</v>
      </c>
      <c r="H302" s="555">
        <f t="shared" si="116"/>
        <v>3.4722222222222099E-2</v>
      </c>
      <c r="I302" s="556">
        <f t="shared" si="107"/>
        <v>1</v>
      </c>
      <c r="J302" s="94">
        <f t="shared" si="108"/>
        <v>0</v>
      </c>
      <c r="K302" s="32">
        <f t="shared" si="109"/>
        <v>0</v>
      </c>
      <c r="L302" s="95" t="str">
        <f t="shared" si="110"/>
        <v/>
      </c>
      <c r="M302" s="96">
        <f t="shared" si="111"/>
        <v>0</v>
      </c>
      <c r="N302" s="97">
        <f>IF(M302=0,0,IF(SUM($M$5:M302)&gt;251,1,0))</f>
        <v>0</v>
      </c>
      <c r="O302" s="162">
        <v>40</v>
      </c>
      <c r="P302" s="163">
        <v>1</v>
      </c>
      <c r="Q302" s="98"/>
      <c r="R302" s="415" t="s">
        <v>543</v>
      </c>
      <c r="S302" s="99" t="str">
        <f t="shared" si="123"/>
        <v>放課後児童支援員</v>
      </c>
      <c r="T302" s="100" t="str">
        <f t="shared" si="117"/>
        <v>対象</v>
      </c>
      <c r="U302" s="418" t="s">
        <v>539</v>
      </c>
      <c r="V302" s="99" t="str">
        <f t="shared" si="124"/>
        <v>放課後児童支援員</v>
      </c>
      <c r="W302" s="100" t="str">
        <f t="shared" si="118"/>
        <v>対象</v>
      </c>
      <c r="X302" s="418" t="s">
        <v>546</v>
      </c>
      <c r="Y302" s="99" t="str">
        <f t="shared" si="125"/>
        <v>放課後児童支援員</v>
      </c>
      <c r="Z302" s="100" t="str">
        <f t="shared" si="119"/>
        <v>対象</v>
      </c>
      <c r="AA302" s="418"/>
      <c r="AB302" s="99">
        <f t="shared" si="126"/>
        <v>0</v>
      </c>
      <c r="AC302" s="100">
        <f t="shared" si="120"/>
        <v>0</v>
      </c>
      <c r="AD302" s="418"/>
      <c r="AE302" s="99">
        <f t="shared" si="127"/>
        <v>0</v>
      </c>
      <c r="AF302" s="100">
        <f t="shared" si="121"/>
        <v>0</v>
      </c>
      <c r="AG302" s="351" t="str">
        <f t="shared" si="122"/>
        <v/>
      </c>
      <c r="AH302" s="272" t="str">
        <f t="shared" si="112"/>
        <v/>
      </c>
      <c r="AI302" s="358" t="str">
        <f t="shared" si="113"/>
        <v/>
      </c>
      <c r="AJ302" s="272" t="str">
        <f t="shared" si="114"/>
        <v/>
      </c>
      <c r="AK302" s="361" t="str">
        <f t="shared" si="115"/>
        <v/>
      </c>
      <c r="AL302" s="11"/>
      <c r="AM302" s="11"/>
      <c r="AN302" s="11"/>
    </row>
    <row r="303" spans="1:40" ht="14.25">
      <c r="A303" s="787"/>
      <c r="B303" s="31" t="s">
        <v>196</v>
      </c>
      <c r="C303" s="184" t="s">
        <v>122</v>
      </c>
      <c r="D303" s="413" t="s">
        <v>171</v>
      </c>
      <c r="E303" s="49">
        <v>0.33333333333333331</v>
      </c>
      <c r="F303" s="49">
        <v>0.6875</v>
      </c>
      <c r="G303" s="93">
        <f t="shared" si="106"/>
        <v>0.35416666666666669</v>
      </c>
      <c r="H303" s="555" t="str">
        <f t="shared" si="116"/>
        <v>0:00</v>
      </c>
      <c r="I303" s="556">
        <f t="shared" si="107"/>
        <v>0</v>
      </c>
      <c r="J303" s="94">
        <f t="shared" si="108"/>
        <v>2.083333333333337E-2</v>
      </c>
      <c r="K303" s="32">
        <f t="shared" si="109"/>
        <v>1</v>
      </c>
      <c r="L303" s="95" t="str">
        <f t="shared" si="110"/>
        <v/>
      </c>
      <c r="M303" s="96">
        <f t="shared" si="111"/>
        <v>1</v>
      </c>
      <c r="N303" s="97">
        <f>IF(M303=0,0,IF(SUM($M$5:M303)&gt;251,1,0))</f>
        <v>0</v>
      </c>
      <c r="O303" s="162">
        <v>5</v>
      </c>
      <c r="P303" s="163">
        <v>0</v>
      </c>
      <c r="Q303" s="98"/>
      <c r="R303" s="415" t="s">
        <v>543</v>
      </c>
      <c r="S303" s="99" t="str">
        <f t="shared" si="123"/>
        <v>放課後児童支援員</v>
      </c>
      <c r="T303" s="100" t="str">
        <f t="shared" si="117"/>
        <v>対象</v>
      </c>
      <c r="U303" s="418" t="s">
        <v>539</v>
      </c>
      <c r="V303" s="99" t="str">
        <f t="shared" si="124"/>
        <v>放課後児童支援員</v>
      </c>
      <c r="W303" s="100" t="str">
        <f t="shared" si="118"/>
        <v>対象</v>
      </c>
      <c r="X303" s="418" t="s">
        <v>546</v>
      </c>
      <c r="Y303" s="99" t="str">
        <f t="shared" si="125"/>
        <v>放課後児童支援員</v>
      </c>
      <c r="Z303" s="100" t="str">
        <f t="shared" si="119"/>
        <v>対象</v>
      </c>
      <c r="AA303" s="418"/>
      <c r="AB303" s="99">
        <f t="shared" si="126"/>
        <v>0</v>
      </c>
      <c r="AC303" s="100">
        <f t="shared" si="120"/>
        <v>0</v>
      </c>
      <c r="AD303" s="418"/>
      <c r="AE303" s="99">
        <f t="shared" si="127"/>
        <v>0</v>
      </c>
      <c r="AF303" s="100">
        <f t="shared" si="121"/>
        <v>0</v>
      </c>
      <c r="AG303" s="351" t="str">
        <f t="shared" si="122"/>
        <v/>
      </c>
      <c r="AH303" s="272" t="str">
        <f t="shared" si="112"/>
        <v/>
      </c>
      <c r="AI303" s="358" t="str">
        <f t="shared" si="113"/>
        <v/>
      </c>
      <c r="AJ303" s="272" t="str">
        <f t="shared" si="114"/>
        <v/>
      </c>
      <c r="AK303" s="361" t="str">
        <f t="shared" si="115"/>
        <v/>
      </c>
      <c r="AL303" s="11"/>
      <c r="AM303" s="11"/>
      <c r="AN303" s="11"/>
    </row>
    <row r="304" spans="1:40" ht="14.25">
      <c r="A304" s="787"/>
      <c r="B304" s="31" t="s">
        <v>197</v>
      </c>
      <c r="C304" s="184" t="s">
        <v>183</v>
      </c>
      <c r="D304" s="413" t="s">
        <v>173</v>
      </c>
      <c r="E304" s="49"/>
      <c r="F304" s="49"/>
      <c r="G304" s="93">
        <f t="shared" si="106"/>
        <v>0</v>
      </c>
      <c r="H304" s="555" t="str">
        <f t="shared" si="116"/>
        <v>0:00</v>
      </c>
      <c r="I304" s="556">
        <f t="shared" si="107"/>
        <v>0</v>
      </c>
      <c r="J304" s="94">
        <f t="shared" si="108"/>
        <v>0</v>
      </c>
      <c r="K304" s="32">
        <f t="shared" si="109"/>
        <v>0</v>
      </c>
      <c r="L304" s="95" t="str">
        <f t="shared" si="110"/>
        <v/>
      </c>
      <c r="M304" s="96">
        <f t="shared" si="111"/>
        <v>0</v>
      </c>
      <c r="N304" s="97">
        <f>IF(M304=0,0,IF(SUM($M$5:M304)&gt;251,1,0))</f>
        <v>0</v>
      </c>
      <c r="O304" s="162"/>
      <c r="P304" s="163"/>
      <c r="Q304" s="98"/>
      <c r="R304" s="415"/>
      <c r="S304" s="99">
        <f t="shared" si="123"/>
        <v>0</v>
      </c>
      <c r="T304" s="100">
        <f t="shared" si="117"/>
        <v>0</v>
      </c>
      <c r="U304" s="418"/>
      <c r="V304" s="99">
        <f t="shared" si="124"/>
        <v>0</v>
      </c>
      <c r="W304" s="100">
        <f t="shared" si="118"/>
        <v>0</v>
      </c>
      <c r="X304" s="418"/>
      <c r="Y304" s="99">
        <f t="shared" si="125"/>
        <v>0</v>
      </c>
      <c r="Z304" s="100">
        <f t="shared" si="119"/>
        <v>0</v>
      </c>
      <c r="AA304" s="418"/>
      <c r="AB304" s="99">
        <f t="shared" si="126"/>
        <v>0</v>
      </c>
      <c r="AC304" s="100">
        <f t="shared" si="120"/>
        <v>0</v>
      </c>
      <c r="AD304" s="418"/>
      <c r="AE304" s="99">
        <f t="shared" si="127"/>
        <v>0</v>
      </c>
      <c r="AF304" s="100">
        <f t="shared" si="121"/>
        <v>0</v>
      </c>
      <c r="AG304" s="351" t="str">
        <f t="shared" si="122"/>
        <v/>
      </c>
      <c r="AH304" s="272" t="str">
        <f t="shared" si="112"/>
        <v/>
      </c>
      <c r="AI304" s="358" t="str">
        <f t="shared" si="113"/>
        <v/>
      </c>
      <c r="AJ304" s="272" t="str">
        <f t="shared" si="114"/>
        <v/>
      </c>
      <c r="AK304" s="361" t="str">
        <f t="shared" si="115"/>
        <v/>
      </c>
      <c r="AL304" s="11"/>
      <c r="AM304" s="11"/>
      <c r="AN304" s="11"/>
    </row>
    <row r="305" spans="1:40" ht="14.25">
      <c r="A305" s="787"/>
      <c r="B305" s="31" t="s">
        <v>198</v>
      </c>
      <c r="C305" s="184" t="s">
        <v>118</v>
      </c>
      <c r="D305" s="413" t="s">
        <v>24</v>
      </c>
      <c r="E305" s="49">
        <v>0.59722222222222221</v>
      </c>
      <c r="F305" s="49">
        <v>0.7715277777777777</v>
      </c>
      <c r="G305" s="93">
        <f t="shared" si="106"/>
        <v>0.17430555555555549</v>
      </c>
      <c r="H305" s="555">
        <f t="shared" si="116"/>
        <v>6.9444444444433095E-4</v>
      </c>
      <c r="I305" s="556">
        <f t="shared" si="107"/>
        <v>1</v>
      </c>
      <c r="J305" s="94">
        <f t="shared" si="108"/>
        <v>0</v>
      </c>
      <c r="K305" s="32">
        <f t="shared" si="109"/>
        <v>0</v>
      </c>
      <c r="L305" s="95" t="str">
        <f t="shared" si="110"/>
        <v/>
      </c>
      <c r="M305" s="96">
        <f t="shared" si="111"/>
        <v>0</v>
      </c>
      <c r="N305" s="97">
        <f>IF(M305=0,0,IF(SUM($M$5:M305)&gt;251,1,0))</f>
        <v>0</v>
      </c>
      <c r="O305" s="162">
        <v>40</v>
      </c>
      <c r="P305" s="163">
        <v>1</v>
      </c>
      <c r="Q305" s="98"/>
      <c r="R305" s="415" t="s">
        <v>543</v>
      </c>
      <c r="S305" s="99" t="str">
        <f t="shared" si="123"/>
        <v>放課後児童支援員</v>
      </c>
      <c r="T305" s="100" t="str">
        <f t="shared" si="117"/>
        <v>対象</v>
      </c>
      <c r="U305" s="418" t="s">
        <v>539</v>
      </c>
      <c r="V305" s="99" t="str">
        <f t="shared" si="124"/>
        <v>放課後児童支援員</v>
      </c>
      <c r="W305" s="100" t="str">
        <f t="shared" si="118"/>
        <v>対象</v>
      </c>
      <c r="X305" s="418"/>
      <c r="Y305" s="99">
        <f t="shared" si="125"/>
        <v>0</v>
      </c>
      <c r="Z305" s="100">
        <f t="shared" si="119"/>
        <v>0</v>
      </c>
      <c r="AA305" s="418"/>
      <c r="AB305" s="99">
        <f t="shared" si="126"/>
        <v>0</v>
      </c>
      <c r="AC305" s="100">
        <f t="shared" si="120"/>
        <v>0</v>
      </c>
      <c r="AD305" s="418"/>
      <c r="AE305" s="99">
        <f t="shared" si="127"/>
        <v>0</v>
      </c>
      <c r="AF305" s="100">
        <f t="shared" si="121"/>
        <v>0</v>
      </c>
      <c r="AG305" s="351" t="str">
        <f t="shared" si="122"/>
        <v/>
      </c>
      <c r="AH305" s="272" t="str">
        <f t="shared" si="112"/>
        <v/>
      </c>
      <c r="AI305" s="358" t="str">
        <f t="shared" si="113"/>
        <v/>
      </c>
      <c r="AJ305" s="272" t="str">
        <f t="shared" si="114"/>
        <v/>
      </c>
      <c r="AK305" s="361" t="str">
        <f t="shared" si="115"/>
        <v/>
      </c>
      <c r="AL305" s="11"/>
      <c r="AM305" s="11"/>
      <c r="AN305" s="11"/>
    </row>
    <row r="306" spans="1:40" ht="14.25">
      <c r="A306" s="787"/>
      <c r="B306" s="31" t="s">
        <v>199</v>
      </c>
      <c r="C306" s="184" t="s">
        <v>123</v>
      </c>
      <c r="D306" s="413" t="s">
        <v>24</v>
      </c>
      <c r="E306" s="49">
        <v>0.59722222222222221</v>
      </c>
      <c r="F306" s="49">
        <v>0.79166666666666663</v>
      </c>
      <c r="G306" s="93">
        <f t="shared" si="106"/>
        <v>0.19444444444444442</v>
      </c>
      <c r="H306" s="555">
        <f t="shared" si="116"/>
        <v>2.0833333333333259E-2</v>
      </c>
      <c r="I306" s="556">
        <f t="shared" si="107"/>
        <v>1</v>
      </c>
      <c r="J306" s="94">
        <f t="shared" si="108"/>
        <v>0</v>
      </c>
      <c r="K306" s="32">
        <f t="shared" si="109"/>
        <v>0</v>
      </c>
      <c r="L306" s="95" t="str">
        <f t="shared" si="110"/>
        <v/>
      </c>
      <c r="M306" s="96">
        <f t="shared" si="111"/>
        <v>0</v>
      </c>
      <c r="N306" s="97">
        <f>IF(M306=0,0,IF(SUM($M$5:M306)&gt;251,1,0))</f>
        <v>0</v>
      </c>
      <c r="O306" s="162">
        <v>40</v>
      </c>
      <c r="P306" s="163">
        <v>1</v>
      </c>
      <c r="Q306" s="98"/>
      <c r="R306" s="415" t="s">
        <v>543</v>
      </c>
      <c r="S306" s="99" t="str">
        <f t="shared" si="123"/>
        <v>放課後児童支援員</v>
      </c>
      <c r="T306" s="100" t="str">
        <f t="shared" si="117"/>
        <v>対象</v>
      </c>
      <c r="U306" s="418" t="s">
        <v>539</v>
      </c>
      <c r="V306" s="99" t="str">
        <f t="shared" si="124"/>
        <v>放課後児童支援員</v>
      </c>
      <c r="W306" s="100" t="str">
        <f t="shared" si="118"/>
        <v>対象</v>
      </c>
      <c r="X306" s="418" t="s">
        <v>546</v>
      </c>
      <c r="Y306" s="99" t="str">
        <f t="shared" si="125"/>
        <v>放課後児童支援員</v>
      </c>
      <c r="Z306" s="100" t="str">
        <f t="shared" si="119"/>
        <v>対象</v>
      </c>
      <c r="AA306" s="418"/>
      <c r="AB306" s="99">
        <f t="shared" si="126"/>
        <v>0</v>
      </c>
      <c r="AC306" s="100">
        <f t="shared" si="120"/>
        <v>0</v>
      </c>
      <c r="AD306" s="418"/>
      <c r="AE306" s="99">
        <f t="shared" si="127"/>
        <v>0</v>
      </c>
      <c r="AF306" s="100">
        <f t="shared" si="121"/>
        <v>0</v>
      </c>
      <c r="AG306" s="351" t="str">
        <f t="shared" si="122"/>
        <v/>
      </c>
      <c r="AH306" s="272" t="str">
        <f t="shared" si="112"/>
        <v/>
      </c>
      <c r="AI306" s="358" t="str">
        <f t="shared" si="113"/>
        <v/>
      </c>
      <c r="AJ306" s="272" t="str">
        <f t="shared" si="114"/>
        <v/>
      </c>
      <c r="AK306" s="361" t="str">
        <f t="shared" si="115"/>
        <v/>
      </c>
      <c r="AL306" s="11"/>
      <c r="AM306" s="11"/>
      <c r="AN306" s="11"/>
    </row>
    <row r="307" spans="1:40" ht="14.25">
      <c r="A307" s="787"/>
      <c r="B307" s="31" t="s">
        <v>200</v>
      </c>
      <c r="C307" s="184" t="s">
        <v>119</v>
      </c>
      <c r="D307" s="413" t="s">
        <v>24</v>
      </c>
      <c r="E307" s="49">
        <v>0.59722222222222221</v>
      </c>
      <c r="F307" s="49">
        <v>0.79166666666666663</v>
      </c>
      <c r="G307" s="93">
        <f t="shared" si="106"/>
        <v>0.19444444444444442</v>
      </c>
      <c r="H307" s="555">
        <f t="shared" si="116"/>
        <v>2.0833333333333259E-2</v>
      </c>
      <c r="I307" s="556">
        <f t="shared" si="107"/>
        <v>1</v>
      </c>
      <c r="J307" s="94">
        <f t="shared" si="108"/>
        <v>0</v>
      </c>
      <c r="K307" s="32">
        <f t="shared" si="109"/>
        <v>0</v>
      </c>
      <c r="L307" s="95" t="str">
        <f t="shared" si="110"/>
        <v/>
      </c>
      <c r="M307" s="96">
        <f t="shared" si="111"/>
        <v>0</v>
      </c>
      <c r="N307" s="97">
        <f>IF(M307=0,0,IF(SUM($M$5:M307)&gt;251,1,0))</f>
        <v>0</v>
      </c>
      <c r="O307" s="162">
        <v>40</v>
      </c>
      <c r="P307" s="163">
        <v>1</v>
      </c>
      <c r="Q307" s="98"/>
      <c r="R307" s="415" t="s">
        <v>543</v>
      </c>
      <c r="S307" s="99" t="str">
        <f t="shared" si="123"/>
        <v>放課後児童支援員</v>
      </c>
      <c r="T307" s="100" t="str">
        <f t="shared" si="117"/>
        <v>対象</v>
      </c>
      <c r="U307" s="418" t="s">
        <v>539</v>
      </c>
      <c r="V307" s="99" t="str">
        <f t="shared" si="124"/>
        <v>放課後児童支援員</v>
      </c>
      <c r="W307" s="100" t="str">
        <f t="shared" si="118"/>
        <v>対象</v>
      </c>
      <c r="X307" s="418" t="s">
        <v>546</v>
      </c>
      <c r="Y307" s="99" t="str">
        <f t="shared" si="125"/>
        <v>放課後児童支援員</v>
      </c>
      <c r="Z307" s="100" t="str">
        <f t="shared" si="119"/>
        <v>対象</v>
      </c>
      <c r="AA307" s="418"/>
      <c r="AB307" s="99">
        <f t="shared" si="126"/>
        <v>0</v>
      </c>
      <c r="AC307" s="100">
        <f t="shared" si="120"/>
        <v>0</v>
      </c>
      <c r="AD307" s="418"/>
      <c r="AE307" s="99">
        <f t="shared" si="127"/>
        <v>0</v>
      </c>
      <c r="AF307" s="100">
        <f t="shared" si="121"/>
        <v>0</v>
      </c>
      <c r="AG307" s="351" t="str">
        <f t="shared" si="122"/>
        <v/>
      </c>
      <c r="AH307" s="272" t="str">
        <f t="shared" si="112"/>
        <v/>
      </c>
      <c r="AI307" s="358" t="str">
        <f t="shared" si="113"/>
        <v/>
      </c>
      <c r="AJ307" s="272" t="str">
        <f t="shared" si="114"/>
        <v/>
      </c>
      <c r="AK307" s="361" t="str">
        <f t="shared" si="115"/>
        <v/>
      </c>
      <c r="AL307" s="11"/>
      <c r="AM307" s="11"/>
      <c r="AN307" s="11"/>
    </row>
    <row r="308" spans="1:40" ht="14.25">
      <c r="A308" s="787"/>
      <c r="B308" s="31" t="s">
        <v>201</v>
      </c>
      <c r="C308" s="184" t="s">
        <v>120</v>
      </c>
      <c r="D308" s="413" t="s">
        <v>24</v>
      </c>
      <c r="E308" s="49">
        <v>0.54861111111111105</v>
      </c>
      <c r="F308" s="49">
        <v>0.79166666666666663</v>
      </c>
      <c r="G308" s="93">
        <f t="shared" si="106"/>
        <v>0.24305555555555558</v>
      </c>
      <c r="H308" s="555">
        <f t="shared" si="116"/>
        <v>2.0833333333333259E-2</v>
      </c>
      <c r="I308" s="556">
        <f t="shared" si="107"/>
        <v>1</v>
      </c>
      <c r="J308" s="94">
        <f t="shared" si="108"/>
        <v>0</v>
      </c>
      <c r="K308" s="32">
        <f t="shared" si="109"/>
        <v>0</v>
      </c>
      <c r="L308" s="95" t="str">
        <f t="shared" si="110"/>
        <v/>
      </c>
      <c r="M308" s="96">
        <f t="shared" si="111"/>
        <v>0</v>
      </c>
      <c r="N308" s="97">
        <f>IF(M308=0,0,IF(SUM($M$5:M308)&gt;251,1,0))</f>
        <v>0</v>
      </c>
      <c r="O308" s="162">
        <v>40</v>
      </c>
      <c r="P308" s="163">
        <v>1</v>
      </c>
      <c r="Q308" s="98"/>
      <c r="R308" s="415" t="s">
        <v>543</v>
      </c>
      <c r="S308" s="99" t="str">
        <f t="shared" si="123"/>
        <v>放課後児童支援員</v>
      </c>
      <c r="T308" s="100" t="str">
        <f t="shared" si="117"/>
        <v>対象</v>
      </c>
      <c r="U308" s="418" t="s">
        <v>539</v>
      </c>
      <c r="V308" s="99" t="str">
        <f t="shared" si="124"/>
        <v>放課後児童支援員</v>
      </c>
      <c r="W308" s="100" t="str">
        <f t="shared" si="118"/>
        <v>対象</v>
      </c>
      <c r="X308" s="418" t="s">
        <v>546</v>
      </c>
      <c r="Y308" s="99" t="str">
        <f t="shared" si="125"/>
        <v>放課後児童支援員</v>
      </c>
      <c r="Z308" s="100" t="str">
        <f t="shared" si="119"/>
        <v>対象</v>
      </c>
      <c r="AA308" s="418"/>
      <c r="AB308" s="99">
        <f t="shared" si="126"/>
        <v>0</v>
      </c>
      <c r="AC308" s="100">
        <f t="shared" si="120"/>
        <v>0</v>
      </c>
      <c r="AD308" s="418"/>
      <c r="AE308" s="99">
        <f t="shared" si="127"/>
        <v>0</v>
      </c>
      <c r="AF308" s="100">
        <f t="shared" si="121"/>
        <v>0</v>
      </c>
      <c r="AG308" s="351" t="str">
        <f t="shared" si="122"/>
        <v/>
      </c>
      <c r="AH308" s="272" t="str">
        <f t="shared" si="112"/>
        <v/>
      </c>
      <c r="AI308" s="358" t="str">
        <f t="shared" si="113"/>
        <v/>
      </c>
      <c r="AJ308" s="272" t="str">
        <f t="shared" si="114"/>
        <v/>
      </c>
      <c r="AK308" s="361" t="str">
        <f t="shared" si="115"/>
        <v/>
      </c>
      <c r="AL308" s="11"/>
      <c r="AM308" s="11"/>
      <c r="AN308" s="11"/>
    </row>
    <row r="309" spans="1:40" ht="14.25">
      <c r="A309" s="787"/>
      <c r="B309" s="31" t="s">
        <v>202</v>
      </c>
      <c r="C309" s="184" t="s">
        <v>121</v>
      </c>
      <c r="D309" s="413" t="s">
        <v>24</v>
      </c>
      <c r="E309" s="49">
        <v>0.59722222222222221</v>
      </c>
      <c r="F309" s="49">
        <v>0.80555555555555547</v>
      </c>
      <c r="G309" s="93">
        <f t="shared" si="106"/>
        <v>0.20833333333333326</v>
      </c>
      <c r="H309" s="555">
        <f t="shared" si="116"/>
        <v>3.4722222222222099E-2</v>
      </c>
      <c r="I309" s="556">
        <f t="shared" si="107"/>
        <v>1</v>
      </c>
      <c r="J309" s="94">
        <f t="shared" si="108"/>
        <v>0</v>
      </c>
      <c r="K309" s="32">
        <f t="shared" si="109"/>
        <v>0</v>
      </c>
      <c r="L309" s="95" t="str">
        <f t="shared" si="110"/>
        <v/>
      </c>
      <c r="M309" s="96">
        <f t="shared" si="111"/>
        <v>0</v>
      </c>
      <c r="N309" s="97">
        <f>IF(M309=0,0,IF(SUM($M$5:M309)&gt;251,1,0))</f>
        <v>0</v>
      </c>
      <c r="O309" s="162">
        <v>40</v>
      </c>
      <c r="P309" s="163">
        <v>1</v>
      </c>
      <c r="Q309" s="98"/>
      <c r="R309" s="415" t="s">
        <v>543</v>
      </c>
      <c r="S309" s="99" t="str">
        <f t="shared" si="123"/>
        <v>放課後児童支援員</v>
      </c>
      <c r="T309" s="100" t="str">
        <f t="shared" si="117"/>
        <v>対象</v>
      </c>
      <c r="U309" s="418" t="s">
        <v>539</v>
      </c>
      <c r="V309" s="99" t="str">
        <f t="shared" si="124"/>
        <v>放課後児童支援員</v>
      </c>
      <c r="W309" s="100" t="str">
        <f t="shared" si="118"/>
        <v>対象</v>
      </c>
      <c r="X309" s="418" t="s">
        <v>546</v>
      </c>
      <c r="Y309" s="99" t="str">
        <f t="shared" si="125"/>
        <v>放課後児童支援員</v>
      </c>
      <c r="Z309" s="100" t="str">
        <f t="shared" si="119"/>
        <v>対象</v>
      </c>
      <c r="AA309" s="418"/>
      <c r="AB309" s="99">
        <f t="shared" si="126"/>
        <v>0</v>
      </c>
      <c r="AC309" s="100">
        <f t="shared" si="120"/>
        <v>0</v>
      </c>
      <c r="AD309" s="418"/>
      <c r="AE309" s="99">
        <f t="shared" si="127"/>
        <v>0</v>
      </c>
      <c r="AF309" s="100">
        <f t="shared" si="121"/>
        <v>0</v>
      </c>
      <c r="AG309" s="351" t="str">
        <f t="shared" si="122"/>
        <v/>
      </c>
      <c r="AH309" s="272" t="str">
        <f t="shared" si="112"/>
        <v/>
      </c>
      <c r="AI309" s="358" t="str">
        <f t="shared" si="113"/>
        <v/>
      </c>
      <c r="AJ309" s="272" t="str">
        <f t="shared" si="114"/>
        <v/>
      </c>
      <c r="AK309" s="361" t="str">
        <f t="shared" si="115"/>
        <v/>
      </c>
      <c r="AL309" s="11"/>
      <c r="AM309" s="11"/>
      <c r="AN309" s="11"/>
    </row>
    <row r="310" spans="1:40" ht="15" thickBot="1">
      <c r="A310" s="788"/>
      <c r="B310" s="33" t="s">
        <v>213</v>
      </c>
      <c r="C310" s="184" t="s">
        <v>122</v>
      </c>
      <c r="D310" s="413" t="s">
        <v>171</v>
      </c>
      <c r="E310" s="49">
        <v>0.33333333333333331</v>
      </c>
      <c r="F310" s="49">
        <v>0.6875</v>
      </c>
      <c r="G310" s="101">
        <f t="shared" si="106"/>
        <v>0.35416666666666669</v>
      </c>
      <c r="H310" s="555" t="str">
        <f t="shared" si="116"/>
        <v>0:00</v>
      </c>
      <c r="I310" s="557">
        <f t="shared" si="107"/>
        <v>0</v>
      </c>
      <c r="J310" s="102">
        <f t="shared" si="108"/>
        <v>2.083333333333337E-2</v>
      </c>
      <c r="K310" s="34">
        <f t="shared" si="109"/>
        <v>1</v>
      </c>
      <c r="L310" s="103" t="str">
        <f t="shared" si="110"/>
        <v/>
      </c>
      <c r="M310" s="104">
        <f t="shared" si="111"/>
        <v>1</v>
      </c>
      <c r="N310" s="105">
        <f>IF(M310=0,0,IF(SUM($M$5:M310)&gt;251,1,0))</f>
        <v>0</v>
      </c>
      <c r="O310" s="162">
        <v>5</v>
      </c>
      <c r="P310" s="163">
        <v>0</v>
      </c>
      <c r="Q310" s="108">
        <f>SUM(O280:O310)</f>
        <v>815</v>
      </c>
      <c r="R310" s="416" t="s">
        <v>543</v>
      </c>
      <c r="S310" s="185" t="str">
        <f t="shared" si="123"/>
        <v>放課後児童支援員</v>
      </c>
      <c r="T310" s="107" t="str">
        <f t="shared" si="117"/>
        <v>対象</v>
      </c>
      <c r="U310" s="419" t="s">
        <v>539</v>
      </c>
      <c r="V310" s="185" t="str">
        <f t="shared" si="124"/>
        <v>放課後児童支援員</v>
      </c>
      <c r="W310" s="107" t="str">
        <f t="shared" si="118"/>
        <v>対象</v>
      </c>
      <c r="X310" s="419" t="s">
        <v>546</v>
      </c>
      <c r="Y310" s="185" t="str">
        <f t="shared" si="125"/>
        <v>放課後児童支援員</v>
      </c>
      <c r="Z310" s="107" t="str">
        <f t="shared" si="119"/>
        <v>対象</v>
      </c>
      <c r="AA310" s="419"/>
      <c r="AB310" s="185">
        <f t="shared" si="126"/>
        <v>0</v>
      </c>
      <c r="AC310" s="107">
        <f t="shared" si="120"/>
        <v>0</v>
      </c>
      <c r="AD310" s="419"/>
      <c r="AE310" s="185">
        <f t="shared" si="127"/>
        <v>0</v>
      </c>
      <c r="AF310" s="107">
        <f t="shared" si="121"/>
        <v>0</v>
      </c>
      <c r="AG310" s="182" t="str">
        <f t="shared" si="122"/>
        <v/>
      </c>
      <c r="AH310" s="273" t="str">
        <f t="shared" si="112"/>
        <v/>
      </c>
      <c r="AI310" s="464" t="str">
        <f t="shared" si="113"/>
        <v/>
      </c>
      <c r="AJ310" s="273" t="str">
        <f t="shared" si="114"/>
        <v/>
      </c>
      <c r="AK310" s="362" t="str">
        <f t="shared" si="115"/>
        <v/>
      </c>
      <c r="AL310" s="11"/>
      <c r="AM310" s="11"/>
      <c r="AN310" s="11"/>
    </row>
    <row r="311" spans="1:40" ht="14.25">
      <c r="A311" s="786" t="s">
        <v>211</v>
      </c>
      <c r="B311" s="27" t="s">
        <v>170</v>
      </c>
      <c r="C311" s="184" t="s">
        <v>183</v>
      </c>
      <c r="D311" s="413" t="s">
        <v>173</v>
      </c>
      <c r="E311" s="48"/>
      <c r="F311" s="48"/>
      <c r="G311" s="85">
        <f t="shared" si="106"/>
        <v>0</v>
      </c>
      <c r="H311" s="555" t="str">
        <f t="shared" si="116"/>
        <v>0:00</v>
      </c>
      <c r="I311" s="558">
        <f t="shared" si="107"/>
        <v>0</v>
      </c>
      <c r="J311" s="86">
        <f t="shared" si="108"/>
        <v>0</v>
      </c>
      <c r="K311" s="29">
        <f t="shared" si="109"/>
        <v>0</v>
      </c>
      <c r="L311" s="87" t="str">
        <f t="shared" si="110"/>
        <v/>
      </c>
      <c r="M311" s="88">
        <f t="shared" si="111"/>
        <v>0</v>
      </c>
      <c r="N311" s="89">
        <f>IF(M311=0,0,IF(SUM($M$5:M311)&gt;251,1,0))</f>
        <v>0</v>
      </c>
      <c r="O311" s="162"/>
      <c r="P311" s="163"/>
      <c r="Q311" s="90"/>
      <c r="R311" s="414"/>
      <c r="S311" s="91">
        <f t="shared" si="123"/>
        <v>0</v>
      </c>
      <c r="T311" s="92">
        <f t="shared" si="117"/>
        <v>0</v>
      </c>
      <c r="U311" s="417"/>
      <c r="V311" s="91">
        <f t="shared" si="124"/>
        <v>0</v>
      </c>
      <c r="W311" s="92">
        <f t="shared" si="118"/>
        <v>0</v>
      </c>
      <c r="X311" s="417"/>
      <c r="Y311" s="91">
        <f t="shared" si="125"/>
        <v>0</v>
      </c>
      <c r="Z311" s="92">
        <f t="shared" si="119"/>
        <v>0</v>
      </c>
      <c r="AA311" s="417"/>
      <c r="AB311" s="91">
        <f t="shared" si="126"/>
        <v>0</v>
      </c>
      <c r="AC311" s="92">
        <f t="shared" si="120"/>
        <v>0</v>
      </c>
      <c r="AD311" s="417"/>
      <c r="AE311" s="91">
        <f t="shared" si="127"/>
        <v>0</v>
      </c>
      <c r="AF311" s="92">
        <f t="shared" si="121"/>
        <v>0</v>
      </c>
      <c r="AG311" s="363" t="str">
        <f t="shared" si="122"/>
        <v/>
      </c>
      <c r="AH311" s="359" t="str">
        <f t="shared" si="112"/>
        <v/>
      </c>
      <c r="AI311" s="359" t="str">
        <f t="shared" si="113"/>
        <v/>
      </c>
      <c r="AJ311" s="359" t="str">
        <f t="shared" si="114"/>
        <v/>
      </c>
      <c r="AK311" s="360" t="str">
        <f t="shared" si="115"/>
        <v/>
      </c>
      <c r="AL311" s="11"/>
      <c r="AM311" s="11"/>
      <c r="AN311" s="11"/>
    </row>
    <row r="312" spans="1:40" ht="14.25">
      <c r="A312" s="787"/>
      <c r="B312" s="31" t="s">
        <v>172</v>
      </c>
      <c r="C312" s="184" t="s">
        <v>118</v>
      </c>
      <c r="D312" s="413" t="s">
        <v>24</v>
      </c>
      <c r="E312" s="49">
        <v>0.59722222222222221</v>
      </c>
      <c r="F312" s="49">
        <v>0.7715277777777777</v>
      </c>
      <c r="G312" s="93">
        <f t="shared" si="106"/>
        <v>0.17430555555555549</v>
      </c>
      <c r="H312" s="555">
        <f t="shared" si="116"/>
        <v>6.9444444444433095E-4</v>
      </c>
      <c r="I312" s="556">
        <f t="shared" si="107"/>
        <v>1</v>
      </c>
      <c r="J312" s="94">
        <f t="shared" si="108"/>
        <v>0</v>
      </c>
      <c r="K312" s="32">
        <f t="shared" si="109"/>
        <v>0</v>
      </c>
      <c r="L312" s="95" t="str">
        <f t="shared" si="110"/>
        <v/>
      </c>
      <c r="M312" s="96">
        <f t="shared" si="111"/>
        <v>0</v>
      </c>
      <c r="N312" s="97">
        <f>IF(M312=0,0,IF(SUM($M$5:M312)&gt;251,1,0))</f>
        <v>0</v>
      </c>
      <c r="O312" s="162">
        <v>40</v>
      </c>
      <c r="P312" s="163">
        <v>1</v>
      </c>
      <c r="Q312" s="98"/>
      <c r="R312" s="415" t="s">
        <v>543</v>
      </c>
      <c r="S312" s="99" t="str">
        <f t="shared" si="123"/>
        <v>放課後児童支援員</v>
      </c>
      <c r="T312" s="100" t="str">
        <f t="shared" si="117"/>
        <v>対象</v>
      </c>
      <c r="U312" s="418" t="s">
        <v>539</v>
      </c>
      <c r="V312" s="99" t="str">
        <f t="shared" si="124"/>
        <v>放課後児童支援員</v>
      </c>
      <c r="W312" s="100" t="str">
        <f t="shared" si="118"/>
        <v>対象</v>
      </c>
      <c r="X312" s="418"/>
      <c r="Y312" s="99">
        <f t="shared" si="125"/>
        <v>0</v>
      </c>
      <c r="Z312" s="100">
        <f t="shared" si="119"/>
        <v>0</v>
      </c>
      <c r="AA312" s="418"/>
      <c r="AB312" s="99">
        <f t="shared" si="126"/>
        <v>0</v>
      </c>
      <c r="AC312" s="100">
        <f t="shared" si="120"/>
        <v>0</v>
      </c>
      <c r="AD312" s="418"/>
      <c r="AE312" s="99">
        <f t="shared" si="127"/>
        <v>0</v>
      </c>
      <c r="AF312" s="100">
        <f t="shared" si="121"/>
        <v>0</v>
      </c>
      <c r="AG312" s="351" t="str">
        <f t="shared" si="122"/>
        <v/>
      </c>
      <c r="AH312" s="272" t="str">
        <f t="shared" si="112"/>
        <v/>
      </c>
      <c r="AI312" s="358" t="str">
        <f t="shared" si="113"/>
        <v/>
      </c>
      <c r="AJ312" s="272" t="str">
        <f t="shared" si="114"/>
        <v/>
      </c>
      <c r="AK312" s="361" t="str">
        <f t="shared" si="115"/>
        <v/>
      </c>
      <c r="AL312" s="11"/>
      <c r="AM312" s="11"/>
      <c r="AN312" s="11"/>
    </row>
    <row r="313" spans="1:40" ht="14.25">
      <c r="A313" s="787"/>
      <c r="B313" s="31" t="s">
        <v>174</v>
      </c>
      <c r="C313" s="184" t="s">
        <v>123</v>
      </c>
      <c r="D313" s="413" t="s">
        <v>24</v>
      </c>
      <c r="E313" s="49">
        <v>0.59722222222222221</v>
      </c>
      <c r="F313" s="49">
        <v>0.79166666666666663</v>
      </c>
      <c r="G313" s="93">
        <f t="shared" si="106"/>
        <v>0.19444444444444442</v>
      </c>
      <c r="H313" s="555">
        <f t="shared" si="116"/>
        <v>2.0833333333333259E-2</v>
      </c>
      <c r="I313" s="556">
        <f t="shared" si="107"/>
        <v>1</v>
      </c>
      <c r="J313" s="94">
        <f t="shared" si="108"/>
        <v>0</v>
      </c>
      <c r="K313" s="32">
        <f t="shared" si="109"/>
        <v>0</v>
      </c>
      <c r="L313" s="95" t="str">
        <f t="shared" si="110"/>
        <v/>
      </c>
      <c r="M313" s="96">
        <f t="shared" si="111"/>
        <v>0</v>
      </c>
      <c r="N313" s="97">
        <f>IF(M313=0,0,IF(SUM($M$5:M313)&gt;251,1,0))</f>
        <v>0</v>
      </c>
      <c r="O313" s="162">
        <v>40</v>
      </c>
      <c r="P313" s="163">
        <v>1</v>
      </c>
      <c r="Q313" s="98"/>
      <c r="R313" s="415" t="s">
        <v>543</v>
      </c>
      <c r="S313" s="99" t="str">
        <f t="shared" si="123"/>
        <v>放課後児童支援員</v>
      </c>
      <c r="T313" s="100" t="str">
        <f t="shared" si="117"/>
        <v>対象</v>
      </c>
      <c r="U313" s="418" t="s">
        <v>539</v>
      </c>
      <c r="V313" s="99" t="str">
        <f t="shared" si="124"/>
        <v>放課後児童支援員</v>
      </c>
      <c r="W313" s="100" t="str">
        <f t="shared" si="118"/>
        <v>対象</v>
      </c>
      <c r="X313" s="418" t="s">
        <v>546</v>
      </c>
      <c r="Y313" s="99" t="str">
        <f t="shared" si="125"/>
        <v>放課後児童支援員</v>
      </c>
      <c r="Z313" s="100" t="str">
        <f t="shared" si="119"/>
        <v>対象</v>
      </c>
      <c r="AA313" s="418"/>
      <c r="AB313" s="99">
        <f t="shared" si="126"/>
        <v>0</v>
      </c>
      <c r="AC313" s="100">
        <f t="shared" si="120"/>
        <v>0</v>
      </c>
      <c r="AD313" s="418"/>
      <c r="AE313" s="99">
        <f t="shared" si="127"/>
        <v>0</v>
      </c>
      <c r="AF313" s="100">
        <f t="shared" si="121"/>
        <v>0</v>
      </c>
      <c r="AG313" s="351" t="str">
        <f t="shared" si="122"/>
        <v/>
      </c>
      <c r="AH313" s="272" t="str">
        <f t="shared" si="112"/>
        <v/>
      </c>
      <c r="AI313" s="358" t="str">
        <f t="shared" si="113"/>
        <v/>
      </c>
      <c r="AJ313" s="272" t="str">
        <f t="shared" si="114"/>
        <v/>
      </c>
      <c r="AK313" s="361" t="str">
        <f t="shared" si="115"/>
        <v/>
      </c>
      <c r="AL313" s="11"/>
      <c r="AM313" s="11"/>
      <c r="AN313" s="11"/>
    </row>
    <row r="314" spans="1:40" ht="14.25">
      <c r="A314" s="787"/>
      <c r="B314" s="31" t="s">
        <v>175</v>
      </c>
      <c r="C314" s="184" t="s">
        <v>119</v>
      </c>
      <c r="D314" s="413" t="s">
        <v>24</v>
      </c>
      <c r="E314" s="49">
        <v>0.59722222222222221</v>
      </c>
      <c r="F314" s="49">
        <v>0.79166666666666663</v>
      </c>
      <c r="G314" s="93">
        <f t="shared" si="106"/>
        <v>0.19444444444444442</v>
      </c>
      <c r="H314" s="555">
        <f t="shared" si="116"/>
        <v>2.0833333333333259E-2</v>
      </c>
      <c r="I314" s="556">
        <f t="shared" si="107"/>
        <v>1</v>
      </c>
      <c r="J314" s="94">
        <f t="shared" si="108"/>
        <v>0</v>
      </c>
      <c r="K314" s="32">
        <f t="shared" si="109"/>
        <v>0</v>
      </c>
      <c r="L314" s="95" t="str">
        <f t="shared" si="110"/>
        <v/>
      </c>
      <c r="M314" s="96">
        <f t="shared" si="111"/>
        <v>0</v>
      </c>
      <c r="N314" s="97">
        <f>IF(M314=0,0,IF(SUM($M$5:M314)&gt;251,1,0))</f>
        <v>0</v>
      </c>
      <c r="O314" s="162">
        <v>40</v>
      </c>
      <c r="P314" s="163">
        <v>1</v>
      </c>
      <c r="Q314" s="98"/>
      <c r="R314" s="415" t="s">
        <v>543</v>
      </c>
      <c r="S314" s="99" t="str">
        <f t="shared" si="123"/>
        <v>放課後児童支援員</v>
      </c>
      <c r="T314" s="100" t="str">
        <f t="shared" si="117"/>
        <v>対象</v>
      </c>
      <c r="U314" s="418" t="s">
        <v>539</v>
      </c>
      <c r="V314" s="99" t="str">
        <f t="shared" si="124"/>
        <v>放課後児童支援員</v>
      </c>
      <c r="W314" s="100" t="str">
        <f t="shared" si="118"/>
        <v>対象</v>
      </c>
      <c r="X314" s="418" t="s">
        <v>546</v>
      </c>
      <c r="Y314" s="99" t="str">
        <f t="shared" si="125"/>
        <v>放課後児童支援員</v>
      </c>
      <c r="Z314" s="100" t="str">
        <f t="shared" si="119"/>
        <v>対象</v>
      </c>
      <c r="AA314" s="418"/>
      <c r="AB314" s="99">
        <f t="shared" si="126"/>
        <v>0</v>
      </c>
      <c r="AC314" s="100">
        <f t="shared" si="120"/>
        <v>0</v>
      </c>
      <c r="AD314" s="418"/>
      <c r="AE314" s="99">
        <f t="shared" si="127"/>
        <v>0</v>
      </c>
      <c r="AF314" s="100">
        <f t="shared" si="121"/>
        <v>0</v>
      </c>
      <c r="AG314" s="351" t="str">
        <f t="shared" si="122"/>
        <v/>
      </c>
      <c r="AH314" s="272" t="str">
        <f t="shared" si="112"/>
        <v/>
      </c>
      <c r="AI314" s="358" t="str">
        <f t="shared" si="113"/>
        <v/>
      </c>
      <c r="AJ314" s="272" t="str">
        <f t="shared" si="114"/>
        <v/>
      </c>
      <c r="AK314" s="361" t="str">
        <f t="shared" si="115"/>
        <v/>
      </c>
      <c r="AL314" s="11"/>
      <c r="AM314" s="11"/>
      <c r="AN314" s="11"/>
    </row>
    <row r="315" spans="1:40" ht="14.25">
      <c r="A315" s="787"/>
      <c r="B315" s="31" t="s">
        <v>176</v>
      </c>
      <c r="C315" s="184" t="s">
        <v>120</v>
      </c>
      <c r="D315" s="413" t="s">
        <v>24</v>
      </c>
      <c r="E315" s="49">
        <v>0.54861111111111105</v>
      </c>
      <c r="F315" s="49">
        <v>0.79166666666666663</v>
      </c>
      <c r="G315" s="93">
        <f t="shared" si="106"/>
        <v>0.24305555555555558</v>
      </c>
      <c r="H315" s="555">
        <f t="shared" si="116"/>
        <v>2.0833333333333259E-2</v>
      </c>
      <c r="I315" s="556">
        <f t="shared" si="107"/>
        <v>1</v>
      </c>
      <c r="J315" s="94">
        <f t="shared" si="108"/>
        <v>0</v>
      </c>
      <c r="K315" s="32">
        <f t="shared" si="109"/>
        <v>0</v>
      </c>
      <c r="L315" s="95" t="str">
        <f t="shared" si="110"/>
        <v/>
      </c>
      <c r="M315" s="96">
        <f t="shared" si="111"/>
        <v>0</v>
      </c>
      <c r="N315" s="97">
        <f>IF(M315=0,0,IF(SUM($M$5:M315)&gt;251,1,0))</f>
        <v>0</v>
      </c>
      <c r="O315" s="162">
        <v>40</v>
      </c>
      <c r="P315" s="163">
        <v>1</v>
      </c>
      <c r="Q315" s="98"/>
      <c r="R315" s="415" t="s">
        <v>543</v>
      </c>
      <c r="S315" s="99" t="str">
        <f t="shared" si="123"/>
        <v>放課後児童支援員</v>
      </c>
      <c r="T315" s="100" t="str">
        <f t="shared" si="117"/>
        <v>対象</v>
      </c>
      <c r="U315" s="418" t="s">
        <v>539</v>
      </c>
      <c r="V315" s="99" t="str">
        <f t="shared" si="124"/>
        <v>放課後児童支援員</v>
      </c>
      <c r="W315" s="100" t="str">
        <f t="shared" si="118"/>
        <v>対象</v>
      </c>
      <c r="X315" s="418" t="s">
        <v>546</v>
      </c>
      <c r="Y315" s="99" t="str">
        <f t="shared" si="125"/>
        <v>放課後児童支援員</v>
      </c>
      <c r="Z315" s="100" t="str">
        <f t="shared" si="119"/>
        <v>対象</v>
      </c>
      <c r="AA315" s="418"/>
      <c r="AB315" s="99">
        <f t="shared" si="126"/>
        <v>0</v>
      </c>
      <c r="AC315" s="100">
        <f t="shared" si="120"/>
        <v>0</v>
      </c>
      <c r="AD315" s="418"/>
      <c r="AE315" s="99">
        <f t="shared" si="127"/>
        <v>0</v>
      </c>
      <c r="AF315" s="100">
        <f t="shared" si="121"/>
        <v>0</v>
      </c>
      <c r="AG315" s="351" t="str">
        <f t="shared" si="122"/>
        <v/>
      </c>
      <c r="AH315" s="272" t="str">
        <f t="shared" si="112"/>
        <v/>
      </c>
      <c r="AI315" s="358" t="str">
        <f t="shared" si="113"/>
        <v/>
      </c>
      <c r="AJ315" s="272" t="str">
        <f t="shared" si="114"/>
        <v/>
      </c>
      <c r="AK315" s="361" t="str">
        <f t="shared" si="115"/>
        <v/>
      </c>
      <c r="AL315" s="11"/>
      <c r="AM315" s="11"/>
      <c r="AN315" s="11"/>
    </row>
    <row r="316" spans="1:40" ht="14.25">
      <c r="A316" s="787"/>
      <c r="B316" s="31" t="s">
        <v>177</v>
      </c>
      <c r="C316" s="184" t="s">
        <v>121</v>
      </c>
      <c r="D316" s="413" t="s">
        <v>24</v>
      </c>
      <c r="E316" s="49">
        <v>0.59722222222222221</v>
      </c>
      <c r="F316" s="49">
        <v>0.80555555555555547</v>
      </c>
      <c r="G316" s="93">
        <f t="shared" si="106"/>
        <v>0.20833333333333326</v>
      </c>
      <c r="H316" s="555">
        <f t="shared" si="116"/>
        <v>3.4722222222222099E-2</v>
      </c>
      <c r="I316" s="556">
        <f t="shared" si="107"/>
        <v>1</v>
      </c>
      <c r="J316" s="94">
        <f t="shared" si="108"/>
        <v>0</v>
      </c>
      <c r="K316" s="32">
        <f t="shared" si="109"/>
        <v>0</v>
      </c>
      <c r="L316" s="95" t="str">
        <f t="shared" si="110"/>
        <v/>
      </c>
      <c r="M316" s="96">
        <f t="shared" si="111"/>
        <v>0</v>
      </c>
      <c r="N316" s="97">
        <f>IF(M316=0,0,IF(SUM($M$5:M316)&gt;251,1,0))</f>
        <v>0</v>
      </c>
      <c r="O316" s="162">
        <v>40</v>
      </c>
      <c r="P316" s="163">
        <v>1</v>
      </c>
      <c r="Q316" s="98"/>
      <c r="R316" s="415" t="s">
        <v>543</v>
      </c>
      <c r="S316" s="99" t="str">
        <f t="shared" si="123"/>
        <v>放課後児童支援員</v>
      </c>
      <c r="T316" s="100" t="str">
        <f t="shared" si="117"/>
        <v>対象</v>
      </c>
      <c r="U316" s="418" t="s">
        <v>539</v>
      </c>
      <c r="V316" s="99" t="str">
        <f t="shared" si="124"/>
        <v>放課後児童支援員</v>
      </c>
      <c r="W316" s="100" t="str">
        <f t="shared" si="118"/>
        <v>対象</v>
      </c>
      <c r="X316" s="418" t="s">
        <v>546</v>
      </c>
      <c r="Y316" s="99" t="str">
        <f t="shared" si="125"/>
        <v>放課後児童支援員</v>
      </c>
      <c r="Z316" s="100" t="str">
        <f t="shared" si="119"/>
        <v>対象</v>
      </c>
      <c r="AA316" s="418"/>
      <c r="AB316" s="99">
        <f t="shared" si="126"/>
        <v>0</v>
      </c>
      <c r="AC316" s="100">
        <f t="shared" si="120"/>
        <v>0</v>
      </c>
      <c r="AD316" s="418"/>
      <c r="AE316" s="99">
        <f t="shared" si="127"/>
        <v>0</v>
      </c>
      <c r="AF316" s="100">
        <f t="shared" si="121"/>
        <v>0</v>
      </c>
      <c r="AG316" s="351" t="str">
        <f t="shared" si="122"/>
        <v/>
      </c>
      <c r="AH316" s="272" t="str">
        <f t="shared" si="112"/>
        <v/>
      </c>
      <c r="AI316" s="358" t="str">
        <f t="shared" si="113"/>
        <v/>
      </c>
      <c r="AJ316" s="272" t="str">
        <f t="shared" si="114"/>
        <v/>
      </c>
      <c r="AK316" s="361" t="str">
        <f t="shared" si="115"/>
        <v/>
      </c>
      <c r="AL316" s="11"/>
      <c r="AM316" s="11"/>
      <c r="AN316" s="11"/>
    </row>
    <row r="317" spans="1:40" ht="14.25">
      <c r="A317" s="787"/>
      <c r="B317" s="31" t="s">
        <v>178</v>
      </c>
      <c r="C317" s="184" t="s">
        <v>122</v>
      </c>
      <c r="D317" s="413" t="s">
        <v>173</v>
      </c>
      <c r="E317" s="49"/>
      <c r="F317" s="49"/>
      <c r="G317" s="93">
        <f t="shared" si="106"/>
        <v>0</v>
      </c>
      <c r="H317" s="555" t="str">
        <f t="shared" si="116"/>
        <v>0:00</v>
      </c>
      <c r="I317" s="556">
        <f t="shared" si="107"/>
        <v>0</v>
      </c>
      <c r="J317" s="94">
        <f t="shared" si="108"/>
        <v>0</v>
      </c>
      <c r="K317" s="32">
        <f t="shared" si="109"/>
        <v>0</v>
      </c>
      <c r="L317" s="95" t="str">
        <f t="shared" si="110"/>
        <v/>
      </c>
      <c r="M317" s="96">
        <f t="shared" si="111"/>
        <v>0</v>
      </c>
      <c r="N317" s="97">
        <f>IF(M317=0,0,IF(SUM($M$5:M317)&gt;251,1,0))</f>
        <v>0</v>
      </c>
      <c r="O317" s="162"/>
      <c r="P317" s="163"/>
      <c r="Q317" s="98"/>
      <c r="R317" s="415"/>
      <c r="S317" s="99">
        <f t="shared" si="123"/>
        <v>0</v>
      </c>
      <c r="T317" s="100">
        <f t="shared" si="117"/>
        <v>0</v>
      </c>
      <c r="U317" s="418"/>
      <c r="V317" s="99">
        <f t="shared" si="124"/>
        <v>0</v>
      </c>
      <c r="W317" s="100">
        <f t="shared" si="118"/>
        <v>0</v>
      </c>
      <c r="X317" s="418"/>
      <c r="Y317" s="99">
        <f t="shared" si="125"/>
        <v>0</v>
      </c>
      <c r="Z317" s="100">
        <f t="shared" si="119"/>
        <v>0</v>
      </c>
      <c r="AA317" s="418"/>
      <c r="AB317" s="99">
        <f t="shared" si="126"/>
        <v>0</v>
      </c>
      <c r="AC317" s="100">
        <f t="shared" si="120"/>
        <v>0</v>
      </c>
      <c r="AD317" s="418"/>
      <c r="AE317" s="99">
        <f t="shared" si="127"/>
        <v>0</v>
      </c>
      <c r="AF317" s="100">
        <f t="shared" si="121"/>
        <v>0</v>
      </c>
      <c r="AG317" s="351" t="str">
        <f t="shared" si="122"/>
        <v/>
      </c>
      <c r="AH317" s="272" t="str">
        <f t="shared" si="112"/>
        <v/>
      </c>
      <c r="AI317" s="358" t="str">
        <f t="shared" si="113"/>
        <v/>
      </c>
      <c r="AJ317" s="272" t="str">
        <f t="shared" si="114"/>
        <v/>
      </c>
      <c r="AK317" s="361" t="str">
        <f t="shared" si="115"/>
        <v/>
      </c>
      <c r="AL317" s="11"/>
      <c r="AM317" s="11"/>
      <c r="AN317" s="11"/>
    </row>
    <row r="318" spans="1:40" ht="14.25">
      <c r="A318" s="787"/>
      <c r="B318" s="31" t="s">
        <v>179</v>
      </c>
      <c r="C318" s="184" t="s">
        <v>183</v>
      </c>
      <c r="D318" s="413" t="s">
        <v>173</v>
      </c>
      <c r="E318" s="49"/>
      <c r="F318" s="49"/>
      <c r="G318" s="93">
        <f t="shared" si="106"/>
        <v>0</v>
      </c>
      <c r="H318" s="555" t="str">
        <f t="shared" si="116"/>
        <v>0:00</v>
      </c>
      <c r="I318" s="556">
        <f t="shared" si="107"/>
        <v>0</v>
      </c>
      <c r="J318" s="94">
        <f t="shared" si="108"/>
        <v>0</v>
      </c>
      <c r="K318" s="32">
        <f t="shared" si="109"/>
        <v>0</v>
      </c>
      <c r="L318" s="95" t="str">
        <f t="shared" si="110"/>
        <v/>
      </c>
      <c r="M318" s="96">
        <f t="shared" si="111"/>
        <v>0</v>
      </c>
      <c r="N318" s="97">
        <f>IF(M318=0,0,IF(SUM($M$5:M318)&gt;251,1,0))</f>
        <v>0</v>
      </c>
      <c r="O318" s="162"/>
      <c r="P318" s="163"/>
      <c r="Q318" s="98"/>
      <c r="R318" s="415"/>
      <c r="S318" s="99">
        <f t="shared" si="123"/>
        <v>0</v>
      </c>
      <c r="T318" s="100">
        <f t="shared" si="117"/>
        <v>0</v>
      </c>
      <c r="U318" s="418"/>
      <c r="V318" s="99">
        <f t="shared" si="124"/>
        <v>0</v>
      </c>
      <c r="W318" s="100">
        <f t="shared" si="118"/>
        <v>0</v>
      </c>
      <c r="X318" s="418"/>
      <c r="Y318" s="99">
        <f t="shared" si="125"/>
        <v>0</v>
      </c>
      <c r="Z318" s="100">
        <f t="shared" si="119"/>
        <v>0</v>
      </c>
      <c r="AA318" s="418"/>
      <c r="AB318" s="99">
        <f t="shared" si="126"/>
        <v>0</v>
      </c>
      <c r="AC318" s="100">
        <f t="shared" si="120"/>
        <v>0</v>
      </c>
      <c r="AD318" s="418"/>
      <c r="AE318" s="99">
        <f t="shared" si="127"/>
        <v>0</v>
      </c>
      <c r="AF318" s="100">
        <f t="shared" si="121"/>
        <v>0</v>
      </c>
      <c r="AG318" s="351" t="str">
        <f t="shared" si="122"/>
        <v/>
      </c>
      <c r="AH318" s="272" t="str">
        <f t="shared" si="112"/>
        <v/>
      </c>
      <c r="AI318" s="358" t="str">
        <f t="shared" si="113"/>
        <v/>
      </c>
      <c r="AJ318" s="272" t="str">
        <f t="shared" si="114"/>
        <v/>
      </c>
      <c r="AK318" s="361" t="str">
        <f t="shared" si="115"/>
        <v/>
      </c>
      <c r="AL318" s="11"/>
      <c r="AM318" s="11"/>
      <c r="AN318" s="11"/>
    </row>
    <row r="319" spans="1:40" ht="14.25">
      <c r="A319" s="787"/>
      <c r="B319" s="31" t="s">
        <v>180</v>
      </c>
      <c r="C319" s="184" t="s">
        <v>118</v>
      </c>
      <c r="D319" s="413" t="s">
        <v>24</v>
      </c>
      <c r="E319" s="49">
        <v>0.59722222222222221</v>
      </c>
      <c r="F319" s="49">
        <v>0.7715277777777777</v>
      </c>
      <c r="G319" s="93">
        <f t="shared" si="106"/>
        <v>0.17430555555555549</v>
      </c>
      <c r="H319" s="555">
        <f t="shared" si="116"/>
        <v>6.9444444444433095E-4</v>
      </c>
      <c r="I319" s="556">
        <f t="shared" si="107"/>
        <v>1</v>
      </c>
      <c r="J319" s="94">
        <f t="shared" si="108"/>
        <v>0</v>
      </c>
      <c r="K319" s="32">
        <f t="shared" si="109"/>
        <v>0</v>
      </c>
      <c r="L319" s="95" t="str">
        <f t="shared" si="110"/>
        <v/>
      </c>
      <c r="M319" s="96">
        <f t="shared" si="111"/>
        <v>0</v>
      </c>
      <c r="N319" s="97">
        <f>IF(M319=0,0,IF(SUM($M$5:M319)&gt;251,1,0))</f>
        <v>0</v>
      </c>
      <c r="O319" s="162">
        <v>40</v>
      </c>
      <c r="P319" s="163">
        <v>1</v>
      </c>
      <c r="Q319" s="98"/>
      <c r="R319" s="415" t="s">
        <v>543</v>
      </c>
      <c r="S319" s="99" t="str">
        <f t="shared" si="123"/>
        <v>放課後児童支援員</v>
      </c>
      <c r="T319" s="100" t="str">
        <f t="shared" si="117"/>
        <v>対象</v>
      </c>
      <c r="U319" s="418" t="s">
        <v>539</v>
      </c>
      <c r="V319" s="99" t="str">
        <f t="shared" si="124"/>
        <v>放課後児童支援員</v>
      </c>
      <c r="W319" s="100" t="str">
        <f t="shared" si="118"/>
        <v>対象</v>
      </c>
      <c r="X319" s="418"/>
      <c r="Y319" s="99">
        <f t="shared" si="125"/>
        <v>0</v>
      </c>
      <c r="Z319" s="100">
        <f t="shared" si="119"/>
        <v>0</v>
      </c>
      <c r="AA319" s="418"/>
      <c r="AB319" s="99">
        <f t="shared" si="126"/>
        <v>0</v>
      </c>
      <c r="AC319" s="100">
        <f t="shared" si="120"/>
        <v>0</v>
      </c>
      <c r="AD319" s="418"/>
      <c r="AE319" s="99">
        <f t="shared" si="127"/>
        <v>0</v>
      </c>
      <c r="AF319" s="100">
        <f t="shared" si="121"/>
        <v>0</v>
      </c>
      <c r="AG319" s="351" t="str">
        <f t="shared" si="122"/>
        <v/>
      </c>
      <c r="AH319" s="272" t="str">
        <f t="shared" si="112"/>
        <v/>
      </c>
      <c r="AI319" s="358" t="str">
        <f t="shared" si="113"/>
        <v/>
      </c>
      <c r="AJ319" s="272" t="str">
        <f t="shared" si="114"/>
        <v/>
      </c>
      <c r="AK319" s="361" t="str">
        <f t="shared" si="115"/>
        <v/>
      </c>
      <c r="AL319" s="11"/>
      <c r="AM319" s="11"/>
      <c r="AN319" s="11"/>
    </row>
    <row r="320" spans="1:40" ht="14.25">
      <c r="A320" s="787"/>
      <c r="B320" s="31" t="s">
        <v>181</v>
      </c>
      <c r="C320" s="184" t="s">
        <v>123</v>
      </c>
      <c r="D320" s="413" t="s">
        <v>24</v>
      </c>
      <c r="E320" s="49">
        <v>0.59722222222222221</v>
      </c>
      <c r="F320" s="49">
        <v>0.79166666666666663</v>
      </c>
      <c r="G320" s="93">
        <f t="shared" si="106"/>
        <v>0.19444444444444442</v>
      </c>
      <c r="H320" s="555">
        <f t="shared" si="116"/>
        <v>2.0833333333333259E-2</v>
      </c>
      <c r="I320" s="556">
        <f t="shared" si="107"/>
        <v>1</v>
      </c>
      <c r="J320" s="94">
        <f t="shared" si="108"/>
        <v>0</v>
      </c>
      <c r="K320" s="32">
        <f t="shared" si="109"/>
        <v>0</v>
      </c>
      <c r="L320" s="95" t="str">
        <f t="shared" si="110"/>
        <v/>
      </c>
      <c r="M320" s="96">
        <f t="shared" si="111"/>
        <v>0</v>
      </c>
      <c r="N320" s="97">
        <f>IF(M320=0,0,IF(SUM($M$5:M320)&gt;251,1,0))</f>
        <v>0</v>
      </c>
      <c r="O320" s="162">
        <v>40</v>
      </c>
      <c r="P320" s="163">
        <v>1</v>
      </c>
      <c r="Q320" s="98"/>
      <c r="R320" s="415" t="s">
        <v>543</v>
      </c>
      <c r="S320" s="99" t="str">
        <f t="shared" si="123"/>
        <v>放課後児童支援員</v>
      </c>
      <c r="T320" s="100" t="str">
        <f t="shared" si="117"/>
        <v>対象</v>
      </c>
      <c r="U320" s="418" t="s">
        <v>539</v>
      </c>
      <c r="V320" s="99" t="str">
        <f t="shared" si="124"/>
        <v>放課後児童支援員</v>
      </c>
      <c r="W320" s="100" t="str">
        <f t="shared" si="118"/>
        <v>対象</v>
      </c>
      <c r="X320" s="418" t="s">
        <v>546</v>
      </c>
      <c r="Y320" s="99" t="str">
        <f t="shared" si="125"/>
        <v>放課後児童支援員</v>
      </c>
      <c r="Z320" s="100" t="str">
        <f t="shared" si="119"/>
        <v>対象</v>
      </c>
      <c r="AA320" s="418"/>
      <c r="AB320" s="99">
        <f t="shared" si="126"/>
        <v>0</v>
      </c>
      <c r="AC320" s="100">
        <f t="shared" si="120"/>
        <v>0</v>
      </c>
      <c r="AD320" s="418"/>
      <c r="AE320" s="99">
        <f t="shared" si="127"/>
        <v>0</v>
      </c>
      <c r="AF320" s="100">
        <f t="shared" si="121"/>
        <v>0</v>
      </c>
      <c r="AG320" s="351" t="str">
        <f t="shared" si="122"/>
        <v/>
      </c>
      <c r="AH320" s="272" t="str">
        <f t="shared" si="112"/>
        <v/>
      </c>
      <c r="AI320" s="358" t="str">
        <f t="shared" si="113"/>
        <v/>
      </c>
      <c r="AJ320" s="272" t="str">
        <f t="shared" si="114"/>
        <v/>
      </c>
      <c r="AK320" s="361" t="str">
        <f t="shared" si="115"/>
        <v/>
      </c>
      <c r="AL320" s="11"/>
      <c r="AM320" s="11"/>
      <c r="AN320" s="11"/>
    </row>
    <row r="321" spans="1:40" ht="14.25">
      <c r="A321" s="787"/>
      <c r="B321" s="31" t="s">
        <v>182</v>
      </c>
      <c r="C321" s="184" t="s">
        <v>119</v>
      </c>
      <c r="D321" s="413" t="s">
        <v>24</v>
      </c>
      <c r="E321" s="49">
        <v>0.59722222222222221</v>
      </c>
      <c r="F321" s="49">
        <v>0.79166666666666663</v>
      </c>
      <c r="G321" s="93">
        <f t="shared" si="106"/>
        <v>0.19444444444444442</v>
      </c>
      <c r="H321" s="555">
        <f t="shared" si="116"/>
        <v>2.0833333333333259E-2</v>
      </c>
      <c r="I321" s="556">
        <f t="shared" si="107"/>
        <v>1</v>
      </c>
      <c r="J321" s="94">
        <f t="shared" si="108"/>
        <v>0</v>
      </c>
      <c r="K321" s="32">
        <f t="shared" si="109"/>
        <v>0</v>
      </c>
      <c r="L321" s="95" t="str">
        <f t="shared" si="110"/>
        <v/>
      </c>
      <c r="M321" s="96">
        <f t="shared" si="111"/>
        <v>0</v>
      </c>
      <c r="N321" s="97">
        <f>IF(M321=0,0,IF(SUM($M$5:M321)&gt;251,1,0))</f>
        <v>0</v>
      </c>
      <c r="O321" s="162">
        <v>40</v>
      </c>
      <c r="P321" s="163">
        <v>1</v>
      </c>
      <c r="Q321" s="98"/>
      <c r="R321" s="415" t="s">
        <v>543</v>
      </c>
      <c r="S321" s="99" t="str">
        <f t="shared" si="123"/>
        <v>放課後児童支援員</v>
      </c>
      <c r="T321" s="100" t="str">
        <f t="shared" si="117"/>
        <v>対象</v>
      </c>
      <c r="U321" s="418" t="s">
        <v>539</v>
      </c>
      <c r="V321" s="99" t="str">
        <f t="shared" si="124"/>
        <v>放課後児童支援員</v>
      </c>
      <c r="W321" s="100" t="str">
        <f t="shared" si="118"/>
        <v>対象</v>
      </c>
      <c r="X321" s="418"/>
      <c r="Y321" s="99">
        <f t="shared" si="125"/>
        <v>0</v>
      </c>
      <c r="Z321" s="100">
        <f t="shared" si="119"/>
        <v>0</v>
      </c>
      <c r="AA321" s="418"/>
      <c r="AB321" s="99">
        <f t="shared" si="126"/>
        <v>0</v>
      </c>
      <c r="AC321" s="100">
        <f t="shared" si="120"/>
        <v>0</v>
      </c>
      <c r="AD321" s="418"/>
      <c r="AE321" s="99">
        <f t="shared" si="127"/>
        <v>0</v>
      </c>
      <c r="AF321" s="100">
        <f t="shared" si="121"/>
        <v>0</v>
      </c>
      <c r="AG321" s="351" t="str">
        <f t="shared" si="122"/>
        <v/>
      </c>
      <c r="AH321" s="272" t="str">
        <f t="shared" si="112"/>
        <v/>
      </c>
      <c r="AI321" s="358" t="str">
        <f t="shared" si="113"/>
        <v/>
      </c>
      <c r="AJ321" s="272" t="str">
        <f t="shared" si="114"/>
        <v/>
      </c>
      <c r="AK321" s="361" t="str">
        <f t="shared" si="115"/>
        <v/>
      </c>
      <c r="AL321" s="11"/>
      <c r="AM321" s="11"/>
      <c r="AN321" s="11"/>
    </row>
    <row r="322" spans="1:40" ht="14.25">
      <c r="A322" s="787"/>
      <c r="B322" s="31" t="s">
        <v>184</v>
      </c>
      <c r="C322" s="184" t="s">
        <v>120</v>
      </c>
      <c r="D322" s="413" t="s">
        <v>24</v>
      </c>
      <c r="E322" s="49">
        <v>0.54861111111111105</v>
      </c>
      <c r="F322" s="49">
        <v>0.79166666666666663</v>
      </c>
      <c r="G322" s="93">
        <f t="shared" si="106"/>
        <v>0.24305555555555558</v>
      </c>
      <c r="H322" s="555">
        <f t="shared" si="116"/>
        <v>2.0833333333333259E-2</v>
      </c>
      <c r="I322" s="556">
        <f t="shared" si="107"/>
        <v>1</v>
      </c>
      <c r="J322" s="94">
        <f t="shared" si="108"/>
        <v>0</v>
      </c>
      <c r="K322" s="32">
        <f t="shared" si="109"/>
        <v>0</v>
      </c>
      <c r="L322" s="95" t="str">
        <f t="shared" si="110"/>
        <v/>
      </c>
      <c r="M322" s="96">
        <f t="shared" si="111"/>
        <v>0</v>
      </c>
      <c r="N322" s="97">
        <f>IF(M322=0,0,IF(SUM($M$5:M322)&gt;251,1,0))</f>
        <v>0</v>
      </c>
      <c r="O322" s="162">
        <v>40</v>
      </c>
      <c r="P322" s="163">
        <v>1</v>
      </c>
      <c r="Q322" s="98"/>
      <c r="R322" s="415" t="s">
        <v>543</v>
      </c>
      <c r="S322" s="99" t="str">
        <f t="shared" si="123"/>
        <v>放課後児童支援員</v>
      </c>
      <c r="T322" s="100" t="str">
        <f t="shared" si="117"/>
        <v>対象</v>
      </c>
      <c r="U322" s="418" t="s">
        <v>539</v>
      </c>
      <c r="V322" s="99" t="str">
        <f t="shared" si="124"/>
        <v>放課後児童支援員</v>
      </c>
      <c r="W322" s="100" t="str">
        <f t="shared" si="118"/>
        <v>対象</v>
      </c>
      <c r="X322" s="418" t="s">
        <v>546</v>
      </c>
      <c r="Y322" s="99" t="str">
        <f t="shared" si="125"/>
        <v>放課後児童支援員</v>
      </c>
      <c r="Z322" s="100" t="str">
        <f t="shared" si="119"/>
        <v>対象</v>
      </c>
      <c r="AA322" s="418"/>
      <c r="AB322" s="99">
        <f t="shared" si="126"/>
        <v>0</v>
      </c>
      <c r="AC322" s="100">
        <f t="shared" si="120"/>
        <v>0</v>
      </c>
      <c r="AD322" s="418"/>
      <c r="AE322" s="99">
        <f t="shared" si="127"/>
        <v>0</v>
      </c>
      <c r="AF322" s="100">
        <f t="shared" si="121"/>
        <v>0</v>
      </c>
      <c r="AG322" s="351" t="str">
        <f t="shared" si="122"/>
        <v/>
      </c>
      <c r="AH322" s="272" t="str">
        <f t="shared" si="112"/>
        <v/>
      </c>
      <c r="AI322" s="358" t="str">
        <f t="shared" si="113"/>
        <v/>
      </c>
      <c r="AJ322" s="272" t="str">
        <f t="shared" si="114"/>
        <v/>
      </c>
      <c r="AK322" s="361" t="str">
        <f t="shared" si="115"/>
        <v/>
      </c>
      <c r="AL322" s="11"/>
      <c r="AM322" s="11"/>
      <c r="AN322" s="11"/>
    </row>
    <row r="323" spans="1:40" ht="14.25">
      <c r="A323" s="787"/>
      <c r="B323" s="31" t="s">
        <v>185</v>
      </c>
      <c r="C323" s="184" t="s">
        <v>121</v>
      </c>
      <c r="D323" s="413" t="s">
        <v>24</v>
      </c>
      <c r="E323" s="49">
        <v>0.59722222222222221</v>
      </c>
      <c r="F323" s="49">
        <v>0.80555555555555547</v>
      </c>
      <c r="G323" s="93">
        <f t="shared" si="106"/>
        <v>0.20833333333333326</v>
      </c>
      <c r="H323" s="555">
        <f t="shared" si="116"/>
        <v>3.4722222222222099E-2</v>
      </c>
      <c r="I323" s="556">
        <f t="shared" si="107"/>
        <v>1</v>
      </c>
      <c r="J323" s="94">
        <f t="shared" si="108"/>
        <v>0</v>
      </c>
      <c r="K323" s="32">
        <f t="shared" si="109"/>
        <v>0</v>
      </c>
      <c r="L323" s="95" t="str">
        <f t="shared" si="110"/>
        <v/>
      </c>
      <c r="M323" s="96">
        <f t="shared" si="111"/>
        <v>0</v>
      </c>
      <c r="N323" s="97">
        <f>IF(M323=0,0,IF(SUM($M$5:M323)&gt;251,1,0))</f>
        <v>0</v>
      </c>
      <c r="O323" s="162">
        <v>40</v>
      </c>
      <c r="P323" s="163">
        <v>1</v>
      </c>
      <c r="Q323" s="98"/>
      <c r="R323" s="415" t="s">
        <v>543</v>
      </c>
      <c r="S323" s="99" t="str">
        <f t="shared" si="123"/>
        <v>放課後児童支援員</v>
      </c>
      <c r="T323" s="100" t="str">
        <f t="shared" si="117"/>
        <v>対象</v>
      </c>
      <c r="U323" s="418" t="s">
        <v>539</v>
      </c>
      <c r="V323" s="99" t="str">
        <f t="shared" si="124"/>
        <v>放課後児童支援員</v>
      </c>
      <c r="W323" s="100" t="str">
        <f t="shared" si="118"/>
        <v>対象</v>
      </c>
      <c r="X323" s="418" t="s">
        <v>546</v>
      </c>
      <c r="Y323" s="99" t="str">
        <f t="shared" si="125"/>
        <v>放課後児童支援員</v>
      </c>
      <c r="Z323" s="100" t="str">
        <f t="shared" si="119"/>
        <v>対象</v>
      </c>
      <c r="AA323" s="418"/>
      <c r="AB323" s="99">
        <f t="shared" si="126"/>
        <v>0</v>
      </c>
      <c r="AC323" s="100">
        <f t="shared" si="120"/>
        <v>0</v>
      </c>
      <c r="AD323" s="418"/>
      <c r="AE323" s="99">
        <f t="shared" si="127"/>
        <v>0</v>
      </c>
      <c r="AF323" s="100">
        <f t="shared" si="121"/>
        <v>0</v>
      </c>
      <c r="AG323" s="351" t="str">
        <f t="shared" si="122"/>
        <v/>
      </c>
      <c r="AH323" s="272" t="str">
        <f t="shared" si="112"/>
        <v/>
      </c>
      <c r="AI323" s="358" t="str">
        <f t="shared" si="113"/>
        <v/>
      </c>
      <c r="AJ323" s="272" t="str">
        <f t="shared" si="114"/>
        <v/>
      </c>
      <c r="AK323" s="361" t="str">
        <f t="shared" si="115"/>
        <v/>
      </c>
      <c r="AL323" s="11"/>
      <c r="AM323" s="11"/>
      <c r="AN323" s="11"/>
    </row>
    <row r="324" spans="1:40" ht="14.25">
      <c r="A324" s="787"/>
      <c r="B324" s="31" t="s">
        <v>186</v>
      </c>
      <c r="C324" s="184" t="s">
        <v>122</v>
      </c>
      <c r="D324" s="413" t="s">
        <v>171</v>
      </c>
      <c r="E324" s="49">
        <v>0.33333333333333331</v>
      </c>
      <c r="F324" s="49">
        <v>0.6875</v>
      </c>
      <c r="G324" s="93">
        <f t="shared" si="106"/>
        <v>0.35416666666666669</v>
      </c>
      <c r="H324" s="555" t="str">
        <f t="shared" si="116"/>
        <v>0:00</v>
      </c>
      <c r="I324" s="556">
        <f t="shared" si="107"/>
        <v>0</v>
      </c>
      <c r="J324" s="94">
        <f t="shared" si="108"/>
        <v>2.083333333333337E-2</v>
      </c>
      <c r="K324" s="32">
        <f t="shared" si="109"/>
        <v>1</v>
      </c>
      <c r="L324" s="95" t="str">
        <f t="shared" si="110"/>
        <v/>
      </c>
      <c r="M324" s="96">
        <f t="shared" si="111"/>
        <v>1</v>
      </c>
      <c r="N324" s="97">
        <f>IF(M324=0,0,IF(SUM($M$5:M324)&gt;251,1,0))</f>
        <v>0</v>
      </c>
      <c r="O324" s="162">
        <v>5</v>
      </c>
      <c r="P324" s="163">
        <v>0</v>
      </c>
      <c r="Q324" s="98"/>
      <c r="R324" s="415" t="s">
        <v>543</v>
      </c>
      <c r="S324" s="99" t="str">
        <f t="shared" si="123"/>
        <v>放課後児童支援員</v>
      </c>
      <c r="T324" s="100" t="str">
        <f t="shared" si="117"/>
        <v>対象</v>
      </c>
      <c r="U324" s="418" t="s">
        <v>539</v>
      </c>
      <c r="V324" s="99" t="str">
        <f t="shared" si="124"/>
        <v>放課後児童支援員</v>
      </c>
      <c r="W324" s="100" t="str">
        <f t="shared" si="118"/>
        <v>対象</v>
      </c>
      <c r="X324" s="418" t="s">
        <v>546</v>
      </c>
      <c r="Y324" s="99" t="str">
        <f t="shared" si="125"/>
        <v>放課後児童支援員</v>
      </c>
      <c r="Z324" s="100" t="str">
        <f t="shared" si="119"/>
        <v>対象</v>
      </c>
      <c r="AA324" s="418"/>
      <c r="AB324" s="99">
        <f t="shared" si="126"/>
        <v>0</v>
      </c>
      <c r="AC324" s="100">
        <f t="shared" si="120"/>
        <v>0</v>
      </c>
      <c r="AD324" s="418"/>
      <c r="AE324" s="99">
        <f t="shared" si="127"/>
        <v>0</v>
      </c>
      <c r="AF324" s="100">
        <f t="shared" si="121"/>
        <v>0</v>
      </c>
      <c r="AG324" s="351" t="str">
        <f t="shared" si="122"/>
        <v/>
      </c>
      <c r="AH324" s="272" t="str">
        <f t="shared" si="112"/>
        <v/>
      </c>
      <c r="AI324" s="358" t="str">
        <f t="shared" si="113"/>
        <v/>
      </c>
      <c r="AJ324" s="272" t="str">
        <f t="shared" si="114"/>
        <v/>
      </c>
      <c r="AK324" s="361" t="str">
        <f t="shared" si="115"/>
        <v/>
      </c>
      <c r="AL324" s="11"/>
      <c r="AM324" s="11"/>
      <c r="AN324" s="11"/>
    </row>
    <row r="325" spans="1:40" ht="14.25">
      <c r="A325" s="787"/>
      <c r="B325" s="31" t="s">
        <v>187</v>
      </c>
      <c r="C325" s="184" t="s">
        <v>183</v>
      </c>
      <c r="D325" s="413" t="s">
        <v>173</v>
      </c>
      <c r="E325" s="49"/>
      <c r="F325" s="49"/>
      <c r="G325" s="93">
        <f t="shared" ref="G325:G369" si="128">F325-E325</f>
        <v>0</v>
      </c>
      <c r="H325" s="555" t="str">
        <f t="shared" si="116"/>
        <v>0:00</v>
      </c>
      <c r="I325" s="556">
        <f t="shared" ref="I325:I369" si="129">IF(ISNUMBER(SEARCH("平日", D325)), 1, 0)</f>
        <v>0</v>
      </c>
      <c r="J325" s="94">
        <f t="shared" ref="J325:J336" si="130">IF(D325="土・日・祝・長期休暇",MAX(G325-TIME(8,0,0),0),0)</f>
        <v>0</v>
      </c>
      <c r="K325" s="32">
        <f t="shared" ref="K325:K369" si="131">IF(ISNUMBER(SEARCH("長期", D325)), 1, 0)</f>
        <v>0</v>
      </c>
      <c r="L325" s="95" t="str">
        <f t="shared" ref="L325:L336" si="132">IF(D325="休所",IF(E325&lt;&gt;"","入力にエラーがあります",""),"")</f>
        <v/>
      </c>
      <c r="M325" s="96">
        <f t="shared" ref="M325:M336" si="133">IF(OR(D325="休所",D325="",D325="平日：開所とみなす閉所"),0,IF(OR(G325-TIME(7,59,59)&gt;0,D325="土日祝長期：開所とみなす閉所"),1,0))</f>
        <v>0</v>
      </c>
      <c r="N325" s="97">
        <f>IF(M325=0,0,IF(SUM($M$5:M325)&gt;251,1,0))</f>
        <v>0</v>
      </c>
      <c r="O325" s="162"/>
      <c r="P325" s="163"/>
      <c r="Q325" s="98"/>
      <c r="R325" s="415"/>
      <c r="S325" s="99">
        <f t="shared" si="123"/>
        <v>0</v>
      </c>
      <c r="T325" s="100">
        <f t="shared" si="117"/>
        <v>0</v>
      </c>
      <c r="U325" s="418"/>
      <c r="V325" s="99">
        <f t="shared" si="124"/>
        <v>0</v>
      </c>
      <c r="W325" s="100">
        <f t="shared" si="118"/>
        <v>0</v>
      </c>
      <c r="X325" s="418"/>
      <c r="Y325" s="99">
        <f t="shared" si="125"/>
        <v>0</v>
      </c>
      <c r="Z325" s="100">
        <f t="shared" si="119"/>
        <v>0</v>
      </c>
      <c r="AA325" s="418"/>
      <c r="AB325" s="99">
        <f t="shared" si="126"/>
        <v>0</v>
      </c>
      <c r="AC325" s="100">
        <f t="shared" si="120"/>
        <v>0</v>
      </c>
      <c r="AD325" s="418"/>
      <c r="AE325" s="99">
        <f t="shared" si="127"/>
        <v>0</v>
      </c>
      <c r="AF325" s="100">
        <f t="shared" si="121"/>
        <v>0</v>
      </c>
      <c r="AG325" s="351" t="str">
        <f t="shared" si="122"/>
        <v/>
      </c>
      <c r="AH325" s="272" t="str">
        <f t="shared" ref="AH325:AH369" si="134">IF(OR(D325=$AL$6,D325=$AL$7,D325=$AL$8),"",IF(P325&gt;0,IF(COUNTIF(R325:AF325,"対象")&gt;0,"","障害児加配対象職員がいません"),""))</f>
        <v/>
      </c>
      <c r="AI325" s="358" t="str">
        <f t="shared" ref="AI325:AI369" si="135">IF(OR(D325=$AL$6, D325=$AL$7, D325=$AL$8), "", IF(P325&gt;2, IF(COUNTIF(R325:AF325, "対象")&lt;=1, IF(AA325&lt;&gt;"", "", "障害児が３名以上いますが、職員の配置が３名以下です(強化加算対象外)"), IF(AA325&lt;&gt;"", "", "障害児が３名以上いますが、職員の配置が３名以下です(強化加算対象外)")), ""))</f>
        <v/>
      </c>
      <c r="AJ325" s="272" t="str">
        <f t="shared" ref="AJ325:AJ369" si="136">IF(AND(D325="平日", G325*24&lt;3), "平日は3時間以上開所", IF(AND(D325="土・日・祝・長期休暇", G325*24&lt;8), "学校の休業日は8時間以上開所", ""))</f>
        <v/>
      </c>
      <c r="AK325" s="361" t="str">
        <f t="shared" ref="AK325:AK369" si="137">IF(AND(OR(D325="平日", D325="土・日・祝・長期休暇"), OR(O325="")), "児童数が入力されていません！", "")</f>
        <v/>
      </c>
      <c r="AL325" s="11"/>
      <c r="AM325" s="11"/>
      <c r="AN325" s="11"/>
    </row>
    <row r="326" spans="1:40" ht="14.25">
      <c r="A326" s="787"/>
      <c r="B326" s="31" t="s">
        <v>188</v>
      </c>
      <c r="C326" s="184" t="s">
        <v>118</v>
      </c>
      <c r="D326" s="413" t="s">
        <v>24</v>
      </c>
      <c r="E326" s="49">
        <v>0.59722222222222221</v>
      </c>
      <c r="F326" s="49">
        <v>0.7715277777777777</v>
      </c>
      <c r="G326" s="93">
        <f t="shared" si="128"/>
        <v>0.17430555555555549</v>
      </c>
      <c r="H326" s="555">
        <f t="shared" ref="H326:H369" si="138">IF(AND(D326="平日", F326&gt;TIME(18,30,0)), (F326-TIME(18,30,0))*1440/1440, "0:00")</f>
        <v>6.9444444444433095E-4</v>
      </c>
      <c r="I326" s="556">
        <f t="shared" si="129"/>
        <v>1</v>
      </c>
      <c r="J326" s="94">
        <f t="shared" si="130"/>
        <v>0</v>
      </c>
      <c r="K326" s="32">
        <f t="shared" si="131"/>
        <v>0</v>
      </c>
      <c r="L326" s="95" t="str">
        <f t="shared" si="132"/>
        <v/>
      </c>
      <c r="M326" s="96">
        <f t="shared" si="133"/>
        <v>0</v>
      </c>
      <c r="N326" s="97">
        <f>IF(M326=0,0,IF(SUM($M$5:M326)&gt;251,1,0))</f>
        <v>0</v>
      </c>
      <c r="O326" s="162">
        <v>40</v>
      </c>
      <c r="P326" s="163">
        <v>1</v>
      </c>
      <c r="Q326" s="98"/>
      <c r="R326" s="415" t="s">
        <v>543</v>
      </c>
      <c r="S326" s="99" t="str">
        <f t="shared" si="123"/>
        <v>放課後児童支援員</v>
      </c>
      <c r="T326" s="100" t="str">
        <f t="shared" ref="T326:T369" si="139">VLOOKUP(R326,$AM$12:$AO$31,3,FALSE)</f>
        <v>対象</v>
      </c>
      <c r="U326" s="418" t="s">
        <v>539</v>
      </c>
      <c r="V326" s="99" t="str">
        <f t="shared" si="124"/>
        <v>放課後児童支援員</v>
      </c>
      <c r="W326" s="100" t="str">
        <f t="shared" ref="W326:W369" si="140">VLOOKUP(U326,$AM$12:$AO$31,3,FALSE)</f>
        <v>対象</v>
      </c>
      <c r="X326" s="418"/>
      <c r="Y326" s="99">
        <f t="shared" si="125"/>
        <v>0</v>
      </c>
      <c r="Z326" s="100">
        <f t="shared" ref="Z326:Z369" si="141">VLOOKUP(X326,$AM$12:$AO$31,3,FALSE)</f>
        <v>0</v>
      </c>
      <c r="AA326" s="418"/>
      <c r="AB326" s="99">
        <f t="shared" si="126"/>
        <v>0</v>
      </c>
      <c r="AC326" s="100">
        <f t="shared" ref="AC326:AC369" si="142">VLOOKUP(AA326,$AM$12:$AO$31,3,FALSE)</f>
        <v>0</v>
      </c>
      <c r="AD326" s="418"/>
      <c r="AE326" s="99">
        <f t="shared" si="127"/>
        <v>0</v>
      </c>
      <c r="AF326" s="100">
        <f t="shared" ref="AF326:AF369" si="143">VLOOKUP(AD326,$AM$12:$AO$31,3,FALSE)</f>
        <v>0</v>
      </c>
      <c r="AG326" s="351" t="str">
        <f t="shared" ref="AG326:AG369" si="144">IF(OR(D326=$AL$6,D326=$AL$7,D326=$AL$8,D326=""),"",IF(COUNTIF(R326:AF326,"*支援員*")&gt;0,"","支援員がいません！"))</f>
        <v/>
      </c>
      <c r="AH326" s="272" t="str">
        <f t="shared" si="134"/>
        <v/>
      </c>
      <c r="AI326" s="358" t="str">
        <f t="shared" si="135"/>
        <v/>
      </c>
      <c r="AJ326" s="272" t="str">
        <f t="shared" si="136"/>
        <v/>
      </c>
      <c r="AK326" s="361" t="str">
        <f t="shared" si="137"/>
        <v/>
      </c>
      <c r="AL326" s="11"/>
      <c r="AM326" s="11"/>
      <c r="AN326" s="11"/>
    </row>
    <row r="327" spans="1:40" ht="14.25">
      <c r="A327" s="787"/>
      <c r="B327" s="31" t="s">
        <v>189</v>
      </c>
      <c r="C327" s="184" t="s">
        <v>123</v>
      </c>
      <c r="D327" s="413" t="s">
        <v>24</v>
      </c>
      <c r="E327" s="49">
        <v>0.59722222222222221</v>
      </c>
      <c r="F327" s="49">
        <v>0.79166666666666663</v>
      </c>
      <c r="G327" s="93">
        <f t="shared" si="128"/>
        <v>0.19444444444444442</v>
      </c>
      <c r="H327" s="555">
        <f t="shared" si="138"/>
        <v>2.0833333333333259E-2</v>
      </c>
      <c r="I327" s="556">
        <f t="shared" si="129"/>
        <v>1</v>
      </c>
      <c r="J327" s="94">
        <f t="shared" si="130"/>
        <v>0</v>
      </c>
      <c r="K327" s="32">
        <f t="shared" si="131"/>
        <v>0</v>
      </c>
      <c r="L327" s="95" t="str">
        <f t="shared" si="132"/>
        <v/>
      </c>
      <c r="M327" s="96">
        <f t="shared" si="133"/>
        <v>0</v>
      </c>
      <c r="N327" s="97">
        <f>IF(M327=0,0,IF(SUM($M$5:M327)&gt;251,1,0))</f>
        <v>0</v>
      </c>
      <c r="O327" s="162">
        <v>40</v>
      </c>
      <c r="P327" s="163">
        <v>1</v>
      </c>
      <c r="Q327" s="98"/>
      <c r="R327" s="415" t="s">
        <v>543</v>
      </c>
      <c r="S327" s="99" t="str">
        <f t="shared" ref="S327:S369" si="145">VLOOKUP(R327,$AM$12:$AN$31,2,FALSE)</f>
        <v>放課後児童支援員</v>
      </c>
      <c r="T327" s="100" t="str">
        <f t="shared" si="139"/>
        <v>対象</v>
      </c>
      <c r="U327" s="418" t="s">
        <v>539</v>
      </c>
      <c r="V327" s="99" t="str">
        <f t="shared" ref="V327:V369" si="146">VLOOKUP(U327,$AM$12:$AN$31,2,FALSE)</f>
        <v>放課後児童支援員</v>
      </c>
      <c r="W327" s="100" t="str">
        <f t="shared" si="140"/>
        <v>対象</v>
      </c>
      <c r="X327" s="418" t="s">
        <v>546</v>
      </c>
      <c r="Y327" s="99" t="str">
        <f t="shared" ref="Y327:Y369" si="147">VLOOKUP(X327,$AM$12:$AN$31,2,FALSE)</f>
        <v>放課後児童支援員</v>
      </c>
      <c r="Z327" s="100" t="str">
        <f t="shared" si="141"/>
        <v>対象</v>
      </c>
      <c r="AA327" s="418"/>
      <c r="AB327" s="99">
        <f t="shared" ref="AB327:AB369" si="148">VLOOKUP(AA327,$AM$12:$AN$31,2,FALSE)</f>
        <v>0</v>
      </c>
      <c r="AC327" s="100">
        <f t="shared" si="142"/>
        <v>0</v>
      </c>
      <c r="AD327" s="418"/>
      <c r="AE327" s="99">
        <f t="shared" ref="AE327:AE369" si="149">VLOOKUP(AD327,$AM$12:$AN$31,2,FALSE)</f>
        <v>0</v>
      </c>
      <c r="AF327" s="100">
        <f t="shared" si="143"/>
        <v>0</v>
      </c>
      <c r="AG327" s="351" t="str">
        <f t="shared" si="144"/>
        <v/>
      </c>
      <c r="AH327" s="272" t="str">
        <f t="shared" si="134"/>
        <v/>
      </c>
      <c r="AI327" s="358" t="str">
        <f t="shared" si="135"/>
        <v/>
      </c>
      <c r="AJ327" s="272" t="str">
        <f t="shared" si="136"/>
        <v/>
      </c>
      <c r="AK327" s="361" t="str">
        <f t="shared" si="137"/>
        <v/>
      </c>
      <c r="AL327" s="11"/>
      <c r="AM327" s="11"/>
      <c r="AN327" s="11"/>
    </row>
    <row r="328" spans="1:40" ht="14.25">
      <c r="A328" s="787"/>
      <c r="B328" s="31" t="s">
        <v>190</v>
      </c>
      <c r="C328" s="184" t="s">
        <v>119</v>
      </c>
      <c r="D328" s="413" t="s">
        <v>24</v>
      </c>
      <c r="E328" s="49">
        <v>0.59722222222222221</v>
      </c>
      <c r="F328" s="49">
        <v>0.79166666666666663</v>
      </c>
      <c r="G328" s="93">
        <f t="shared" si="128"/>
        <v>0.19444444444444442</v>
      </c>
      <c r="H328" s="555">
        <f t="shared" si="138"/>
        <v>2.0833333333333259E-2</v>
      </c>
      <c r="I328" s="556">
        <f t="shared" si="129"/>
        <v>1</v>
      </c>
      <c r="J328" s="94">
        <f t="shared" si="130"/>
        <v>0</v>
      </c>
      <c r="K328" s="32">
        <f t="shared" si="131"/>
        <v>0</v>
      </c>
      <c r="L328" s="95" t="str">
        <f t="shared" si="132"/>
        <v/>
      </c>
      <c r="M328" s="96">
        <f t="shared" si="133"/>
        <v>0</v>
      </c>
      <c r="N328" s="97">
        <f>IF(M328=0,0,IF(SUM($M$5:M328)&gt;251,1,0))</f>
        <v>0</v>
      </c>
      <c r="O328" s="162">
        <v>40</v>
      </c>
      <c r="P328" s="163">
        <v>1</v>
      </c>
      <c r="Q328" s="98"/>
      <c r="R328" s="415" t="s">
        <v>543</v>
      </c>
      <c r="S328" s="99" t="str">
        <f t="shared" si="145"/>
        <v>放課後児童支援員</v>
      </c>
      <c r="T328" s="100" t="str">
        <f t="shared" si="139"/>
        <v>対象</v>
      </c>
      <c r="U328" s="418" t="s">
        <v>539</v>
      </c>
      <c r="V328" s="99" t="str">
        <f t="shared" si="146"/>
        <v>放課後児童支援員</v>
      </c>
      <c r="W328" s="100" t="str">
        <f t="shared" si="140"/>
        <v>対象</v>
      </c>
      <c r="X328" s="418" t="s">
        <v>546</v>
      </c>
      <c r="Y328" s="99" t="str">
        <f t="shared" si="147"/>
        <v>放課後児童支援員</v>
      </c>
      <c r="Z328" s="100" t="str">
        <f t="shared" si="141"/>
        <v>対象</v>
      </c>
      <c r="AA328" s="418"/>
      <c r="AB328" s="99">
        <f t="shared" si="148"/>
        <v>0</v>
      </c>
      <c r="AC328" s="100">
        <f t="shared" si="142"/>
        <v>0</v>
      </c>
      <c r="AD328" s="418"/>
      <c r="AE328" s="99">
        <f t="shared" si="149"/>
        <v>0</v>
      </c>
      <c r="AF328" s="100">
        <f t="shared" si="143"/>
        <v>0</v>
      </c>
      <c r="AG328" s="351" t="str">
        <f t="shared" si="144"/>
        <v/>
      </c>
      <c r="AH328" s="272" t="str">
        <f t="shared" si="134"/>
        <v/>
      </c>
      <c r="AI328" s="358" t="str">
        <f t="shared" si="135"/>
        <v/>
      </c>
      <c r="AJ328" s="272" t="str">
        <f t="shared" si="136"/>
        <v/>
      </c>
      <c r="AK328" s="361" t="str">
        <f t="shared" si="137"/>
        <v/>
      </c>
      <c r="AL328" s="11"/>
      <c r="AM328" s="11"/>
      <c r="AN328" s="11"/>
    </row>
    <row r="329" spans="1:40" ht="14.25">
      <c r="A329" s="787"/>
      <c r="B329" s="31" t="s">
        <v>191</v>
      </c>
      <c r="C329" s="184" t="s">
        <v>120</v>
      </c>
      <c r="D329" s="413" t="s">
        <v>24</v>
      </c>
      <c r="E329" s="49">
        <v>0.54861111111111105</v>
      </c>
      <c r="F329" s="49">
        <v>0.79166666666666663</v>
      </c>
      <c r="G329" s="93">
        <f t="shared" si="128"/>
        <v>0.24305555555555558</v>
      </c>
      <c r="H329" s="555">
        <f t="shared" si="138"/>
        <v>2.0833333333333259E-2</v>
      </c>
      <c r="I329" s="556">
        <f t="shared" si="129"/>
        <v>1</v>
      </c>
      <c r="J329" s="94">
        <f t="shared" si="130"/>
        <v>0</v>
      </c>
      <c r="K329" s="32">
        <f t="shared" si="131"/>
        <v>0</v>
      </c>
      <c r="L329" s="95" t="str">
        <f t="shared" si="132"/>
        <v/>
      </c>
      <c r="M329" s="96">
        <f t="shared" si="133"/>
        <v>0</v>
      </c>
      <c r="N329" s="97">
        <f>IF(M329=0,0,IF(SUM($M$5:M329)&gt;251,1,0))</f>
        <v>0</v>
      </c>
      <c r="O329" s="162">
        <v>40</v>
      </c>
      <c r="P329" s="163">
        <v>1</v>
      </c>
      <c r="Q329" s="98"/>
      <c r="R329" s="415" t="s">
        <v>543</v>
      </c>
      <c r="S329" s="99" t="str">
        <f t="shared" si="145"/>
        <v>放課後児童支援員</v>
      </c>
      <c r="T329" s="100" t="str">
        <f t="shared" si="139"/>
        <v>対象</v>
      </c>
      <c r="U329" s="418" t="s">
        <v>539</v>
      </c>
      <c r="V329" s="99" t="str">
        <f t="shared" si="146"/>
        <v>放課後児童支援員</v>
      </c>
      <c r="W329" s="100" t="str">
        <f t="shared" si="140"/>
        <v>対象</v>
      </c>
      <c r="X329" s="418" t="s">
        <v>546</v>
      </c>
      <c r="Y329" s="99" t="str">
        <f t="shared" si="147"/>
        <v>放課後児童支援員</v>
      </c>
      <c r="Z329" s="100" t="str">
        <f t="shared" si="141"/>
        <v>対象</v>
      </c>
      <c r="AA329" s="418"/>
      <c r="AB329" s="99">
        <f t="shared" si="148"/>
        <v>0</v>
      </c>
      <c r="AC329" s="100">
        <f t="shared" si="142"/>
        <v>0</v>
      </c>
      <c r="AD329" s="418"/>
      <c r="AE329" s="99">
        <f t="shared" si="149"/>
        <v>0</v>
      </c>
      <c r="AF329" s="100">
        <f t="shared" si="143"/>
        <v>0</v>
      </c>
      <c r="AG329" s="351" t="str">
        <f t="shared" si="144"/>
        <v/>
      </c>
      <c r="AH329" s="272" t="str">
        <f t="shared" si="134"/>
        <v/>
      </c>
      <c r="AI329" s="358" t="str">
        <f t="shared" si="135"/>
        <v/>
      </c>
      <c r="AJ329" s="272" t="str">
        <f t="shared" si="136"/>
        <v/>
      </c>
      <c r="AK329" s="361" t="str">
        <f t="shared" si="137"/>
        <v/>
      </c>
      <c r="AL329" s="11"/>
      <c r="AM329" s="11"/>
      <c r="AN329" s="11"/>
    </row>
    <row r="330" spans="1:40" ht="14.25">
      <c r="A330" s="787"/>
      <c r="B330" s="31" t="s">
        <v>192</v>
      </c>
      <c r="C330" s="184" t="s">
        <v>121</v>
      </c>
      <c r="D330" s="413" t="s">
        <v>24</v>
      </c>
      <c r="E330" s="49">
        <v>0.59722222222222221</v>
      </c>
      <c r="F330" s="49">
        <v>0.80555555555555547</v>
      </c>
      <c r="G330" s="93">
        <f t="shared" si="128"/>
        <v>0.20833333333333326</v>
      </c>
      <c r="H330" s="555">
        <f t="shared" si="138"/>
        <v>3.4722222222222099E-2</v>
      </c>
      <c r="I330" s="556">
        <f t="shared" si="129"/>
        <v>1</v>
      </c>
      <c r="J330" s="94">
        <f t="shared" si="130"/>
        <v>0</v>
      </c>
      <c r="K330" s="32">
        <f t="shared" si="131"/>
        <v>0</v>
      </c>
      <c r="L330" s="95" t="str">
        <f t="shared" si="132"/>
        <v/>
      </c>
      <c r="M330" s="96">
        <f t="shared" si="133"/>
        <v>0</v>
      </c>
      <c r="N330" s="97">
        <f>IF(M330=0,0,IF(SUM($M$5:M330)&gt;251,1,0))</f>
        <v>0</v>
      </c>
      <c r="O330" s="162">
        <v>40</v>
      </c>
      <c r="P330" s="163">
        <v>1</v>
      </c>
      <c r="Q330" s="98"/>
      <c r="R330" s="415" t="s">
        <v>543</v>
      </c>
      <c r="S330" s="99" t="str">
        <f t="shared" si="145"/>
        <v>放課後児童支援員</v>
      </c>
      <c r="T330" s="100" t="str">
        <f t="shared" si="139"/>
        <v>対象</v>
      </c>
      <c r="U330" s="418" t="s">
        <v>539</v>
      </c>
      <c r="V330" s="99" t="str">
        <f t="shared" si="146"/>
        <v>放課後児童支援員</v>
      </c>
      <c r="W330" s="100" t="str">
        <f t="shared" si="140"/>
        <v>対象</v>
      </c>
      <c r="X330" s="418" t="s">
        <v>546</v>
      </c>
      <c r="Y330" s="99" t="str">
        <f t="shared" si="147"/>
        <v>放課後児童支援員</v>
      </c>
      <c r="Z330" s="100" t="str">
        <f t="shared" si="141"/>
        <v>対象</v>
      </c>
      <c r="AA330" s="418"/>
      <c r="AB330" s="99">
        <f t="shared" si="148"/>
        <v>0</v>
      </c>
      <c r="AC330" s="100">
        <f t="shared" si="142"/>
        <v>0</v>
      </c>
      <c r="AD330" s="418"/>
      <c r="AE330" s="99">
        <f t="shared" si="149"/>
        <v>0</v>
      </c>
      <c r="AF330" s="100">
        <f t="shared" si="143"/>
        <v>0</v>
      </c>
      <c r="AG330" s="351" t="str">
        <f t="shared" si="144"/>
        <v/>
      </c>
      <c r="AH330" s="272" t="str">
        <f t="shared" si="134"/>
        <v/>
      </c>
      <c r="AI330" s="358" t="str">
        <f t="shared" si="135"/>
        <v/>
      </c>
      <c r="AJ330" s="272" t="str">
        <f t="shared" si="136"/>
        <v/>
      </c>
      <c r="AK330" s="361" t="str">
        <f t="shared" si="137"/>
        <v/>
      </c>
      <c r="AL330" s="11"/>
      <c r="AM330" s="11"/>
      <c r="AN330" s="11"/>
    </row>
    <row r="331" spans="1:40" ht="14.25">
      <c r="A331" s="787"/>
      <c r="B331" s="31" t="s">
        <v>193</v>
      </c>
      <c r="C331" s="184" t="s">
        <v>122</v>
      </c>
      <c r="D331" s="413" t="s">
        <v>171</v>
      </c>
      <c r="E331" s="49">
        <v>0.33333333333333331</v>
      </c>
      <c r="F331" s="49">
        <v>0.6875</v>
      </c>
      <c r="G331" s="93">
        <f t="shared" si="128"/>
        <v>0.35416666666666669</v>
      </c>
      <c r="H331" s="555" t="str">
        <f t="shared" si="138"/>
        <v>0:00</v>
      </c>
      <c r="I331" s="556">
        <f t="shared" si="129"/>
        <v>0</v>
      </c>
      <c r="J331" s="94">
        <f t="shared" si="130"/>
        <v>2.083333333333337E-2</v>
      </c>
      <c r="K331" s="32">
        <f t="shared" si="131"/>
        <v>1</v>
      </c>
      <c r="L331" s="95" t="str">
        <f t="shared" si="132"/>
        <v/>
      </c>
      <c r="M331" s="96">
        <f t="shared" si="133"/>
        <v>1</v>
      </c>
      <c r="N331" s="97">
        <f>IF(M331=0,0,IF(SUM($M$5:M331)&gt;251,1,0))</f>
        <v>0</v>
      </c>
      <c r="O331" s="162">
        <v>5</v>
      </c>
      <c r="P331" s="163">
        <v>0</v>
      </c>
      <c r="Q331" s="98"/>
      <c r="R331" s="415" t="s">
        <v>543</v>
      </c>
      <c r="S331" s="99" t="str">
        <f t="shared" si="145"/>
        <v>放課後児童支援員</v>
      </c>
      <c r="T331" s="100" t="str">
        <f t="shared" si="139"/>
        <v>対象</v>
      </c>
      <c r="U331" s="418" t="s">
        <v>539</v>
      </c>
      <c r="V331" s="99" t="str">
        <f t="shared" si="146"/>
        <v>放課後児童支援員</v>
      </c>
      <c r="W331" s="100" t="str">
        <f t="shared" si="140"/>
        <v>対象</v>
      </c>
      <c r="X331" s="418" t="s">
        <v>546</v>
      </c>
      <c r="Y331" s="99" t="str">
        <f t="shared" si="147"/>
        <v>放課後児童支援員</v>
      </c>
      <c r="Z331" s="100" t="str">
        <f t="shared" si="141"/>
        <v>対象</v>
      </c>
      <c r="AA331" s="418"/>
      <c r="AB331" s="99">
        <f t="shared" si="148"/>
        <v>0</v>
      </c>
      <c r="AC331" s="100">
        <f t="shared" si="142"/>
        <v>0</v>
      </c>
      <c r="AD331" s="418"/>
      <c r="AE331" s="99">
        <f t="shared" si="149"/>
        <v>0</v>
      </c>
      <c r="AF331" s="100">
        <f t="shared" si="143"/>
        <v>0</v>
      </c>
      <c r="AG331" s="351" t="str">
        <f t="shared" si="144"/>
        <v/>
      </c>
      <c r="AH331" s="272" t="str">
        <f t="shared" si="134"/>
        <v/>
      </c>
      <c r="AI331" s="358" t="str">
        <f t="shared" si="135"/>
        <v/>
      </c>
      <c r="AJ331" s="272" t="str">
        <f t="shared" si="136"/>
        <v/>
      </c>
      <c r="AK331" s="361" t="str">
        <f t="shared" si="137"/>
        <v/>
      </c>
      <c r="AL331" s="11"/>
      <c r="AM331" s="11"/>
      <c r="AN331" s="11"/>
    </row>
    <row r="332" spans="1:40" ht="14.25">
      <c r="A332" s="787"/>
      <c r="B332" s="31" t="s">
        <v>194</v>
      </c>
      <c r="C332" s="184" t="s">
        <v>183</v>
      </c>
      <c r="D332" s="413" t="s">
        <v>173</v>
      </c>
      <c r="E332" s="49"/>
      <c r="F332" s="49"/>
      <c r="G332" s="93">
        <f t="shared" si="128"/>
        <v>0</v>
      </c>
      <c r="H332" s="555" t="str">
        <f t="shared" si="138"/>
        <v>0:00</v>
      </c>
      <c r="I332" s="556">
        <f t="shared" si="129"/>
        <v>0</v>
      </c>
      <c r="J332" s="94">
        <f t="shared" si="130"/>
        <v>0</v>
      </c>
      <c r="K332" s="32">
        <f t="shared" si="131"/>
        <v>0</v>
      </c>
      <c r="L332" s="95" t="str">
        <f t="shared" si="132"/>
        <v/>
      </c>
      <c r="M332" s="96">
        <f t="shared" si="133"/>
        <v>0</v>
      </c>
      <c r="N332" s="97">
        <f>IF(M332=0,0,IF(SUM($M$5:M332)&gt;251,1,0))</f>
        <v>0</v>
      </c>
      <c r="O332" s="162"/>
      <c r="P332" s="163"/>
      <c r="Q332" s="98"/>
      <c r="R332" s="415"/>
      <c r="S332" s="99">
        <f t="shared" si="145"/>
        <v>0</v>
      </c>
      <c r="T332" s="100">
        <f t="shared" si="139"/>
        <v>0</v>
      </c>
      <c r="U332" s="418"/>
      <c r="V332" s="99">
        <f t="shared" si="146"/>
        <v>0</v>
      </c>
      <c r="W332" s="100">
        <f t="shared" si="140"/>
        <v>0</v>
      </c>
      <c r="X332" s="418"/>
      <c r="Y332" s="99">
        <f t="shared" si="147"/>
        <v>0</v>
      </c>
      <c r="Z332" s="100">
        <f t="shared" si="141"/>
        <v>0</v>
      </c>
      <c r="AA332" s="418"/>
      <c r="AB332" s="99">
        <f t="shared" si="148"/>
        <v>0</v>
      </c>
      <c r="AC332" s="100">
        <f t="shared" si="142"/>
        <v>0</v>
      </c>
      <c r="AD332" s="418"/>
      <c r="AE332" s="99">
        <f t="shared" si="149"/>
        <v>0</v>
      </c>
      <c r="AF332" s="100">
        <f t="shared" si="143"/>
        <v>0</v>
      </c>
      <c r="AG332" s="351" t="str">
        <f t="shared" si="144"/>
        <v/>
      </c>
      <c r="AH332" s="272" t="str">
        <f t="shared" si="134"/>
        <v/>
      </c>
      <c r="AI332" s="358" t="str">
        <f t="shared" si="135"/>
        <v/>
      </c>
      <c r="AJ332" s="272" t="str">
        <f t="shared" si="136"/>
        <v/>
      </c>
      <c r="AK332" s="361" t="str">
        <f t="shared" si="137"/>
        <v/>
      </c>
      <c r="AL332" s="11"/>
      <c r="AM332" s="11"/>
      <c r="AN332" s="11"/>
    </row>
    <row r="333" spans="1:40" ht="14.25">
      <c r="A333" s="787"/>
      <c r="B333" s="31" t="s">
        <v>195</v>
      </c>
      <c r="C333" s="184" t="s">
        <v>118</v>
      </c>
      <c r="D333" s="413" t="s">
        <v>24</v>
      </c>
      <c r="E333" s="49">
        <v>0.59722222222222221</v>
      </c>
      <c r="F333" s="49">
        <v>0.7715277777777777</v>
      </c>
      <c r="G333" s="93">
        <f t="shared" si="128"/>
        <v>0.17430555555555549</v>
      </c>
      <c r="H333" s="555">
        <f t="shared" si="138"/>
        <v>6.9444444444433095E-4</v>
      </c>
      <c r="I333" s="556">
        <f t="shared" si="129"/>
        <v>1</v>
      </c>
      <c r="J333" s="94">
        <f t="shared" si="130"/>
        <v>0</v>
      </c>
      <c r="K333" s="32">
        <f t="shared" si="131"/>
        <v>0</v>
      </c>
      <c r="L333" s="95" t="str">
        <f t="shared" si="132"/>
        <v/>
      </c>
      <c r="M333" s="96">
        <f t="shared" si="133"/>
        <v>0</v>
      </c>
      <c r="N333" s="97">
        <f>IF(M333=0,0,IF(SUM($M$5:M333)&gt;251,1,0))</f>
        <v>0</v>
      </c>
      <c r="O333" s="162">
        <v>40</v>
      </c>
      <c r="P333" s="163">
        <v>1</v>
      </c>
      <c r="Q333" s="98"/>
      <c r="R333" s="415" t="s">
        <v>543</v>
      </c>
      <c r="S333" s="99" t="str">
        <f t="shared" si="145"/>
        <v>放課後児童支援員</v>
      </c>
      <c r="T333" s="100" t="str">
        <f t="shared" si="139"/>
        <v>対象</v>
      </c>
      <c r="U333" s="418" t="s">
        <v>539</v>
      </c>
      <c r="V333" s="99" t="str">
        <f t="shared" si="146"/>
        <v>放課後児童支援員</v>
      </c>
      <c r="W333" s="100" t="str">
        <f t="shared" si="140"/>
        <v>対象</v>
      </c>
      <c r="X333" s="418"/>
      <c r="Y333" s="99">
        <f t="shared" si="147"/>
        <v>0</v>
      </c>
      <c r="Z333" s="100">
        <f t="shared" si="141"/>
        <v>0</v>
      </c>
      <c r="AA333" s="418"/>
      <c r="AB333" s="99">
        <f t="shared" si="148"/>
        <v>0</v>
      </c>
      <c r="AC333" s="100">
        <f t="shared" si="142"/>
        <v>0</v>
      </c>
      <c r="AD333" s="418"/>
      <c r="AE333" s="99">
        <f t="shared" si="149"/>
        <v>0</v>
      </c>
      <c r="AF333" s="100">
        <f t="shared" si="143"/>
        <v>0</v>
      </c>
      <c r="AG333" s="351" t="str">
        <f t="shared" si="144"/>
        <v/>
      </c>
      <c r="AH333" s="272" t="str">
        <f t="shared" si="134"/>
        <v/>
      </c>
      <c r="AI333" s="358" t="str">
        <f t="shared" si="135"/>
        <v/>
      </c>
      <c r="AJ333" s="272" t="str">
        <f t="shared" si="136"/>
        <v/>
      </c>
      <c r="AK333" s="361" t="str">
        <f t="shared" si="137"/>
        <v/>
      </c>
      <c r="AL333" s="11"/>
      <c r="AM333" s="11"/>
      <c r="AN333" s="11"/>
    </row>
    <row r="334" spans="1:40" ht="14.25">
      <c r="A334" s="787"/>
      <c r="B334" s="31" t="s">
        <v>196</v>
      </c>
      <c r="C334" s="184" t="s">
        <v>123</v>
      </c>
      <c r="D334" s="413" t="s">
        <v>24</v>
      </c>
      <c r="E334" s="49">
        <v>0.59722222222222221</v>
      </c>
      <c r="F334" s="49">
        <v>0.79166666666666663</v>
      </c>
      <c r="G334" s="93">
        <f t="shared" si="128"/>
        <v>0.19444444444444442</v>
      </c>
      <c r="H334" s="555">
        <f t="shared" si="138"/>
        <v>2.0833333333333259E-2</v>
      </c>
      <c r="I334" s="556">
        <f t="shared" si="129"/>
        <v>1</v>
      </c>
      <c r="J334" s="94">
        <f t="shared" si="130"/>
        <v>0</v>
      </c>
      <c r="K334" s="32">
        <f t="shared" si="131"/>
        <v>0</v>
      </c>
      <c r="L334" s="95" t="str">
        <f t="shared" si="132"/>
        <v/>
      </c>
      <c r="M334" s="96">
        <f t="shared" si="133"/>
        <v>0</v>
      </c>
      <c r="N334" s="97">
        <f>IF(M334=0,0,IF(SUM($M$5:M334)&gt;251,1,0))</f>
        <v>0</v>
      </c>
      <c r="O334" s="162">
        <v>40</v>
      </c>
      <c r="P334" s="163">
        <v>1</v>
      </c>
      <c r="Q334" s="98"/>
      <c r="R334" s="415" t="s">
        <v>543</v>
      </c>
      <c r="S334" s="99" t="str">
        <f t="shared" si="145"/>
        <v>放課後児童支援員</v>
      </c>
      <c r="T334" s="100" t="str">
        <f t="shared" si="139"/>
        <v>対象</v>
      </c>
      <c r="U334" s="418" t="s">
        <v>539</v>
      </c>
      <c r="V334" s="99" t="str">
        <f t="shared" si="146"/>
        <v>放課後児童支援員</v>
      </c>
      <c r="W334" s="100" t="str">
        <f t="shared" si="140"/>
        <v>対象</v>
      </c>
      <c r="X334" s="418"/>
      <c r="Y334" s="99">
        <f t="shared" si="147"/>
        <v>0</v>
      </c>
      <c r="Z334" s="100">
        <f t="shared" si="141"/>
        <v>0</v>
      </c>
      <c r="AA334" s="418"/>
      <c r="AB334" s="99">
        <f t="shared" si="148"/>
        <v>0</v>
      </c>
      <c r="AC334" s="100">
        <f t="shared" si="142"/>
        <v>0</v>
      </c>
      <c r="AD334" s="418"/>
      <c r="AE334" s="99">
        <f t="shared" si="149"/>
        <v>0</v>
      </c>
      <c r="AF334" s="100">
        <f t="shared" si="143"/>
        <v>0</v>
      </c>
      <c r="AG334" s="351" t="str">
        <f t="shared" si="144"/>
        <v/>
      </c>
      <c r="AH334" s="272" t="str">
        <f t="shared" si="134"/>
        <v/>
      </c>
      <c r="AI334" s="358" t="str">
        <f t="shared" si="135"/>
        <v/>
      </c>
      <c r="AJ334" s="272" t="str">
        <f t="shared" si="136"/>
        <v/>
      </c>
      <c r="AK334" s="361" t="str">
        <f t="shared" si="137"/>
        <v/>
      </c>
      <c r="AL334" s="11"/>
      <c r="AM334" s="11"/>
      <c r="AN334" s="11"/>
    </row>
    <row r="335" spans="1:40" ht="14.25">
      <c r="A335" s="787"/>
      <c r="B335" s="31" t="s">
        <v>197</v>
      </c>
      <c r="C335" s="184" t="s">
        <v>119</v>
      </c>
      <c r="D335" s="413" t="s">
        <v>24</v>
      </c>
      <c r="E335" s="49">
        <v>0.59722222222222221</v>
      </c>
      <c r="F335" s="49">
        <v>0.79166666666666663</v>
      </c>
      <c r="G335" s="93">
        <f t="shared" si="128"/>
        <v>0.19444444444444442</v>
      </c>
      <c r="H335" s="555">
        <f t="shared" si="138"/>
        <v>2.0833333333333259E-2</v>
      </c>
      <c r="I335" s="556">
        <f t="shared" si="129"/>
        <v>1</v>
      </c>
      <c r="J335" s="94">
        <f t="shared" si="130"/>
        <v>0</v>
      </c>
      <c r="K335" s="32">
        <f t="shared" si="131"/>
        <v>0</v>
      </c>
      <c r="L335" s="95" t="str">
        <f t="shared" si="132"/>
        <v/>
      </c>
      <c r="M335" s="96">
        <f t="shared" si="133"/>
        <v>0</v>
      </c>
      <c r="N335" s="97">
        <f>IF(M335=0,0,IF(SUM($M$5:M335)&gt;251,1,0))</f>
        <v>0</v>
      </c>
      <c r="O335" s="162">
        <v>40</v>
      </c>
      <c r="P335" s="163">
        <v>1</v>
      </c>
      <c r="Q335" s="98"/>
      <c r="R335" s="415" t="s">
        <v>543</v>
      </c>
      <c r="S335" s="99" t="str">
        <f t="shared" si="145"/>
        <v>放課後児童支援員</v>
      </c>
      <c r="T335" s="100" t="str">
        <f t="shared" si="139"/>
        <v>対象</v>
      </c>
      <c r="U335" s="418" t="s">
        <v>539</v>
      </c>
      <c r="V335" s="99" t="str">
        <f t="shared" si="146"/>
        <v>放課後児童支援員</v>
      </c>
      <c r="W335" s="100" t="str">
        <f t="shared" si="140"/>
        <v>対象</v>
      </c>
      <c r="X335" s="418" t="s">
        <v>546</v>
      </c>
      <c r="Y335" s="99" t="str">
        <f t="shared" si="147"/>
        <v>放課後児童支援員</v>
      </c>
      <c r="Z335" s="100" t="str">
        <f t="shared" si="141"/>
        <v>対象</v>
      </c>
      <c r="AA335" s="418"/>
      <c r="AB335" s="99">
        <f t="shared" si="148"/>
        <v>0</v>
      </c>
      <c r="AC335" s="100">
        <f t="shared" si="142"/>
        <v>0</v>
      </c>
      <c r="AD335" s="418"/>
      <c r="AE335" s="99">
        <f t="shared" si="149"/>
        <v>0</v>
      </c>
      <c r="AF335" s="100">
        <f t="shared" si="143"/>
        <v>0</v>
      </c>
      <c r="AG335" s="351" t="str">
        <f t="shared" si="144"/>
        <v/>
      </c>
      <c r="AH335" s="272" t="str">
        <f t="shared" si="134"/>
        <v/>
      </c>
      <c r="AI335" s="358" t="str">
        <f t="shared" si="135"/>
        <v/>
      </c>
      <c r="AJ335" s="272" t="str">
        <f t="shared" si="136"/>
        <v/>
      </c>
      <c r="AK335" s="361" t="str">
        <f t="shared" si="137"/>
        <v/>
      </c>
      <c r="AL335" s="11"/>
      <c r="AM335" s="11"/>
      <c r="AN335" s="11"/>
    </row>
    <row r="336" spans="1:40" ht="14.25">
      <c r="A336" s="787"/>
      <c r="B336" s="31" t="s">
        <v>198</v>
      </c>
      <c r="C336" s="184" t="s">
        <v>120</v>
      </c>
      <c r="D336" s="413" t="s">
        <v>24</v>
      </c>
      <c r="E336" s="49">
        <v>0.54861111111111105</v>
      </c>
      <c r="F336" s="49">
        <v>0.79166666666666663</v>
      </c>
      <c r="G336" s="93">
        <f t="shared" si="128"/>
        <v>0.24305555555555558</v>
      </c>
      <c r="H336" s="555">
        <f t="shared" si="138"/>
        <v>2.0833333333333259E-2</v>
      </c>
      <c r="I336" s="556">
        <f t="shared" si="129"/>
        <v>1</v>
      </c>
      <c r="J336" s="94">
        <f t="shared" si="130"/>
        <v>0</v>
      </c>
      <c r="K336" s="32">
        <f t="shared" si="131"/>
        <v>0</v>
      </c>
      <c r="L336" s="95" t="str">
        <f t="shared" si="132"/>
        <v/>
      </c>
      <c r="M336" s="96">
        <f t="shared" si="133"/>
        <v>0</v>
      </c>
      <c r="N336" s="97">
        <f>IF(M336=0,0,IF(SUM($M$5:M336)&gt;251,1,0))</f>
        <v>0</v>
      </c>
      <c r="O336" s="162">
        <v>40</v>
      </c>
      <c r="P336" s="163">
        <v>1</v>
      </c>
      <c r="Q336" s="98"/>
      <c r="R336" s="415" t="s">
        <v>543</v>
      </c>
      <c r="S336" s="99" t="str">
        <f t="shared" si="145"/>
        <v>放課後児童支援員</v>
      </c>
      <c r="T336" s="100" t="str">
        <f t="shared" si="139"/>
        <v>対象</v>
      </c>
      <c r="U336" s="418" t="s">
        <v>539</v>
      </c>
      <c r="V336" s="99" t="str">
        <f t="shared" si="146"/>
        <v>放課後児童支援員</v>
      </c>
      <c r="W336" s="100" t="str">
        <f t="shared" si="140"/>
        <v>対象</v>
      </c>
      <c r="X336" s="418" t="s">
        <v>546</v>
      </c>
      <c r="Y336" s="99" t="str">
        <f t="shared" si="147"/>
        <v>放課後児童支援員</v>
      </c>
      <c r="Z336" s="100" t="str">
        <f t="shared" si="141"/>
        <v>対象</v>
      </c>
      <c r="AA336" s="418"/>
      <c r="AB336" s="99">
        <f t="shared" si="148"/>
        <v>0</v>
      </c>
      <c r="AC336" s="100">
        <f t="shared" si="142"/>
        <v>0</v>
      </c>
      <c r="AD336" s="418"/>
      <c r="AE336" s="99">
        <f t="shared" si="149"/>
        <v>0</v>
      </c>
      <c r="AF336" s="100">
        <f t="shared" si="143"/>
        <v>0</v>
      </c>
      <c r="AG336" s="351" t="str">
        <f t="shared" si="144"/>
        <v/>
      </c>
      <c r="AH336" s="272" t="str">
        <f t="shared" si="134"/>
        <v/>
      </c>
      <c r="AI336" s="358" t="str">
        <f t="shared" si="135"/>
        <v/>
      </c>
      <c r="AJ336" s="272" t="str">
        <f t="shared" si="136"/>
        <v/>
      </c>
      <c r="AK336" s="361" t="str">
        <f t="shared" si="137"/>
        <v/>
      </c>
      <c r="AL336" s="11"/>
      <c r="AM336" s="11"/>
      <c r="AN336" s="11"/>
    </row>
    <row r="337" spans="1:40" ht="14.25">
      <c r="A337" s="787"/>
      <c r="B337" s="31" t="s">
        <v>199</v>
      </c>
      <c r="C337" s="184" t="s">
        <v>121</v>
      </c>
      <c r="D337" s="413" t="s">
        <v>24</v>
      </c>
      <c r="E337" s="49">
        <v>0.59722222222222221</v>
      </c>
      <c r="F337" s="49">
        <v>0.80555555555555547</v>
      </c>
      <c r="G337" s="93">
        <f t="shared" ref="G337" si="150">F337-E337</f>
        <v>0.20833333333333326</v>
      </c>
      <c r="H337" s="555">
        <f t="shared" si="138"/>
        <v>3.4722222222222099E-2</v>
      </c>
      <c r="I337" s="556">
        <f t="shared" si="129"/>
        <v>1</v>
      </c>
      <c r="J337" s="94">
        <f t="shared" ref="J337" si="151">IF(D337="土・日・祝・長期休暇",MAX(G337-TIME(8,0,0),0),0)</f>
        <v>0</v>
      </c>
      <c r="K337" s="32">
        <f t="shared" si="131"/>
        <v>0</v>
      </c>
      <c r="L337" s="95" t="str">
        <f t="shared" ref="L337" si="152">IF(D337="休所",IF(E337&lt;&gt;"","入力にエラーがあります",""),"")</f>
        <v/>
      </c>
      <c r="M337" s="96">
        <f t="shared" ref="M337" si="153">IF(OR(D337="休所",D337="",D337="平日：開所とみなす閉所"),0,IF(OR(G337-TIME(7,59,59)&gt;0,D337="土日祝長期：開所とみなす閉所"),1,0))</f>
        <v>0</v>
      </c>
      <c r="N337" s="97">
        <f>IF(M337=0,0,IF(SUM($M$5:M337)&gt;251,1,0))</f>
        <v>0</v>
      </c>
      <c r="O337" s="162">
        <v>40</v>
      </c>
      <c r="P337" s="163">
        <v>1</v>
      </c>
      <c r="Q337" s="98"/>
      <c r="R337" s="415" t="s">
        <v>543</v>
      </c>
      <c r="S337" s="99" t="str">
        <f t="shared" si="145"/>
        <v>放課後児童支援員</v>
      </c>
      <c r="T337" s="100" t="str">
        <f t="shared" si="139"/>
        <v>対象</v>
      </c>
      <c r="U337" s="418" t="s">
        <v>539</v>
      </c>
      <c r="V337" s="99" t="str">
        <f t="shared" si="146"/>
        <v>放課後児童支援員</v>
      </c>
      <c r="W337" s="100" t="str">
        <f t="shared" si="140"/>
        <v>対象</v>
      </c>
      <c r="X337" s="418" t="s">
        <v>546</v>
      </c>
      <c r="Y337" s="99" t="str">
        <f t="shared" si="147"/>
        <v>放課後児童支援員</v>
      </c>
      <c r="Z337" s="100" t="str">
        <f t="shared" si="141"/>
        <v>対象</v>
      </c>
      <c r="AA337" s="418"/>
      <c r="AB337" s="99">
        <f t="shared" si="148"/>
        <v>0</v>
      </c>
      <c r="AC337" s="100">
        <f t="shared" si="142"/>
        <v>0</v>
      </c>
      <c r="AD337" s="418"/>
      <c r="AE337" s="99">
        <f t="shared" si="149"/>
        <v>0</v>
      </c>
      <c r="AF337" s="100">
        <f t="shared" si="143"/>
        <v>0</v>
      </c>
      <c r="AG337" s="351" t="str">
        <f t="shared" si="144"/>
        <v/>
      </c>
      <c r="AH337" s="272" t="str">
        <f t="shared" si="134"/>
        <v/>
      </c>
      <c r="AI337" s="358" t="str">
        <f t="shared" si="135"/>
        <v/>
      </c>
      <c r="AJ337" s="272" t="str">
        <f t="shared" si="136"/>
        <v/>
      </c>
      <c r="AK337" s="361" t="str">
        <f t="shared" si="137"/>
        <v/>
      </c>
      <c r="AL337" s="11"/>
      <c r="AM337" s="11"/>
      <c r="AN337" s="11"/>
    </row>
    <row r="338" spans="1:40" ht="15" thickBot="1">
      <c r="A338" s="788"/>
      <c r="B338" s="33" t="s">
        <v>200</v>
      </c>
      <c r="C338" s="533" t="s">
        <v>122</v>
      </c>
      <c r="D338" s="534" t="s">
        <v>171</v>
      </c>
      <c r="E338" s="535">
        <v>0.33333333333333331</v>
      </c>
      <c r="F338" s="535">
        <v>0.6875</v>
      </c>
      <c r="G338" s="536">
        <f t="shared" si="128"/>
        <v>0.35416666666666669</v>
      </c>
      <c r="H338" s="555" t="str">
        <f t="shared" si="138"/>
        <v>0:00</v>
      </c>
      <c r="I338" s="557">
        <f t="shared" si="129"/>
        <v>0</v>
      </c>
      <c r="J338" s="102">
        <f t="shared" ref="J338:J369" si="154">IF(D338="土・日・祝・長期休暇",MAX(G338-TIME(8,0,0),0),0)</f>
        <v>2.083333333333337E-2</v>
      </c>
      <c r="K338" s="34">
        <f t="shared" si="131"/>
        <v>1</v>
      </c>
      <c r="L338" s="103" t="str">
        <f t="shared" ref="L338:L369" si="155">IF(D338="休所",IF(E338&lt;&gt;"","入力にエラーがあります",""),"")</f>
        <v/>
      </c>
      <c r="M338" s="104">
        <f t="shared" ref="M338:M369" si="156">IF(OR(D338="休所",D338="",D338="平日：開所とみなす閉所"),0,IF(OR(G338-TIME(7,59,59)&gt;0,D338="土日祝長期：開所とみなす閉所"),1,0))</f>
        <v>1</v>
      </c>
      <c r="N338" s="105">
        <f>IF(M338=0,0,IF(SUM($M$5:M338)&gt;251,1,0))</f>
        <v>0</v>
      </c>
      <c r="O338" s="542">
        <v>5</v>
      </c>
      <c r="P338" s="543">
        <v>0</v>
      </c>
      <c r="Q338" s="544">
        <f>SUM(O311:O338)</f>
        <v>815</v>
      </c>
      <c r="R338" s="524" t="s">
        <v>543</v>
      </c>
      <c r="S338" s="521" t="str">
        <f t="shared" si="145"/>
        <v>放課後児童支援員</v>
      </c>
      <c r="T338" s="522" t="str">
        <f t="shared" si="139"/>
        <v>対象</v>
      </c>
      <c r="U338" s="525" t="s">
        <v>539</v>
      </c>
      <c r="V338" s="521" t="str">
        <f t="shared" si="146"/>
        <v>放課後児童支援員</v>
      </c>
      <c r="W338" s="522" t="str">
        <f t="shared" si="140"/>
        <v>対象</v>
      </c>
      <c r="X338" s="525" t="s">
        <v>546</v>
      </c>
      <c r="Y338" s="521" t="str">
        <f t="shared" si="147"/>
        <v>放課後児童支援員</v>
      </c>
      <c r="Z338" s="522" t="str">
        <f t="shared" si="141"/>
        <v>対象</v>
      </c>
      <c r="AA338" s="525"/>
      <c r="AB338" s="521">
        <f t="shared" si="148"/>
        <v>0</v>
      </c>
      <c r="AC338" s="522">
        <f t="shared" si="142"/>
        <v>0</v>
      </c>
      <c r="AD338" s="525"/>
      <c r="AE338" s="521">
        <f t="shared" si="149"/>
        <v>0</v>
      </c>
      <c r="AF338" s="522">
        <f t="shared" si="143"/>
        <v>0</v>
      </c>
      <c r="AG338" s="182" t="str">
        <f t="shared" si="144"/>
        <v/>
      </c>
      <c r="AH338" s="273" t="str">
        <f t="shared" si="134"/>
        <v/>
      </c>
      <c r="AI338" s="464" t="str">
        <f t="shared" si="135"/>
        <v/>
      </c>
      <c r="AJ338" s="273" t="str">
        <f t="shared" si="136"/>
        <v/>
      </c>
      <c r="AK338" s="362" t="str">
        <f t="shared" si="137"/>
        <v/>
      </c>
      <c r="AL338" s="11"/>
      <c r="AM338" s="11"/>
      <c r="AN338" s="11"/>
    </row>
    <row r="339" spans="1:40" ht="14.25">
      <c r="A339" s="786" t="s">
        <v>212</v>
      </c>
      <c r="B339" s="27" t="s">
        <v>170</v>
      </c>
      <c r="C339" s="28" t="s">
        <v>183</v>
      </c>
      <c r="D339" s="412" t="s">
        <v>173</v>
      </c>
      <c r="E339" s="48"/>
      <c r="F339" s="48"/>
      <c r="G339" s="537">
        <f t="shared" si="128"/>
        <v>0</v>
      </c>
      <c r="H339" s="555" t="str">
        <f t="shared" si="138"/>
        <v>0:00</v>
      </c>
      <c r="I339" s="558">
        <f t="shared" si="129"/>
        <v>0</v>
      </c>
      <c r="J339" s="86">
        <f t="shared" si="154"/>
        <v>0</v>
      </c>
      <c r="K339" s="29">
        <f t="shared" si="131"/>
        <v>0</v>
      </c>
      <c r="L339" s="87" t="str">
        <f t="shared" si="155"/>
        <v/>
      </c>
      <c r="M339" s="88">
        <f t="shared" si="156"/>
        <v>0</v>
      </c>
      <c r="N339" s="89">
        <f>IF(M339=0,0,IF(SUM($M$5:M339)&gt;251,1,0))</f>
        <v>0</v>
      </c>
      <c r="O339" s="160"/>
      <c r="P339" s="161"/>
      <c r="Q339" s="90"/>
      <c r="R339" s="414"/>
      <c r="S339" s="91">
        <f t="shared" si="145"/>
        <v>0</v>
      </c>
      <c r="T339" s="92">
        <f t="shared" si="139"/>
        <v>0</v>
      </c>
      <c r="U339" s="417"/>
      <c r="V339" s="91">
        <f t="shared" si="146"/>
        <v>0</v>
      </c>
      <c r="W339" s="92">
        <f t="shared" si="140"/>
        <v>0</v>
      </c>
      <c r="X339" s="417"/>
      <c r="Y339" s="91">
        <f t="shared" si="147"/>
        <v>0</v>
      </c>
      <c r="Z339" s="92">
        <f t="shared" si="141"/>
        <v>0</v>
      </c>
      <c r="AA339" s="417"/>
      <c r="AB339" s="91">
        <f t="shared" si="148"/>
        <v>0</v>
      </c>
      <c r="AC339" s="92">
        <f t="shared" si="142"/>
        <v>0</v>
      </c>
      <c r="AD339" s="417"/>
      <c r="AE339" s="91">
        <f t="shared" si="149"/>
        <v>0</v>
      </c>
      <c r="AF339" s="545">
        <f t="shared" si="143"/>
        <v>0</v>
      </c>
      <c r="AG339" s="363" t="str">
        <f t="shared" si="144"/>
        <v/>
      </c>
      <c r="AH339" s="359" t="str">
        <f t="shared" si="134"/>
        <v/>
      </c>
      <c r="AI339" s="359" t="str">
        <f t="shared" si="135"/>
        <v/>
      </c>
      <c r="AJ339" s="359" t="str">
        <f t="shared" si="136"/>
        <v/>
      </c>
      <c r="AK339" s="360" t="str">
        <f t="shared" si="137"/>
        <v/>
      </c>
      <c r="AL339" s="11"/>
      <c r="AM339" s="11"/>
      <c r="AN339" s="11"/>
    </row>
    <row r="340" spans="1:40" ht="14.25">
      <c r="A340" s="787"/>
      <c r="B340" s="31" t="s">
        <v>172</v>
      </c>
      <c r="C340" s="184" t="s">
        <v>118</v>
      </c>
      <c r="D340" s="413" t="s">
        <v>24</v>
      </c>
      <c r="E340" s="49">
        <v>0.59722222222222221</v>
      </c>
      <c r="F340" s="49">
        <v>0.7715277777777777</v>
      </c>
      <c r="G340" s="538">
        <f t="shared" si="128"/>
        <v>0.17430555555555549</v>
      </c>
      <c r="H340" s="555">
        <f t="shared" si="138"/>
        <v>6.9444444444433095E-4</v>
      </c>
      <c r="I340" s="556">
        <f t="shared" si="129"/>
        <v>1</v>
      </c>
      <c r="J340" s="94">
        <f t="shared" si="154"/>
        <v>0</v>
      </c>
      <c r="K340" s="32">
        <f t="shared" si="131"/>
        <v>0</v>
      </c>
      <c r="L340" s="95" t="str">
        <f t="shared" si="155"/>
        <v/>
      </c>
      <c r="M340" s="96">
        <f t="shared" si="156"/>
        <v>0</v>
      </c>
      <c r="N340" s="97">
        <f>IF(M340=0,0,IF(SUM($M$5:M340)&gt;251,1,0))</f>
        <v>0</v>
      </c>
      <c r="O340" s="162">
        <v>40</v>
      </c>
      <c r="P340" s="163">
        <v>1</v>
      </c>
      <c r="Q340" s="98"/>
      <c r="R340" s="415" t="s">
        <v>543</v>
      </c>
      <c r="S340" s="99" t="str">
        <f t="shared" si="145"/>
        <v>放課後児童支援員</v>
      </c>
      <c r="T340" s="100" t="str">
        <f t="shared" si="139"/>
        <v>対象</v>
      </c>
      <c r="U340" s="418" t="s">
        <v>539</v>
      </c>
      <c r="V340" s="99" t="str">
        <f t="shared" si="146"/>
        <v>放課後児童支援員</v>
      </c>
      <c r="W340" s="100" t="str">
        <f t="shared" si="140"/>
        <v>対象</v>
      </c>
      <c r="X340" s="418"/>
      <c r="Y340" s="99">
        <f t="shared" si="147"/>
        <v>0</v>
      </c>
      <c r="Z340" s="100">
        <f t="shared" si="141"/>
        <v>0</v>
      </c>
      <c r="AA340" s="418"/>
      <c r="AB340" s="99">
        <f t="shared" si="148"/>
        <v>0</v>
      </c>
      <c r="AC340" s="100">
        <f t="shared" si="142"/>
        <v>0</v>
      </c>
      <c r="AD340" s="418"/>
      <c r="AE340" s="99">
        <f t="shared" si="149"/>
        <v>0</v>
      </c>
      <c r="AF340" s="546">
        <f t="shared" si="143"/>
        <v>0</v>
      </c>
      <c r="AG340" s="351" t="str">
        <f t="shared" si="144"/>
        <v/>
      </c>
      <c r="AH340" s="272" t="str">
        <f t="shared" si="134"/>
        <v/>
      </c>
      <c r="AI340" s="358" t="str">
        <f t="shared" si="135"/>
        <v/>
      </c>
      <c r="AJ340" s="272" t="str">
        <f t="shared" si="136"/>
        <v/>
      </c>
      <c r="AK340" s="361" t="str">
        <f t="shared" si="137"/>
        <v/>
      </c>
      <c r="AL340" s="11"/>
      <c r="AM340" s="11"/>
      <c r="AN340" s="11"/>
    </row>
    <row r="341" spans="1:40" ht="14.25">
      <c r="A341" s="787"/>
      <c r="B341" s="31" t="s">
        <v>174</v>
      </c>
      <c r="C341" s="184" t="s">
        <v>123</v>
      </c>
      <c r="D341" s="413" t="s">
        <v>24</v>
      </c>
      <c r="E341" s="49">
        <v>0.59722222222222221</v>
      </c>
      <c r="F341" s="49">
        <v>0.79166666666666663</v>
      </c>
      <c r="G341" s="538">
        <f t="shared" si="128"/>
        <v>0.19444444444444442</v>
      </c>
      <c r="H341" s="555">
        <f t="shared" si="138"/>
        <v>2.0833333333333259E-2</v>
      </c>
      <c r="I341" s="556">
        <f t="shared" si="129"/>
        <v>1</v>
      </c>
      <c r="J341" s="94">
        <f t="shared" si="154"/>
        <v>0</v>
      </c>
      <c r="K341" s="32">
        <f t="shared" si="131"/>
        <v>0</v>
      </c>
      <c r="L341" s="95" t="str">
        <f t="shared" si="155"/>
        <v/>
      </c>
      <c r="M341" s="96">
        <f t="shared" si="156"/>
        <v>0</v>
      </c>
      <c r="N341" s="97">
        <f>IF(M341=0,0,IF(SUM($M$5:M341)&gt;251,1,0))</f>
        <v>0</v>
      </c>
      <c r="O341" s="162">
        <v>40</v>
      </c>
      <c r="P341" s="163">
        <v>1</v>
      </c>
      <c r="Q341" s="98"/>
      <c r="R341" s="415" t="s">
        <v>543</v>
      </c>
      <c r="S341" s="99" t="str">
        <f t="shared" si="145"/>
        <v>放課後児童支援員</v>
      </c>
      <c r="T341" s="100" t="str">
        <f t="shared" si="139"/>
        <v>対象</v>
      </c>
      <c r="U341" s="418" t="s">
        <v>539</v>
      </c>
      <c r="V341" s="99" t="str">
        <f t="shared" si="146"/>
        <v>放課後児童支援員</v>
      </c>
      <c r="W341" s="100" t="str">
        <f t="shared" si="140"/>
        <v>対象</v>
      </c>
      <c r="X341" s="418" t="s">
        <v>546</v>
      </c>
      <c r="Y341" s="99" t="str">
        <f t="shared" si="147"/>
        <v>放課後児童支援員</v>
      </c>
      <c r="Z341" s="100" t="str">
        <f t="shared" si="141"/>
        <v>対象</v>
      </c>
      <c r="AA341" s="418"/>
      <c r="AB341" s="99">
        <f t="shared" si="148"/>
        <v>0</v>
      </c>
      <c r="AC341" s="100">
        <f t="shared" si="142"/>
        <v>0</v>
      </c>
      <c r="AD341" s="418"/>
      <c r="AE341" s="99">
        <f t="shared" si="149"/>
        <v>0</v>
      </c>
      <c r="AF341" s="546">
        <f t="shared" si="143"/>
        <v>0</v>
      </c>
      <c r="AG341" s="351" t="str">
        <f t="shared" si="144"/>
        <v/>
      </c>
      <c r="AH341" s="272" t="str">
        <f t="shared" si="134"/>
        <v/>
      </c>
      <c r="AI341" s="358" t="str">
        <f t="shared" si="135"/>
        <v/>
      </c>
      <c r="AJ341" s="272" t="str">
        <f t="shared" si="136"/>
        <v/>
      </c>
      <c r="AK341" s="361" t="str">
        <f t="shared" si="137"/>
        <v/>
      </c>
      <c r="AL341" s="11"/>
      <c r="AM341" s="11"/>
      <c r="AN341" s="11"/>
    </row>
    <row r="342" spans="1:40" ht="14.25">
      <c r="A342" s="787"/>
      <c r="B342" s="31" t="s">
        <v>175</v>
      </c>
      <c r="C342" s="184" t="s">
        <v>119</v>
      </c>
      <c r="D342" s="413" t="s">
        <v>24</v>
      </c>
      <c r="E342" s="49">
        <v>0.59722222222222221</v>
      </c>
      <c r="F342" s="49">
        <v>0.79166666666666663</v>
      </c>
      <c r="G342" s="538">
        <f t="shared" si="128"/>
        <v>0.19444444444444442</v>
      </c>
      <c r="H342" s="555">
        <f t="shared" si="138"/>
        <v>2.0833333333333259E-2</v>
      </c>
      <c r="I342" s="556">
        <f t="shared" si="129"/>
        <v>1</v>
      </c>
      <c r="J342" s="94">
        <f t="shared" si="154"/>
        <v>0</v>
      </c>
      <c r="K342" s="32">
        <f t="shared" si="131"/>
        <v>0</v>
      </c>
      <c r="L342" s="95" t="str">
        <f t="shared" si="155"/>
        <v/>
      </c>
      <c r="M342" s="96">
        <f t="shared" si="156"/>
        <v>0</v>
      </c>
      <c r="N342" s="97">
        <f>IF(M342=0,0,IF(SUM($M$5:M342)&gt;251,1,0))</f>
        <v>0</v>
      </c>
      <c r="O342" s="162">
        <v>40</v>
      </c>
      <c r="P342" s="163">
        <v>1</v>
      </c>
      <c r="Q342" s="98"/>
      <c r="R342" s="415" t="s">
        <v>543</v>
      </c>
      <c r="S342" s="99" t="str">
        <f t="shared" si="145"/>
        <v>放課後児童支援員</v>
      </c>
      <c r="T342" s="100" t="str">
        <f t="shared" si="139"/>
        <v>対象</v>
      </c>
      <c r="U342" s="418" t="s">
        <v>539</v>
      </c>
      <c r="V342" s="99" t="str">
        <f t="shared" si="146"/>
        <v>放課後児童支援員</v>
      </c>
      <c r="W342" s="100" t="str">
        <f t="shared" si="140"/>
        <v>対象</v>
      </c>
      <c r="X342" s="418" t="s">
        <v>546</v>
      </c>
      <c r="Y342" s="99" t="str">
        <f t="shared" si="147"/>
        <v>放課後児童支援員</v>
      </c>
      <c r="Z342" s="100" t="str">
        <f t="shared" si="141"/>
        <v>対象</v>
      </c>
      <c r="AA342" s="418"/>
      <c r="AB342" s="99">
        <f t="shared" si="148"/>
        <v>0</v>
      </c>
      <c r="AC342" s="100">
        <f t="shared" si="142"/>
        <v>0</v>
      </c>
      <c r="AD342" s="418"/>
      <c r="AE342" s="99">
        <f t="shared" si="149"/>
        <v>0</v>
      </c>
      <c r="AF342" s="546">
        <f t="shared" si="143"/>
        <v>0</v>
      </c>
      <c r="AG342" s="351" t="str">
        <f t="shared" si="144"/>
        <v/>
      </c>
      <c r="AH342" s="272" t="str">
        <f t="shared" si="134"/>
        <v/>
      </c>
      <c r="AI342" s="358" t="str">
        <f t="shared" si="135"/>
        <v/>
      </c>
      <c r="AJ342" s="272" t="str">
        <f t="shared" si="136"/>
        <v/>
      </c>
      <c r="AK342" s="361" t="str">
        <f t="shared" si="137"/>
        <v/>
      </c>
      <c r="AL342" s="11"/>
      <c r="AM342" s="11"/>
      <c r="AN342" s="11"/>
    </row>
    <row r="343" spans="1:40" ht="14.25">
      <c r="A343" s="787"/>
      <c r="B343" s="31" t="s">
        <v>176</v>
      </c>
      <c r="C343" s="184" t="s">
        <v>120</v>
      </c>
      <c r="D343" s="413" t="s">
        <v>24</v>
      </c>
      <c r="E343" s="49">
        <v>0.54861111111111105</v>
      </c>
      <c r="F343" s="49">
        <v>0.79166666666666663</v>
      </c>
      <c r="G343" s="538">
        <f t="shared" si="128"/>
        <v>0.24305555555555558</v>
      </c>
      <c r="H343" s="555">
        <f t="shared" si="138"/>
        <v>2.0833333333333259E-2</v>
      </c>
      <c r="I343" s="556">
        <f t="shared" si="129"/>
        <v>1</v>
      </c>
      <c r="J343" s="94">
        <f t="shared" si="154"/>
        <v>0</v>
      </c>
      <c r="K343" s="32">
        <f t="shared" si="131"/>
        <v>0</v>
      </c>
      <c r="L343" s="95" t="str">
        <f t="shared" si="155"/>
        <v/>
      </c>
      <c r="M343" s="96">
        <f t="shared" si="156"/>
        <v>0</v>
      </c>
      <c r="N343" s="97">
        <f>IF(M343=0,0,IF(SUM($M$5:M343)&gt;251,1,0))</f>
        <v>0</v>
      </c>
      <c r="O343" s="162">
        <v>40</v>
      </c>
      <c r="P343" s="163">
        <v>1</v>
      </c>
      <c r="Q343" s="98"/>
      <c r="R343" s="415" t="s">
        <v>543</v>
      </c>
      <c r="S343" s="99" t="str">
        <f t="shared" si="145"/>
        <v>放課後児童支援員</v>
      </c>
      <c r="T343" s="100" t="str">
        <f t="shared" si="139"/>
        <v>対象</v>
      </c>
      <c r="U343" s="418" t="s">
        <v>539</v>
      </c>
      <c r="V343" s="99" t="str">
        <f t="shared" si="146"/>
        <v>放課後児童支援員</v>
      </c>
      <c r="W343" s="100" t="str">
        <f t="shared" si="140"/>
        <v>対象</v>
      </c>
      <c r="X343" s="418" t="s">
        <v>546</v>
      </c>
      <c r="Y343" s="99" t="str">
        <f t="shared" si="147"/>
        <v>放課後児童支援員</v>
      </c>
      <c r="Z343" s="100" t="str">
        <f t="shared" si="141"/>
        <v>対象</v>
      </c>
      <c r="AA343" s="418"/>
      <c r="AB343" s="99">
        <f t="shared" si="148"/>
        <v>0</v>
      </c>
      <c r="AC343" s="100">
        <f t="shared" si="142"/>
        <v>0</v>
      </c>
      <c r="AD343" s="418"/>
      <c r="AE343" s="99">
        <f t="shared" si="149"/>
        <v>0</v>
      </c>
      <c r="AF343" s="546">
        <f t="shared" si="143"/>
        <v>0</v>
      </c>
      <c r="AG343" s="351" t="str">
        <f t="shared" si="144"/>
        <v/>
      </c>
      <c r="AH343" s="272" t="str">
        <f t="shared" si="134"/>
        <v/>
      </c>
      <c r="AI343" s="358" t="str">
        <f t="shared" si="135"/>
        <v/>
      </c>
      <c r="AJ343" s="272" t="str">
        <f t="shared" si="136"/>
        <v/>
      </c>
      <c r="AK343" s="361" t="str">
        <f t="shared" si="137"/>
        <v/>
      </c>
      <c r="AL343" s="11"/>
      <c r="AM343" s="11"/>
      <c r="AN343" s="11"/>
    </row>
    <row r="344" spans="1:40" ht="14.25">
      <c r="A344" s="787"/>
      <c r="B344" s="31" t="s">
        <v>177</v>
      </c>
      <c r="C344" s="184" t="s">
        <v>121</v>
      </c>
      <c r="D344" s="413" t="s">
        <v>24</v>
      </c>
      <c r="E344" s="49">
        <v>0.59722222222222221</v>
      </c>
      <c r="F344" s="49">
        <v>0.80555555555555547</v>
      </c>
      <c r="G344" s="538">
        <f t="shared" si="128"/>
        <v>0.20833333333333326</v>
      </c>
      <c r="H344" s="555">
        <f t="shared" si="138"/>
        <v>3.4722222222222099E-2</v>
      </c>
      <c r="I344" s="556">
        <f t="shared" si="129"/>
        <v>1</v>
      </c>
      <c r="J344" s="94">
        <f t="shared" si="154"/>
        <v>0</v>
      </c>
      <c r="K344" s="32">
        <f t="shared" si="131"/>
        <v>0</v>
      </c>
      <c r="L344" s="95" t="str">
        <f t="shared" si="155"/>
        <v/>
      </c>
      <c r="M344" s="96">
        <f t="shared" si="156"/>
        <v>0</v>
      </c>
      <c r="N344" s="97">
        <f>IF(M344=0,0,IF(SUM($M$5:M344)&gt;251,1,0))</f>
        <v>0</v>
      </c>
      <c r="O344" s="162">
        <v>40</v>
      </c>
      <c r="P344" s="163">
        <v>1</v>
      </c>
      <c r="Q344" s="98"/>
      <c r="R344" s="415" t="s">
        <v>543</v>
      </c>
      <c r="S344" s="99" t="str">
        <f t="shared" si="145"/>
        <v>放課後児童支援員</v>
      </c>
      <c r="T344" s="100" t="str">
        <f t="shared" si="139"/>
        <v>対象</v>
      </c>
      <c r="U344" s="418" t="s">
        <v>539</v>
      </c>
      <c r="V344" s="99" t="str">
        <f t="shared" si="146"/>
        <v>放課後児童支援員</v>
      </c>
      <c r="W344" s="100" t="str">
        <f t="shared" si="140"/>
        <v>対象</v>
      </c>
      <c r="X344" s="418" t="s">
        <v>546</v>
      </c>
      <c r="Y344" s="99" t="str">
        <f t="shared" si="147"/>
        <v>放課後児童支援員</v>
      </c>
      <c r="Z344" s="100" t="str">
        <f t="shared" si="141"/>
        <v>対象</v>
      </c>
      <c r="AA344" s="418"/>
      <c r="AB344" s="99">
        <f t="shared" si="148"/>
        <v>0</v>
      </c>
      <c r="AC344" s="100">
        <f t="shared" si="142"/>
        <v>0</v>
      </c>
      <c r="AD344" s="418"/>
      <c r="AE344" s="99">
        <f t="shared" si="149"/>
        <v>0</v>
      </c>
      <c r="AF344" s="546">
        <f t="shared" si="143"/>
        <v>0</v>
      </c>
      <c r="AG344" s="351" t="str">
        <f t="shared" si="144"/>
        <v/>
      </c>
      <c r="AH344" s="272" t="str">
        <f t="shared" si="134"/>
        <v/>
      </c>
      <c r="AI344" s="358" t="str">
        <f t="shared" si="135"/>
        <v/>
      </c>
      <c r="AJ344" s="272" t="str">
        <f t="shared" si="136"/>
        <v/>
      </c>
      <c r="AK344" s="361" t="str">
        <f t="shared" si="137"/>
        <v/>
      </c>
      <c r="AL344" s="11"/>
      <c r="AM344" s="11"/>
      <c r="AN344" s="11"/>
    </row>
    <row r="345" spans="1:40" ht="14.25">
      <c r="A345" s="787"/>
      <c r="B345" s="31" t="s">
        <v>178</v>
      </c>
      <c r="C345" s="184" t="s">
        <v>122</v>
      </c>
      <c r="D345" s="413" t="s">
        <v>171</v>
      </c>
      <c r="E345" s="49">
        <v>0.33333333333333331</v>
      </c>
      <c r="F345" s="49">
        <v>0.6875</v>
      </c>
      <c r="G345" s="538">
        <f t="shared" si="128"/>
        <v>0.35416666666666669</v>
      </c>
      <c r="H345" s="555" t="str">
        <f t="shared" si="138"/>
        <v>0:00</v>
      </c>
      <c r="I345" s="556">
        <f t="shared" si="129"/>
        <v>0</v>
      </c>
      <c r="J345" s="94">
        <f t="shared" si="154"/>
        <v>2.083333333333337E-2</v>
      </c>
      <c r="K345" s="32">
        <f t="shared" si="131"/>
        <v>1</v>
      </c>
      <c r="L345" s="95" t="str">
        <f t="shared" si="155"/>
        <v/>
      </c>
      <c r="M345" s="96">
        <f t="shared" si="156"/>
        <v>1</v>
      </c>
      <c r="N345" s="97">
        <f>IF(M345=0,0,IF(SUM($M$5:M345)&gt;251,1,0))</f>
        <v>0</v>
      </c>
      <c r="O345" s="162">
        <v>5</v>
      </c>
      <c r="P345" s="163">
        <v>0</v>
      </c>
      <c r="Q345" s="98"/>
      <c r="R345" s="415" t="s">
        <v>543</v>
      </c>
      <c r="S345" s="99" t="str">
        <f t="shared" si="145"/>
        <v>放課後児童支援員</v>
      </c>
      <c r="T345" s="100" t="str">
        <f t="shared" si="139"/>
        <v>対象</v>
      </c>
      <c r="U345" s="418" t="s">
        <v>539</v>
      </c>
      <c r="V345" s="99" t="str">
        <f t="shared" si="146"/>
        <v>放課後児童支援員</v>
      </c>
      <c r="W345" s="100" t="str">
        <f t="shared" si="140"/>
        <v>対象</v>
      </c>
      <c r="X345" s="418" t="s">
        <v>546</v>
      </c>
      <c r="Y345" s="99" t="str">
        <f t="shared" si="147"/>
        <v>放課後児童支援員</v>
      </c>
      <c r="Z345" s="100" t="str">
        <f t="shared" si="141"/>
        <v>対象</v>
      </c>
      <c r="AA345" s="418"/>
      <c r="AB345" s="99">
        <f t="shared" si="148"/>
        <v>0</v>
      </c>
      <c r="AC345" s="100">
        <f t="shared" si="142"/>
        <v>0</v>
      </c>
      <c r="AD345" s="418"/>
      <c r="AE345" s="99">
        <f t="shared" si="149"/>
        <v>0</v>
      </c>
      <c r="AF345" s="546">
        <f t="shared" si="143"/>
        <v>0</v>
      </c>
      <c r="AG345" s="351" t="str">
        <f t="shared" si="144"/>
        <v/>
      </c>
      <c r="AH345" s="272" t="str">
        <f t="shared" si="134"/>
        <v/>
      </c>
      <c r="AI345" s="358" t="str">
        <f t="shared" si="135"/>
        <v/>
      </c>
      <c r="AJ345" s="272" t="str">
        <f t="shared" si="136"/>
        <v/>
      </c>
      <c r="AK345" s="361" t="str">
        <f t="shared" si="137"/>
        <v/>
      </c>
      <c r="AL345" s="11"/>
      <c r="AM345" s="11"/>
      <c r="AN345" s="11"/>
    </row>
    <row r="346" spans="1:40" ht="14.25">
      <c r="A346" s="787"/>
      <c r="B346" s="31" t="s">
        <v>179</v>
      </c>
      <c r="C346" s="184" t="s">
        <v>183</v>
      </c>
      <c r="D346" s="413" t="s">
        <v>173</v>
      </c>
      <c r="E346" s="49"/>
      <c r="F346" s="49"/>
      <c r="G346" s="538">
        <f t="shared" si="128"/>
        <v>0</v>
      </c>
      <c r="H346" s="555" t="str">
        <f t="shared" si="138"/>
        <v>0:00</v>
      </c>
      <c r="I346" s="556">
        <f t="shared" si="129"/>
        <v>0</v>
      </c>
      <c r="J346" s="94">
        <f t="shared" si="154"/>
        <v>0</v>
      </c>
      <c r="K346" s="32">
        <f t="shared" si="131"/>
        <v>0</v>
      </c>
      <c r="L346" s="95" t="str">
        <f t="shared" si="155"/>
        <v/>
      </c>
      <c r="M346" s="96">
        <f t="shared" si="156"/>
        <v>0</v>
      </c>
      <c r="N346" s="97">
        <f>IF(M346=0,0,IF(SUM($M$5:M346)&gt;251,1,0))</f>
        <v>0</v>
      </c>
      <c r="O346" s="162"/>
      <c r="P346" s="163"/>
      <c r="Q346" s="98"/>
      <c r="R346" s="415"/>
      <c r="S346" s="99">
        <f t="shared" si="145"/>
        <v>0</v>
      </c>
      <c r="T346" s="100">
        <f t="shared" si="139"/>
        <v>0</v>
      </c>
      <c r="U346" s="418"/>
      <c r="V346" s="99">
        <f t="shared" si="146"/>
        <v>0</v>
      </c>
      <c r="W346" s="100">
        <f t="shared" si="140"/>
        <v>0</v>
      </c>
      <c r="X346" s="418"/>
      <c r="Y346" s="99">
        <f t="shared" si="147"/>
        <v>0</v>
      </c>
      <c r="Z346" s="100">
        <f t="shared" si="141"/>
        <v>0</v>
      </c>
      <c r="AA346" s="418"/>
      <c r="AB346" s="99">
        <f t="shared" si="148"/>
        <v>0</v>
      </c>
      <c r="AC346" s="100">
        <f t="shared" si="142"/>
        <v>0</v>
      </c>
      <c r="AD346" s="418"/>
      <c r="AE346" s="99">
        <f t="shared" si="149"/>
        <v>0</v>
      </c>
      <c r="AF346" s="546">
        <f t="shared" si="143"/>
        <v>0</v>
      </c>
      <c r="AG346" s="351" t="str">
        <f t="shared" si="144"/>
        <v/>
      </c>
      <c r="AH346" s="272" t="str">
        <f t="shared" si="134"/>
        <v/>
      </c>
      <c r="AI346" s="358" t="str">
        <f t="shared" si="135"/>
        <v/>
      </c>
      <c r="AJ346" s="272" t="str">
        <f t="shared" si="136"/>
        <v/>
      </c>
      <c r="AK346" s="361" t="str">
        <f t="shared" si="137"/>
        <v/>
      </c>
      <c r="AL346" s="11"/>
      <c r="AM346" s="11"/>
      <c r="AN346" s="11"/>
    </row>
    <row r="347" spans="1:40" ht="14.25">
      <c r="A347" s="787"/>
      <c r="B347" s="31" t="s">
        <v>180</v>
      </c>
      <c r="C347" s="184" t="s">
        <v>118</v>
      </c>
      <c r="D347" s="413" t="s">
        <v>24</v>
      </c>
      <c r="E347" s="49">
        <v>0.59722222222222221</v>
      </c>
      <c r="F347" s="49">
        <v>0.7715277777777777</v>
      </c>
      <c r="G347" s="538">
        <f t="shared" si="128"/>
        <v>0.17430555555555549</v>
      </c>
      <c r="H347" s="555">
        <f t="shared" si="138"/>
        <v>6.9444444444433095E-4</v>
      </c>
      <c r="I347" s="556">
        <f t="shared" si="129"/>
        <v>1</v>
      </c>
      <c r="J347" s="94">
        <f t="shared" si="154"/>
        <v>0</v>
      </c>
      <c r="K347" s="32">
        <f t="shared" si="131"/>
        <v>0</v>
      </c>
      <c r="L347" s="95" t="str">
        <f t="shared" si="155"/>
        <v/>
      </c>
      <c r="M347" s="96">
        <f t="shared" si="156"/>
        <v>0</v>
      </c>
      <c r="N347" s="97">
        <f>IF(M347=0,0,IF(SUM($M$5:M347)&gt;251,1,0))</f>
        <v>0</v>
      </c>
      <c r="O347" s="162">
        <v>40</v>
      </c>
      <c r="P347" s="163">
        <v>1</v>
      </c>
      <c r="Q347" s="98"/>
      <c r="R347" s="415" t="s">
        <v>543</v>
      </c>
      <c r="S347" s="99" t="str">
        <f t="shared" si="145"/>
        <v>放課後児童支援員</v>
      </c>
      <c r="T347" s="100" t="str">
        <f t="shared" si="139"/>
        <v>対象</v>
      </c>
      <c r="U347" s="418" t="s">
        <v>539</v>
      </c>
      <c r="V347" s="99" t="str">
        <f t="shared" si="146"/>
        <v>放課後児童支援員</v>
      </c>
      <c r="W347" s="100" t="str">
        <f t="shared" si="140"/>
        <v>対象</v>
      </c>
      <c r="X347" s="418"/>
      <c r="Y347" s="99">
        <f t="shared" si="147"/>
        <v>0</v>
      </c>
      <c r="Z347" s="100">
        <f t="shared" si="141"/>
        <v>0</v>
      </c>
      <c r="AA347" s="418"/>
      <c r="AB347" s="99">
        <f t="shared" si="148"/>
        <v>0</v>
      </c>
      <c r="AC347" s="100">
        <f t="shared" si="142"/>
        <v>0</v>
      </c>
      <c r="AD347" s="418"/>
      <c r="AE347" s="99">
        <f t="shared" si="149"/>
        <v>0</v>
      </c>
      <c r="AF347" s="546">
        <f t="shared" si="143"/>
        <v>0</v>
      </c>
      <c r="AG347" s="351" t="str">
        <f t="shared" si="144"/>
        <v/>
      </c>
      <c r="AH347" s="272" t="str">
        <f t="shared" si="134"/>
        <v/>
      </c>
      <c r="AI347" s="358" t="str">
        <f t="shared" si="135"/>
        <v/>
      </c>
      <c r="AJ347" s="272" t="str">
        <f t="shared" si="136"/>
        <v/>
      </c>
      <c r="AK347" s="361" t="str">
        <f t="shared" si="137"/>
        <v/>
      </c>
      <c r="AL347" s="11"/>
      <c r="AM347" s="11"/>
      <c r="AN347" s="11"/>
    </row>
    <row r="348" spans="1:40" ht="14.25">
      <c r="A348" s="787"/>
      <c r="B348" s="31" t="s">
        <v>181</v>
      </c>
      <c r="C348" s="184" t="s">
        <v>123</v>
      </c>
      <c r="D348" s="413" t="s">
        <v>24</v>
      </c>
      <c r="E348" s="49">
        <v>0.59722222222222221</v>
      </c>
      <c r="F348" s="49">
        <v>0.79166666666666663</v>
      </c>
      <c r="G348" s="538">
        <f t="shared" si="128"/>
        <v>0.19444444444444442</v>
      </c>
      <c r="H348" s="555">
        <f t="shared" si="138"/>
        <v>2.0833333333333259E-2</v>
      </c>
      <c r="I348" s="556">
        <f t="shared" si="129"/>
        <v>1</v>
      </c>
      <c r="J348" s="94">
        <f t="shared" si="154"/>
        <v>0</v>
      </c>
      <c r="K348" s="32">
        <f t="shared" si="131"/>
        <v>0</v>
      </c>
      <c r="L348" s="95" t="str">
        <f t="shared" si="155"/>
        <v/>
      </c>
      <c r="M348" s="96">
        <f t="shared" si="156"/>
        <v>0</v>
      </c>
      <c r="N348" s="97">
        <f>IF(M348=0,0,IF(SUM($M$5:M348)&gt;251,1,0))</f>
        <v>0</v>
      </c>
      <c r="O348" s="162">
        <v>40</v>
      </c>
      <c r="P348" s="163">
        <v>1</v>
      </c>
      <c r="Q348" s="98"/>
      <c r="R348" s="415" t="s">
        <v>543</v>
      </c>
      <c r="S348" s="99" t="str">
        <f t="shared" si="145"/>
        <v>放課後児童支援員</v>
      </c>
      <c r="T348" s="100" t="str">
        <f t="shared" si="139"/>
        <v>対象</v>
      </c>
      <c r="U348" s="418" t="s">
        <v>539</v>
      </c>
      <c r="V348" s="99" t="str">
        <f t="shared" si="146"/>
        <v>放課後児童支援員</v>
      </c>
      <c r="W348" s="100" t="str">
        <f t="shared" si="140"/>
        <v>対象</v>
      </c>
      <c r="X348" s="418" t="s">
        <v>546</v>
      </c>
      <c r="Y348" s="99" t="str">
        <f t="shared" si="147"/>
        <v>放課後児童支援員</v>
      </c>
      <c r="Z348" s="100" t="str">
        <f t="shared" si="141"/>
        <v>対象</v>
      </c>
      <c r="AA348" s="418"/>
      <c r="AB348" s="99">
        <f t="shared" si="148"/>
        <v>0</v>
      </c>
      <c r="AC348" s="100">
        <f t="shared" si="142"/>
        <v>0</v>
      </c>
      <c r="AD348" s="418"/>
      <c r="AE348" s="99">
        <f t="shared" si="149"/>
        <v>0</v>
      </c>
      <c r="AF348" s="546">
        <f t="shared" si="143"/>
        <v>0</v>
      </c>
      <c r="AG348" s="351" t="str">
        <f t="shared" si="144"/>
        <v/>
      </c>
      <c r="AH348" s="272" t="str">
        <f t="shared" si="134"/>
        <v/>
      </c>
      <c r="AI348" s="358" t="str">
        <f t="shared" si="135"/>
        <v/>
      </c>
      <c r="AJ348" s="272" t="str">
        <f t="shared" si="136"/>
        <v/>
      </c>
      <c r="AK348" s="361" t="str">
        <f t="shared" si="137"/>
        <v/>
      </c>
      <c r="AL348" s="11"/>
      <c r="AM348" s="11"/>
      <c r="AN348" s="11"/>
    </row>
    <row r="349" spans="1:40" ht="14.25">
      <c r="A349" s="787"/>
      <c r="B349" s="31" t="s">
        <v>182</v>
      </c>
      <c r="C349" s="184" t="s">
        <v>119</v>
      </c>
      <c r="D349" s="413" t="s">
        <v>24</v>
      </c>
      <c r="E349" s="49">
        <v>0.59722222222222221</v>
      </c>
      <c r="F349" s="49">
        <v>0.79166666666666663</v>
      </c>
      <c r="G349" s="538">
        <f t="shared" si="128"/>
        <v>0.19444444444444442</v>
      </c>
      <c r="H349" s="555">
        <f t="shared" si="138"/>
        <v>2.0833333333333259E-2</v>
      </c>
      <c r="I349" s="556">
        <f t="shared" si="129"/>
        <v>1</v>
      </c>
      <c r="J349" s="94">
        <f t="shared" si="154"/>
        <v>0</v>
      </c>
      <c r="K349" s="32">
        <f t="shared" si="131"/>
        <v>0</v>
      </c>
      <c r="L349" s="95" t="str">
        <f t="shared" si="155"/>
        <v/>
      </c>
      <c r="M349" s="96">
        <f t="shared" si="156"/>
        <v>0</v>
      </c>
      <c r="N349" s="97">
        <f>IF(M349=0,0,IF(SUM($M$5:M349)&gt;251,1,0))</f>
        <v>0</v>
      </c>
      <c r="O349" s="162">
        <v>40</v>
      </c>
      <c r="P349" s="163">
        <v>1</v>
      </c>
      <c r="Q349" s="98"/>
      <c r="R349" s="415" t="s">
        <v>543</v>
      </c>
      <c r="S349" s="99" t="str">
        <f t="shared" si="145"/>
        <v>放課後児童支援員</v>
      </c>
      <c r="T349" s="100" t="str">
        <f t="shared" si="139"/>
        <v>対象</v>
      </c>
      <c r="U349" s="418" t="s">
        <v>539</v>
      </c>
      <c r="V349" s="99" t="str">
        <f t="shared" si="146"/>
        <v>放課後児童支援員</v>
      </c>
      <c r="W349" s="100" t="str">
        <f t="shared" si="140"/>
        <v>対象</v>
      </c>
      <c r="X349" s="418" t="s">
        <v>546</v>
      </c>
      <c r="Y349" s="99" t="str">
        <f t="shared" si="147"/>
        <v>放課後児童支援員</v>
      </c>
      <c r="Z349" s="100" t="str">
        <f t="shared" si="141"/>
        <v>対象</v>
      </c>
      <c r="AA349" s="418"/>
      <c r="AB349" s="99">
        <f t="shared" si="148"/>
        <v>0</v>
      </c>
      <c r="AC349" s="100">
        <f t="shared" si="142"/>
        <v>0</v>
      </c>
      <c r="AD349" s="418"/>
      <c r="AE349" s="99">
        <f t="shared" si="149"/>
        <v>0</v>
      </c>
      <c r="AF349" s="546">
        <f t="shared" si="143"/>
        <v>0</v>
      </c>
      <c r="AG349" s="351" t="str">
        <f t="shared" si="144"/>
        <v/>
      </c>
      <c r="AH349" s="272" t="str">
        <f t="shared" si="134"/>
        <v/>
      </c>
      <c r="AI349" s="358" t="str">
        <f t="shared" si="135"/>
        <v/>
      </c>
      <c r="AJ349" s="272" t="str">
        <f t="shared" si="136"/>
        <v/>
      </c>
      <c r="AK349" s="361" t="str">
        <f t="shared" si="137"/>
        <v/>
      </c>
      <c r="AL349" s="11"/>
      <c r="AM349" s="11"/>
      <c r="AN349" s="11"/>
    </row>
    <row r="350" spans="1:40" ht="14.25">
      <c r="A350" s="787"/>
      <c r="B350" s="31" t="s">
        <v>184</v>
      </c>
      <c r="C350" s="184" t="s">
        <v>120</v>
      </c>
      <c r="D350" s="413" t="s">
        <v>24</v>
      </c>
      <c r="E350" s="49">
        <v>0.54861111111111105</v>
      </c>
      <c r="F350" s="49">
        <v>0.79166666666666663</v>
      </c>
      <c r="G350" s="538">
        <f t="shared" si="128"/>
        <v>0.24305555555555558</v>
      </c>
      <c r="H350" s="555">
        <f t="shared" si="138"/>
        <v>2.0833333333333259E-2</v>
      </c>
      <c r="I350" s="556">
        <f t="shared" si="129"/>
        <v>1</v>
      </c>
      <c r="J350" s="94">
        <f t="shared" si="154"/>
        <v>0</v>
      </c>
      <c r="K350" s="32">
        <f t="shared" si="131"/>
        <v>0</v>
      </c>
      <c r="L350" s="95" t="str">
        <f t="shared" si="155"/>
        <v/>
      </c>
      <c r="M350" s="96">
        <f t="shared" si="156"/>
        <v>0</v>
      </c>
      <c r="N350" s="97">
        <f>IF(M350=0,0,IF(SUM($M$5:M350)&gt;251,1,0))</f>
        <v>0</v>
      </c>
      <c r="O350" s="162">
        <v>40</v>
      </c>
      <c r="P350" s="163">
        <v>1</v>
      </c>
      <c r="Q350" s="98"/>
      <c r="R350" s="415" t="s">
        <v>543</v>
      </c>
      <c r="S350" s="99" t="str">
        <f t="shared" si="145"/>
        <v>放課後児童支援員</v>
      </c>
      <c r="T350" s="100" t="str">
        <f t="shared" si="139"/>
        <v>対象</v>
      </c>
      <c r="U350" s="418" t="s">
        <v>539</v>
      </c>
      <c r="V350" s="99" t="str">
        <f t="shared" si="146"/>
        <v>放課後児童支援員</v>
      </c>
      <c r="W350" s="100" t="str">
        <f t="shared" si="140"/>
        <v>対象</v>
      </c>
      <c r="X350" s="418" t="s">
        <v>546</v>
      </c>
      <c r="Y350" s="99" t="str">
        <f t="shared" si="147"/>
        <v>放課後児童支援員</v>
      </c>
      <c r="Z350" s="100" t="str">
        <f t="shared" si="141"/>
        <v>対象</v>
      </c>
      <c r="AA350" s="418"/>
      <c r="AB350" s="99">
        <f t="shared" si="148"/>
        <v>0</v>
      </c>
      <c r="AC350" s="100">
        <f t="shared" si="142"/>
        <v>0</v>
      </c>
      <c r="AD350" s="418"/>
      <c r="AE350" s="99">
        <f t="shared" si="149"/>
        <v>0</v>
      </c>
      <c r="AF350" s="546">
        <f t="shared" si="143"/>
        <v>0</v>
      </c>
      <c r="AG350" s="351" t="str">
        <f t="shared" si="144"/>
        <v/>
      </c>
      <c r="AH350" s="272" t="str">
        <f t="shared" si="134"/>
        <v/>
      </c>
      <c r="AI350" s="358" t="str">
        <f t="shared" si="135"/>
        <v/>
      </c>
      <c r="AJ350" s="272" t="str">
        <f t="shared" si="136"/>
        <v/>
      </c>
      <c r="AK350" s="361" t="str">
        <f t="shared" si="137"/>
        <v/>
      </c>
      <c r="AL350" s="11"/>
      <c r="AM350" s="11"/>
      <c r="AN350" s="11"/>
    </row>
    <row r="351" spans="1:40" ht="14.25">
      <c r="A351" s="787"/>
      <c r="B351" s="31" t="s">
        <v>185</v>
      </c>
      <c r="C351" s="184" t="s">
        <v>121</v>
      </c>
      <c r="D351" s="413" t="s">
        <v>24</v>
      </c>
      <c r="E351" s="49">
        <v>0.59722222222222221</v>
      </c>
      <c r="F351" s="49">
        <v>0.80555555555555547</v>
      </c>
      <c r="G351" s="538">
        <f t="shared" si="128"/>
        <v>0.20833333333333326</v>
      </c>
      <c r="H351" s="555">
        <f t="shared" si="138"/>
        <v>3.4722222222222099E-2</v>
      </c>
      <c r="I351" s="556">
        <f t="shared" si="129"/>
        <v>1</v>
      </c>
      <c r="J351" s="94">
        <f t="shared" si="154"/>
        <v>0</v>
      </c>
      <c r="K351" s="32">
        <f t="shared" si="131"/>
        <v>0</v>
      </c>
      <c r="L351" s="95" t="str">
        <f t="shared" si="155"/>
        <v/>
      </c>
      <c r="M351" s="96">
        <f t="shared" si="156"/>
        <v>0</v>
      </c>
      <c r="N351" s="97">
        <f>IF(M351=0,0,IF(SUM($M$5:M351)&gt;251,1,0))</f>
        <v>0</v>
      </c>
      <c r="O351" s="162">
        <v>40</v>
      </c>
      <c r="P351" s="163">
        <v>1</v>
      </c>
      <c r="Q351" s="98"/>
      <c r="R351" s="415" t="s">
        <v>543</v>
      </c>
      <c r="S351" s="99" t="str">
        <f t="shared" si="145"/>
        <v>放課後児童支援員</v>
      </c>
      <c r="T351" s="100" t="str">
        <f t="shared" si="139"/>
        <v>対象</v>
      </c>
      <c r="U351" s="418" t="s">
        <v>539</v>
      </c>
      <c r="V351" s="99" t="str">
        <f t="shared" si="146"/>
        <v>放課後児童支援員</v>
      </c>
      <c r="W351" s="100" t="str">
        <f t="shared" si="140"/>
        <v>対象</v>
      </c>
      <c r="X351" s="418" t="s">
        <v>546</v>
      </c>
      <c r="Y351" s="99" t="str">
        <f t="shared" si="147"/>
        <v>放課後児童支援員</v>
      </c>
      <c r="Z351" s="100" t="str">
        <f t="shared" si="141"/>
        <v>対象</v>
      </c>
      <c r="AA351" s="418"/>
      <c r="AB351" s="99">
        <f t="shared" si="148"/>
        <v>0</v>
      </c>
      <c r="AC351" s="100">
        <f t="shared" si="142"/>
        <v>0</v>
      </c>
      <c r="AD351" s="418"/>
      <c r="AE351" s="99">
        <f t="shared" si="149"/>
        <v>0</v>
      </c>
      <c r="AF351" s="546">
        <f t="shared" si="143"/>
        <v>0</v>
      </c>
      <c r="AG351" s="351" t="str">
        <f t="shared" si="144"/>
        <v/>
      </c>
      <c r="AH351" s="272" t="str">
        <f t="shared" si="134"/>
        <v/>
      </c>
      <c r="AI351" s="358" t="str">
        <f t="shared" si="135"/>
        <v/>
      </c>
      <c r="AJ351" s="272" t="str">
        <f t="shared" si="136"/>
        <v/>
      </c>
      <c r="AK351" s="361" t="str">
        <f t="shared" si="137"/>
        <v/>
      </c>
      <c r="AL351" s="11"/>
      <c r="AM351" s="11"/>
      <c r="AN351" s="11"/>
    </row>
    <row r="352" spans="1:40" ht="14.25">
      <c r="A352" s="787"/>
      <c r="B352" s="31" t="s">
        <v>186</v>
      </c>
      <c r="C352" s="184" t="s">
        <v>122</v>
      </c>
      <c r="D352" s="413" t="s">
        <v>171</v>
      </c>
      <c r="E352" s="49">
        <v>0.33333333333333331</v>
      </c>
      <c r="F352" s="49">
        <v>0.6875</v>
      </c>
      <c r="G352" s="538">
        <f t="shared" si="128"/>
        <v>0.35416666666666669</v>
      </c>
      <c r="H352" s="555" t="str">
        <f t="shared" si="138"/>
        <v>0:00</v>
      </c>
      <c r="I352" s="556">
        <f t="shared" si="129"/>
        <v>0</v>
      </c>
      <c r="J352" s="94">
        <f t="shared" si="154"/>
        <v>2.083333333333337E-2</v>
      </c>
      <c r="K352" s="32">
        <f t="shared" si="131"/>
        <v>1</v>
      </c>
      <c r="L352" s="95" t="str">
        <f t="shared" si="155"/>
        <v/>
      </c>
      <c r="M352" s="96">
        <f t="shared" si="156"/>
        <v>1</v>
      </c>
      <c r="N352" s="97">
        <f>IF(M352=0,0,IF(SUM($M$5:M352)&gt;251,1,0))</f>
        <v>0</v>
      </c>
      <c r="O352" s="162">
        <v>5</v>
      </c>
      <c r="P352" s="163">
        <v>0</v>
      </c>
      <c r="Q352" s="98"/>
      <c r="R352" s="415" t="s">
        <v>543</v>
      </c>
      <c r="S352" s="99" t="str">
        <f t="shared" si="145"/>
        <v>放課後児童支援員</v>
      </c>
      <c r="T352" s="100" t="str">
        <f t="shared" si="139"/>
        <v>対象</v>
      </c>
      <c r="U352" s="418" t="s">
        <v>539</v>
      </c>
      <c r="V352" s="99" t="str">
        <f t="shared" si="146"/>
        <v>放課後児童支援員</v>
      </c>
      <c r="W352" s="100" t="str">
        <f t="shared" si="140"/>
        <v>対象</v>
      </c>
      <c r="X352" s="418" t="s">
        <v>546</v>
      </c>
      <c r="Y352" s="99" t="str">
        <f t="shared" si="147"/>
        <v>放課後児童支援員</v>
      </c>
      <c r="Z352" s="100" t="str">
        <f t="shared" si="141"/>
        <v>対象</v>
      </c>
      <c r="AA352" s="418"/>
      <c r="AB352" s="99">
        <f t="shared" si="148"/>
        <v>0</v>
      </c>
      <c r="AC352" s="100">
        <f t="shared" si="142"/>
        <v>0</v>
      </c>
      <c r="AD352" s="418"/>
      <c r="AE352" s="99">
        <f t="shared" si="149"/>
        <v>0</v>
      </c>
      <c r="AF352" s="546">
        <f t="shared" si="143"/>
        <v>0</v>
      </c>
      <c r="AG352" s="351" t="str">
        <f t="shared" si="144"/>
        <v/>
      </c>
      <c r="AH352" s="272" t="str">
        <f t="shared" si="134"/>
        <v/>
      </c>
      <c r="AI352" s="358" t="str">
        <f t="shared" si="135"/>
        <v/>
      </c>
      <c r="AJ352" s="272" t="str">
        <f t="shared" si="136"/>
        <v/>
      </c>
      <c r="AK352" s="361" t="str">
        <f t="shared" si="137"/>
        <v/>
      </c>
      <c r="AL352" s="11"/>
      <c r="AM352" s="11"/>
      <c r="AN352" s="11"/>
    </row>
    <row r="353" spans="1:40" ht="14.25">
      <c r="A353" s="787"/>
      <c r="B353" s="31" t="s">
        <v>187</v>
      </c>
      <c r="C353" s="184" t="s">
        <v>183</v>
      </c>
      <c r="D353" s="413" t="s">
        <v>173</v>
      </c>
      <c r="E353" s="49"/>
      <c r="F353" s="49"/>
      <c r="G353" s="538">
        <f t="shared" si="128"/>
        <v>0</v>
      </c>
      <c r="H353" s="555" t="str">
        <f t="shared" si="138"/>
        <v>0:00</v>
      </c>
      <c r="I353" s="556">
        <f t="shared" si="129"/>
        <v>0</v>
      </c>
      <c r="J353" s="94">
        <f t="shared" si="154"/>
        <v>0</v>
      </c>
      <c r="K353" s="32">
        <f t="shared" si="131"/>
        <v>0</v>
      </c>
      <c r="L353" s="95" t="str">
        <f t="shared" si="155"/>
        <v/>
      </c>
      <c r="M353" s="96">
        <f t="shared" si="156"/>
        <v>0</v>
      </c>
      <c r="N353" s="97">
        <f>IF(M353=0,0,IF(SUM($M$5:M353)&gt;251,1,0))</f>
        <v>0</v>
      </c>
      <c r="O353" s="162"/>
      <c r="P353" s="163"/>
      <c r="Q353" s="98"/>
      <c r="R353" s="415"/>
      <c r="S353" s="99">
        <f t="shared" si="145"/>
        <v>0</v>
      </c>
      <c r="T353" s="100">
        <f t="shared" si="139"/>
        <v>0</v>
      </c>
      <c r="U353" s="418"/>
      <c r="V353" s="99">
        <f t="shared" si="146"/>
        <v>0</v>
      </c>
      <c r="W353" s="100">
        <f t="shared" si="140"/>
        <v>0</v>
      </c>
      <c r="X353" s="418"/>
      <c r="Y353" s="99">
        <f t="shared" si="147"/>
        <v>0</v>
      </c>
      <c r="Z353" s="100">
        <f t="shared" si="141"/>
        <v>0</v>
      </c>
      <c r="AA353" s="418"/>
      <c r="AB353" s="99">
        <f t="shared" si="148"/>
        <v>0</v>
      </c>
      <c r="AC353" s="100">
        <f t="shared" si="142"/>
        <v>0</v>
      </c>
      <c r="AD353" s="418"/>
      <c r="AE353" s="99">
        <f t="shared" si="149"/>
        <v>0</v>
      </c>
      <c r="AF353" s="546">
        <f t="shared" si="143"/>
        <v>0</v>
      </c>
      <c r="AG353" s="351" t="str">
        <f t="shared" si="144"/>
        <v/>
      </c>
      <c r="AH353" s="272" t="str">
        <f t="shared" si="134"/>
        <v/>
      </c>
      <c r="AI353" s="358" t="str">
        <f t="shared" si="135"/>
        <v/>
      </c>
      <c r="AJ353" s="272" t="str">
        <f t="shared" si="136"/>
        <v/>
      </c>
      <c r="AK353" s="361" t="str">
        <f t="shared" si="137"/>
        <v/>
      </c>
      <c r="AL353" s="11"/>
      <c r="AM353" s="11"/>
      <c r="AN353" s="11"/>
    </row>
    <row r="354" spans="1:40" ht="14.25">
      <c r="A354" s="787"/>
      <c r="B354" s="31" t="s">
        <v>188</v>
      </c>
      <c r="C354" s="184" t="s">
        <v>118</v>
      </c>
      <c r="D354" s="413" t="s">
        <v>24</v>
      </c>
      <c r="E354" s="49">
        <v>0.59722222222222221</v>
      </c>
      <c r="F354" s="49">
        <v>0.7715277777777777</v>
      </c>
      <c r="G354" s="538">
        <f t="shared" si="128"/>
        <v>0.17430555555555549</v>
      </c>
      <c r="H354" s="555">
        <f t="shared" si="138"/>
        <v>6.9444444444433095E-4</v>
      </c>
      <c r="I354" s="556">
        <f t="shared" si="129"/>
        <v>1</v>
      </c>
      <c r="J354" s="94">
        <f t="shared" si="154"/>
        <v>0</v>
      </c>
      <c r="K354" s="32">
        <f t="shared" si="131"/>
        <v>0</v>
      </c>
      <c r="L354" s="95" t="str">
        <f t="shared" si="155"/>
        <v/>
      </c>
      <c r="M354" s="96">
        <f t="shared" si="156"/>
        <v>0</v>
      </c>
      <c r="N354" s="97">
        <f>IF(M354=0,0,IF(SUM($M$5:M354)&gt;251,1,0))</f>
        <v>0</v>
      </c>
      <c r="O354" s="162">
        <v>40</v>
      </c>
      <c r="P354" s="163">
        <v>1</v>
      </c>
      <c r="Q354" s="98"/>
      <c r="R354" s="415" t="s">
        <v>543</v>
      </c>
      <c r="S354" s="99" t="str">
        <f t="shared" si="145"/>
        <v>放課後児童支援員</v>
      </c>
      <c r="T354" s="100" t="str">
        <f t="shared" si="139"/>
        <v>対象</v>
      </c>
      <c r="U354" s="418" t="s">
        <v>539</v>
      </c>
      <c r="V354" s="99" t="str">
        <f t="shared" si="146"/>
        <v>放課後児童支援員</v>
      </c>
      <c r="W354" s="100" t="str">
        <f t="shared" si="140"/>
        <v>対象</v>
      </c>
      <c r="X354" s="418"/>
      <c r="Y354" s="99">
        <f t="shared" si="147"/>
        <v>0</v>
      </c>
      <c r="Z354" s="100">
        <f t="shared" si="141"/>
        <v>0</v>
      </c>
      <c r="AA354" s="418"/>
      <c r="AB354" s="99">
        <f t="shared" si="148"/>
        <v>0</v>
      </c>
      <c r="AC354" s="100">
        <f t="shared" si="142"/>
        <v>0</v>
      </c>
      <c r="AD354" s="418"/>
      <c r="AE354" s="99">
        <f t="shared" si="149"/>
        <v>0</v>
      </c>
      <c r="AF354" s="546">
        <f t="shared" si="143"/>
        <v>0</v>
      </c>
      <c r="AG354" s="351" t="str">
        <f t="shared" si="144"/>
        <v/>
      </c>
      <c r="AH354" s="272" t="str">
        <f t="shared" si="134"/>
        <v/>
      </c>
      <c r="AI354" s="358" t="str">
        <f t="shared" si="135"/>
        <v/>
      </c>
      <c r="AJ354" s="272" t="str">
        <f t="shared" si="136"/>
        <v/>
      </c>
      <c r="AK354" s="361" t="str">
        <f t="shared" si="137"/>
        <v/>
      </c>
      <c r="AL354" s="11"/>
      <c r="AM354" s="11"/>
      <c r="AN354" s="11"/>
    </row>
    <row r="355" spans="1:40" ht="14.25">
      <c r="A355" s="787"/>
      <c r="B355" s="31" t="s">
        <v>189</v>
      </c>
      <c r="C355" s="184" t="s">
        <v>123</v>
      </c>
      <c r="D355" s="413" t="s">
        <v>24</v>
      </c>
      <c r="E355" s="49">
        <v>0.59722222222222221</v>
      </c>
      <c r="F355" s="49">
        <v>0.79166666666666663</v>
      </c>
      <c r="G355" s="538">
        <f t="shared" si="128"/>
        <v>0.19444444444444442</v>
      </c>
      <c r="H355" s="555">
        <f t="shared" si="138"/>
        <v>2.0833333333333259E-2</v>
      </c>
      <c r="I355" s="556">
        <f t="shared" si="129"/>
        <v>1</v>
      </c>
      <c r="J355" s="94">
        <f t="shared" si="154"/>
        <v>0</v>
      </c>
      <c r="K355" s="32">
        <f t="shared" si="131"/>
        <v>0</v>
      </c>
      <c r="L355" s="95" t="str">
        <f t="shared" si="155"/>
        <v/>
      </c>
      <c r="M355" s="96">
        <f t="shared" si="156"/>
        <v>0</v>
      </c>
      <c r="N355" s="97">
        <f>IF(M355=0,0,IF(SUM($M$5:M355)&gt;251,1,0))</f>
        <v>0</v>
      </c>
      <c r="O355" s="162">
        <v>40</v>
      </c>
      <c r="P355" s="163">
        <v>1</v>
      </c>
      <c r="Q355" s="98"/>
      <c r="R355" s="415" t="s">
        <v>543</v>
      </c>
      <c r="S355" s="99" t="str">
        <f t="shared" si="145"/>
        <v>放課後児童支援員</v>
      </c>
      <c r="T355" s="100" t="str">
        <f t="shared" si="139"/>
        <v>対象</v>
      </c>
      <c r="U355" s="418" t="s">
        <v>539</v>
      </c>
      <c r="V355" s="99" t="str">
        <f t="shared" si="146"/>
        <v>放課後児童支援員</v>
      </c>
      <c r="W355" s="100" t="str">
        <f t="shared" si="140"/>
        <v>対象</v>
      </c>
      <c r="X355" s="418" t="s">
        <v>546</v>
      </c>
      <c r="Y355" s="99" t="str">
        <f t="shared" si="147"/>
        <v>放課後児童支援員</v>
      </c>
      <c r="Z355" s="100" t="str">
        <f t="shared" si="141"/>
        <v>対象</v>
      </c>
      <c r="AA355" s="418"/>
      <c r="AB355" s="99">
        <f t="shared" si="148"/>
        <v>0</v>
      </c>
      <c r="AC355" s="100">
        <f t="shared" si="142"/>
        <v>0</v>
      </c>
      <c r="AD355" s="418"/>
      <c r="AE355" s="99">
        <f t="shared" si="149"/>
        <v>0</v>
      </c>
      <c r="AF355" s="546">
        <f t="shared" si="143"/>
        <v>0</v>
      </c>
      <c r="AG355" s="351" t="str">
        <f t="shared" si="144"/>
        <v/>
      </c>
      <c r="AH355" s="272" t="str">
        <f t="shared" si="134"/>
        <v/>
      </c>
      <c r="AI355" s="358" t="str">
        <f t="shared" si="135"/>
        <v/>
      </c>
      <c r="AJ355" s="272" t="str">
        <f t="shared" si="136"/>
        <v/>
      </c>
      <c r="AK355" s="361" t="str">
        <f t="shared" si="137"/>
        <v/>
      </c>
      <c r="AL355" s="11"/>
      <c r="AM355" s="11"/>
      <c r="AN355" s="11"/>
    </row>
    <row r="356" spans="1:40" ht="14.25">
      <c r="A356" s="787"/>
      <c r="B356" s="31" t="s">
        <v>190</v>
      </c>
      <c r="C356" s="184" t="s">
        <v>119</v>
      </c>
      <c r="D356" s="413" t="s">
        <v>24</v>
      </c>
      <c r="E356" s="49">
        <v>0.59722222222222221</v>
      </c>
      <c r="F356" s="49">
        <v>0.79166666666666663</v>
      </c>
      <c r="G356" s="538">
        <f t="shared" si="128"/>
        <v>0.19444444444444442</v>
      </c>
      <c r="H356" s="555">
        <f t="shared" si="138"/>
        <v>2.0833333333333259E-2</v>
      </c>
      <c r="I356" s="556">
        <f t="shared" si="129"/>
        <v>1</v>
      </c>
      <c r="J356" s="94">
        <f t="shared" si="154"/>
        <v>0</v>
      </c>
      <c r="K356" s="32">
        <f t="shared" si="131"/>
        <v>0</v>
      </c>
      <c r="L356" s="95" t="str">
        <f t="shared" si="155"/>
        <v/>
      </c>
      <c r="M356" s="96">
        <f t="shared" si="156"/>
        <v>0</v>
      </c>
      <c r="N356" s="97">
        <f>IF(M356=0,0,IF(SUM($M$5:M356)&gt;251,1,0))</f>
        <v>0</v>
      </c>
      <c r="O356" s="162">
        <v>40</v>
      </c>
      <c r="P356" s="163">
        <v>1</v>
      </c>
      <c r="Q356" s="98"/>
      <c r="R356" s="415" t="s">
        <v>543</v>
      </c>
      <c r="S356" s="99" t="str">
        <f t="shared" si="145"/>
        <v>放課後児童支援員</v>
      </c>
      <c r="T356" s="100" t="str">
        <f t="shared" si="139"/>
        <v>対象</v>
      </c>
      <c r="U356" s="418" t="s">
        <v>539</v>
      </c>
      <c r="V356" s="99" t="str">
        <f t="shared" si="146"/>
        <v>放課後児童支援員</v>
      </c>
      <c r="W356" s="100" t="str">
        <f t="shared" si="140"/>
        <v>対象</v>
      </c>
      <c r="X356" s="418" t="s">
        <v>546</v>
      </c>
      <c r="Y356" s="99" t="str">
        <f t="shared" si="147"/>
        <v>放課後児童支援員</v>
      </c>
      <c r="Z356" s="100" t="str">
        <f t="shared" si="141"/>
        <v>対象</v>
      </c>
      <c r="AA356" s="418"/>
      <c r="AB356" s="99">
        <f t="shared" si="148"/>
        <v>0</v>
      </c>
      <c r="AC356" s="100">
        <f t="shared" si="142"/>
        <v>0</v>
      </c>
      <c r="AD356" s="418"/>
      <c r="AE356" s="99">
        <f t="shared" si="149"/>
        <v>0</v>
      </c>
      <c r="AF356" s="546">
        <f t="shared" si="143"/>
        <v>0</v>
      </c>
      <c r="AG356" s="351" t="str">
        <f t="shared" si="144"/>
        <v/>
      </c>
      <c r="AH356" s="272" t="str">
        <f t="shared" si="134"/>
        <v/>
      </c>
      <c r="AI356" s="358" t="str">
        <f t="shared" si="135"/>
        <v/>
      </c>
      <c r="AJ356" s="272" t="str">
        <f t="shared" si="136"/>
        <v/>
      </c>
      <c r="AK356" s="361" t="str">
        <f t="shared" si="137"/>
        <v/>
      </c>
      <c r="AL356" s="11"/>
      <c r="AM356" s="11"/>
      <c r="AN356" s="11"/>
    </row>
    <row r="357" spans="1:40" ht="14.25">
      <c r="A357" s="787"/>
      <c r="B357" s="31" t="s">
        <v>191</v>
      </c>
      <c r="C357" s="184" t="s">
        <v>120</v>
      </c>
      <c r="D357" s="413" t="s">
        <v>24</v>
      </c>
      <c r="E357" s="49">
        <v>0.54861111111111105</v>
      </c>
      <c r="F357" s="49">
        <v>0.79166666666666663</v>
      </c>
      <c r="G357" s="538">
        <f t="shared" si="128"/>
        <v>0.24305555555555558</v>
      </c>
      <c r="H357" s="555">
        <f t="shared" si="138"/>
        <v>2.0833333333333259E-2</v>
      </c>
      <c r="I357" s="556">
        <f t="shared" si="129"/>
        <v>1</v>
      </c>
      <c r="J357" s="94">
        <f t="shared" si="154"/>
        <v>0</v>
      </c>
      <c r="K357" s="32">
        <f t="shared" si="131"/>
        <v>0</v>
      </c>
      <c r="L357" s="95" t="str">
        <f t="shared" si="155"/>
        <v/>
      </c>
      <c r="M357" s="96">
        <f t="shared" si="156"/>
        <v>0</v>
      </c>
      <c r="N357" s="97">
        <f>IF(M357=0,0,IF(SUM($M$5:M357)&gt;251,1,0))</f>
        <v>0</v>
      </c>
      <c r="O357" s="162">
        <v>40</v>
      </c>
      <c r="P357" s="163">
        <v>1</v>
      </c>
      <c r="Q357" s="98"/>
      <c r="R357" s="415" t="s">
        <v>543</v>
      </c>
      <c r="S357" s="99" t="str">
        <f t="shared" si="145"/>
        <v>放課後児童支援員</v>
      </c>
      <c r="T357" s="100" t="str">
        <f t="shared" si="139"/>
        <v>対象</v>
      </c>
      <c r="U357" s="418" t="s">
        <v>539</v>
      </c>
      <c r="V357" s="99" t="str">
        <f t="shared" si="146"/>
        <v>放課後児童支援員</v>
      </c>
      <c r="W357" s="100" t="str">
        <f t="shared" si="140"/>
        <v>対象</v>
      </c>
      <c r="X357" s="418" t="s">
        <v>546</v>
      </c>
      <c r="Y357" s="99" t="str">
        <f t="shared" si="147"/>
        <v>放課後児童支援員</v>
      </c>
      <c r="Z357" s="100" t="str">
        <f t="shared" si="141"/>
        <v>対象</v>
      </c>
      <c r="AA357" s="418"/>
      <c r="AB357" s="99">
        <f t="shared" si="148"/>
        <v>0</v>
      </c>
      <c r="AC357" s="100">
        <f t="shared" si="142"/>
        <v>0</v>
      </c>
      <c r="AD357" s="418"/>
      <c r="AE357" s="99">
        <f t="shared" si="149"/>
        <v>0</v>
      </c>
      <c r="AF357" s="546">
        <f t="shared" si="143"/>
        <v>0</v>
      </c>
      <c r="AG357" s="351" t="str">
        <f t="shared" si="144"/>
        <v/>
      </c>
      <c r="AH357" s="272" t="str">
        <f t="shared" si="134"/>
        <v/>
      </c>
      <c r="AI357" s="358" t="str">
        <f t="shared" si="135"/>
        <v/>
      </c>
      <c r="AJ357" s="272" t="str">
        <f t="shared" si="136"/>
        <v/>
      </c>
      <c r="AK357" s="361" t="str">
        <f t="shared" si="137"/>
        <v/>
      </c>
      <c r="AL357" s="11"/>
      <c r="AM357" s="11"/>
      <c r="AN357" s="11"/>
    </row>
    <row r="358" spans="1:40" ht="14.25">
      <c r="A358" s="787"/>
      <c r="B358" s="31" t="s">
        <v>192</v>
      </c>
      <c r="C358" s="184" t="s">
        <v>121</v>
      </c>
      <c r="D358" s="413" t="s">
        <v>24</v>
      </c>
      <c r="E358" s="49">
        <v>0.59722222222222221</v>
      </c>
      <c r="F358" s="49">
        <v>0.80555555555555547</v>
      </c>
      <c r="G358" s="538">
        <f t="shared" si="128"/>
        <v>0.20833333333333326</v>
      </c>
      <c r="H358" s="555">
        <f t="shared" si="138"/>
        <v>3.4722222222222099E-2</v>
      </c>
      <c r="I358" s="556">
        <f t="shared" si="129"/>
        <v>1</v>
      </c>
      <c r="J358" s="94">
        <f t="shared" si="154"/>
        <v>0</v>
      </c>
      <c r="K358" s="32">
        <f t="shared" si="131"/>
        <v>0</v>
      </c>
      <c r="L358" s="95" t="str">
        <f t="shared" si="155"/>
        <v/>
      </c>
      <c r="M358" s="96">
        <f t="shared" si="156"/>
        <v>0</v>
      </c>
      <c r="N358" s="97">
        <f>IF(M358=0,0,IF(SUM($M$5:M358)&gt;251,1,0))</f>
        <v>0</v>
      </c>
      <c r="O358" s="162">
        <v>40</v>
      </c>
      <c r="P358" s="163">
        <v>1</v>
      </c>
      <c r="Q358" s="98"/>
      <c r="R358" s="415" t="s">
        <v>543</v>
      </c>
      <c r="S358" s="99" t="str">
        <f t="shared" si="145"/>
        <v>放課後児童支援員</v>
      </c>
      <c r="T358" s="100" t="str">
        <f t="shared" si="139"/>
        <v>対象</v>
      </c>
      <c r="U358" s="418" t="s">
        <v>539</v>
      </c>
      <c r="V358" s="99" t="str">
        <f t="shared" si="146"/>
        <v>放課後児童支援員</v>
      </c>
      <c r="W358" s="100" t="str">
        <f t="shared" si="140"/>
        <v>対象</v>
      </c>
      <c r="X358" s="418"/>
      <c r="Y358" s="99">
        <f t="shared" si="147"/>
        <v>0</v>
      </c>
      <c r="Z358" s="100">
        <f t="shared" si="141"/>
        <v>0</v>
      </c>
      <c r="AA358" s="418"/>
      <c r="AB358" s="99">
        <f t="shared" si="148"/>
        <v>0</v>
      </c>
      <c r="AC358" s="100">
        <f t="shared" si="142"/>
        <v>0</v>
      </c>
      <c r="AD358" s="418"/>
      <c r="AE358" s="99">
        <f t="shared" si="149"/>
        <v>0</v>
      </c>
      <c r="AF358" s="546">
        <f t="shared" si="143"/>
        <v>0</v>
      </c>
      <c r="AG358" s="351" t="str">
        <f t="shared" si="144"/>
        <v/>
      </c>
      <c r="AH358" s="272" t="str">
        <f t="shared" si="134"/>
        <v/>
      </c>
      <c r="AI358" s="358" t="str">
        <f t="shared" si="135"/>
        <v/>
      </c>
      <c r="AJ358" s="272" t="str">
        <f t="shared" si="136"/>
        <v/>
      </c>
      <c r="AK358" s="361" t="str">
        <f t="shared" si="137"/>
        <v/>
      </c>
      <c r="AL358" s="11"/>
      <c r="AM358" s="11"/>
      <c r="AN358" s="11"/>
    </row>
    <row r="359" spans="1:40" ht="14.25">
      <c r="A359" s="787"/>
      <c r="B359" s="31" t="s">
        <v>193</v>
      </c>
      <c r="C359" s="184" t="s">
        <v>122</v>
      </c>
      <c r="D359" s="413" t="s">
        <v>171</v>
      </c>
      <c r="E359" s="49">
        <v>0.33333333333333331</v>
      </c>
      <c r="F359" s="49">
        <v>0.6875</v>
      </c>
      <c r="G359" s="538">
        <f t="shared" si="128"/>
        <v>0.35416666666666669</v>
      </c>
      <c r="H359" s="555" t="str">
        <f t="shared" si="138"/>
        <v>0:00</v>
      </c>
      <c r="I359" s="556">
        <f t="shared" si="129"/>
        <v>0</v>
      </c>
      <c r="J359" s="94">
        <f t="shared" si="154"/>
        <v>2.083333333333337E-2</v>
      </c>
      <c r="K359" s="32">
        <f t="shared" si="131"/>
        <v>1</v>
      </c>
      <c r="L359" s="95" t="str">
        <f t="shared" si="155"/>
        <v/>
      </c>
      <c r="M359" s="96">
        <f t="shared" si="156"/>
        <v>1</v>
      </c>
      <c r="N359" s="97">
        <f>IF(M359=0,0,IF(SUM($M$5:M359)&gt;251,1,0))</f>
        <v>0</v>
      </c>
      <c r="O359" s="162">
        <v>5</v>
      </c>
      <c r="P359" s="163">
        <v>0</v>
      </c>
      <c r="Q359" s="98"/>
      <c r="R359" s="415" t="s">
        <v>543</v>
      </c>
      <c r="S359" s="99" t="str">
        <f t="shared" si="145"/>
        <v>放課後児童支援員</v>
      </c>
      <c r="T359" s="100" t="str">
        <f t="shared" si="139"/>
        <v>対象</v>
      </c>
      <c r="U359" s="418" t="s">
        <v>539</v>
      </c>
      <c r="V359" s="99" t="str">
        <f t="shared" si="146"/>
        <v>放課後児童支援員</v>
      </c>
      <c r="W359" s="100" t="str">
        <f t="shared" si="140"/>
        <v>対象</v>
      </c>
      <c r="X359" s="418" t="s">
        <v>546</v>
      </c>
      <c r="Y359" s="99" t="str">
        <f t="shared" si="147"/>
        <v>放課後児童支援員</v>
      </c>
      <c r="Z359" s="100" t="str">
        <f t="shared" si="141"/>
        <v>対象</v>
      </c>
      <c r="AA359" s="418"/>
      <c r="AB359" s="99">
        <f t="shared" si="148"/>
        <v>0</v>
      </c>
      <c r="AC359" s="100">
        <f t="shared" si="142"/>
        <v>0</v>
      </c>
      <c r="AD359" s="418"/>
      <c r="AE359" s="99">
        <f t="shared" si="149"/>
        <v>0</v>
      </c>
      <c r="AF359" s="546">
        <f t="shared" si="143"/>
        <v>0</v>
      </c>
      <c r="AG359" s="351" t="str">
        <f t="shared" si="144"/>
        <v/>
      </c>
      <c r="AH359" s="272" t="str">
        <f t="shared" si="134"/>
        <v/>
      </c>
      <c r="AI359" s="358" t="str">
        <f t="shared" si="135"/>
        <v/>
      </c>
      <c r="AJ359" s="272" t="str">
        <f t="shared" si="136"/>
        <v/>
      </c>
      <c r="AK359" s="361" t="str">
        <f t="shared" si="137"/>
        <v/>
      </c>
      <c r="AL359" s="11"/>
      <c r="AM359" s="36"/>
      <c r="AN359" s="11"/>
    </row>
    <row r="360" spans="1:40" ht="14.25">
      <c r="A360" s="787"/>
      <c r="B360" s="31" t="s">
        <v>194</v>
      </c>
      <c r="C360" s="184" t="s">
        <v>183</v>
      </c>
      <c r="D360" s="413" t="s">
        <v>173</v>
      </c>
      <c r="E360" s="49"/>
      <c r="F360" s="49"/>
      <c r="G360" s="538">
        <f t="shared" si="128"/>
        <v>0</v>
      </c>
      <c r="H360" s="555" t="str">
        <f t="shared" si="138"/>
        <v>0:00</v>
      </c>
      <c r="I360" s="556">
        <f t="shared" si="129"/>
        <v>0</v>
      </c>
      <c r="J360" s="94">
        <f t="shared" si="154"/>
        <v>0</v>
      </c>
      <c r="K360" s="32">
        <f t="shared" si="131"/>
        <v>0</v>
      </c>
      <c r="L360" s="95" t="str">
        <f t="shared" si="155"/>
        <v/>
      </c>
      <c r="M360" s="96">
        <f t="shared" si="156"/>
        <v>0</v>
      </c>
      <c r="N360" s="97">
        <f>IF(M360=0,0,IF(SUM($M$5:M360)&gt;251,1,0))</f>
        <v>0</v>
      </c>
      <c r="O360" s="162"/>
      <c r="P360" s="163"/>
      <c r="Q360" s="98"/>
      <c r="R360" s="415"/>
      <c r="S360" s="99">
        <f t="shared" si="145"/>
        <v>0</v>
      </c>
      <c r="T360" s="100">
        <f t="shared" si="139"/>
        <v>0</v>
      </c>
      <c r="U360" s="418"/>
      <c r="V360" s="99">
        <f t="shared" si="146"/>
        <v>0</v>
      </c>
      <c r="W360" s="100">
        <f t="shared" si="140"/>
        <v>0</v>
      </c>
      <c r="X360" s="418"/>
      <c r="Y360" s="99">
        <f t="shared" si="147"/>
        <v>0</v>
      </c>
      <c r="Z360" s="100">
        <f t="shared" si="141"/>
        <v>0</v>
      </c>
      <c r="AA360" s="418"/>
      <c r="AB360" s="99">
        <f t="shared" si="148"/>
        <v>0</v>
      </c>
      <c r="AC360" s="100">
        <f t="shared" si="142"/>
        <v>0</v>
      </c>
      <c r="AD360" s="418"/>
      <c r="AE360" s="99">
        <f t="shared" si="149"/>
        <v>0</v>
      </c>
      <c r="AF360" s="546">
        <f t="shared" si="143"/>
        <v>0</v>
      </c>
      <c r="AG360" s="351" t="str">
        <f t="shared" si="144"/>
        <v/>
      </c>
      <c r="AH360" s="272" t="str">
        <f t="shared" si="134"/>
        <v/>
      </c>
      <c r="AI360" s="358" t="str">
        <f t="shared" si="135"/>
        <v/>
      </c>
      <c r="AJ360" s="272" t="str">
        <f t="shared" si="136"/>
        <v/>
      </c>
      <c r="AK360" s="361" t="str">
        <f t="shared" si="137"/>
        <v/>
      </c>
      <c r="AL360" s="11"/>
      <c r="AM360" s="11"/>
      <c r="AN360" s="11"/>
    </row>
    <row r="361" spans="1:40" ht="14.25">
      <c r="A361" s="787"/>
      <c r="B361" s="31" t="s">
        <v>195</v>
      </c>
      <c r="C361" s="184" t="s">
        <v>118</v>
      </c>
      <c r="D361" s="413" t="s">
        <v>24</v>
      </c>
      <c r="E361" s="49">
        <v>0.59722222222222221</v>
      </c>
      <c r="F361" s="49">
        <v>0.7715277777777777</v>
      </c>
      <c r="G361" s="538">
        <f t="shared" si="128"/>
        <v>0.17430555555555549</v>
      </c>
      <c r="H361" s="555">
        <f t="shared" si="138"/>
        <v>6.9444444444433095E-4</v>
      </c>
      <c r="I361" s="556">
        <f t="shared" si="129"/>
        <v>1</v>
      </c>
      <c r="J361" s="94">
        <f t="shared" si="154"/>
        <v>0</v>
      </c>
      <c r="K361" s="32">
        <f t="shared" si="131"/>
        <v>0</v>
      </c>
      <c r="L361" s="95" t="str">
        <f t="shared" si="155"/>
        <v/>
      </c>
      <c r="M361" s="96">
        <f t="shared" si="156"/>
        <v>0</v>
      </c>
      <c r="N361" s="97">
        <f>IF(M361=0,0,IF(SUM($M$5:M361)&gt;251,1,0))</f>
        <v>0</v>
      </c>
      <c r="O361" s="162">
        <v>40</v>
      </c>
      <c r="P361" s="163">
        <v>1</v>
      </c>
      <c r="Q361" s="98"/>
      <c r="R361" s="415" t="s">
        <v>543</v>
      </c>
      <c r="S361" s="99" t="str">
        <f t="shared" si="145"/>
        <v>放課後児童支援員</v>
      </c>
      <c r="T361" s="100" t="str">
        <f t="shared" si="139"/>
        <v>対象</v>
      </c>
      <c r="U361" s="418" t="s">
        <v>539</v>
      </c>
      <c r="V361" s="99" t="str">
        <f t="shared" si="146"/>
        <v>放課後児童支援員</v>
      </c>
      <c r="W361" s="100" t="str">
        <f t="shared" si="140"/>
        <v>対象</v>
      </c>
      <c r="X361" s="418"/>
      <c r="Y361" s="99">
        <f t="shared" si="147"/>
        <v>0</v>
      </c>
      <c r="Z361" s="100">
        <f t="shared" si="141"/>
        <v>0</v>
      </c>
      <c r="AA361" s="418"/>
      <c r="AB361" s="99">
        <f t="shared" si="148"/>
        <v>0</v>
      </c>
      <c r="AC361" s="100">
        <f t="shared" si="142"/>
        <v>0</v>
      </c>
      <c r="AD361" s="418"/>
      <c r="AE361" s="99">
        <f t="shared" si="149"/>
        <v>0</v>
      </c>
      <c r="AF361" s="546">
        <f t="shared" si="143"/>
        <v>0</v>
      </c>
      <c r="AG361" s="351" t="str">
        <f t="shared" si="144"/>
        <v/>
      </c>
      <c r="AH361" s="272" t="str">
        <f t="shared" si="134"/>
        <v/>
      </c>
      <c r="AI361" s="358" t="str">
        <f t="shared" si="135"/>
        <v/>
      </c>
      <c r="AJ361" s="272" t="str">
        <f t="shared" si="136"/>
        <v/>
      </c>
      <c r="AK361" s="361" t="str">
        <f t="shared" si="137"/>
        <v/>
      </c>
      <c r="AL361" s="11"/>
      <c r="AM361" s="11"/>
      <c r="AN361" s="11"/>
    </row>
    <row r="362" spans="1:40" ht="14.25">
      <c r="A362" s="787"/>
      <c r="B362" s="31" t="s">
        <v>196</v>
      </c>
      <c r="C362" s="184" t="s">
        <v>123</v>
      </c>
      <c r="D362" s="413" t="s">
        <v>24</v>
      </c>
      <c r="E362" s="49">
        <v>0.59722222222222221</v>
      </c>
      <c r="F362" s="49">
        <v>0.79166666666666663</v>
      </c>
      <c r="G362" s="538">
        <f t="shared" si="128"/>
        <v>0.19444444444444442</v>
      </c>
      <c r="H362" s="555">
        <f t="shared" si="138"/>
        <v>2.0833333333333259E-2</v>
      </c>
      <c r="I362" s="556">
        <f t="shared" si="129"/>
        <v>1</v>
      </c>
      <c r="J362" s="94">
        <f t="shared" si="154"/>
        <v>0</v>
      </c>
      <c r="K362" s="32">
        <f t="shared" si="131"/>
        <v>0</v>
      </c>
      <c r="L362" s="95" t="str">
        <f t="shared" si="155"/>
        <v/>
      </c>
      <c r="M362" s="96">
        <f t="shared" si="156"/>
        <v>0</v>
      </c>
      <c r="N362" s="97">
        <f>IF(M362=0,0,IF(SUM($M$5:M362)&gt;251,1,0))</f>
        <v>0</v>
      </c>
      <c r="O362" s="162">
        <v>40</v>
      </c>
      <c r="P362" s="163">
        <v>1</v>
      </c>
      <c r="Q362" s="98"/>
      <c r="R362" s="415" t="s">
        <v>543</v>
      </c>
      <c r="S362" s="99" t="str">
        <f t="shared" si="145"/>
        <v>放課後児童支援員</v>
      </c>
      <c r="T362" s="100" t="str">
        <f t="shared" si="139"/>
        <v>対象</v>
      </c>
      <c r="U362" s="418" t="s">
        <v>539</v>
      </c>
      <c r="V362" s="99" t="str">
        <f t="shared" si="146"/>
        <v>放課後児童支援員</v>
      </c>
      <c r="W362" s="100" t="str">
        <f t="shared" si="140"/>
        <v>対象</v>
      </c>
      <c r="X362" s="418" t="s">
        <v>593</v>
      </c>
      <c r="Y362" s="99" t="str">
        <f t="shared" si="147"/>
        <v>補助員</v>
      </c>
      <c r="Z362" s="100">
        <f t="shared" si="141"/>
        <v>0</v>
      </c>
      <c r="AA362" s="418"/>
      <c r="AB362" s="99">
        <f t="shared" si="148"/>
        <v>0</v>
      </c>
      <c r="AC362" s="100">
        <f t="shared" si="142"/>
        <v>0</v>
      </c>
      <c r="AD362" s="418"/>
      <c r="AE362" s="99">
        <f t="shared" si="149"/>
        <v>0</v>
      </c>
      <c r="AF362" s="546">
        <f t="shared" si="143"/>
        <v>0</v>
      </c>
      <c r="AG362" s="351" t="str">
        <f t="shared" si="144"/>
        <v/>
      </c>
      <c r="AH362" s="272" t="str">
        <f t="shared" si="134"/>
        <v/>
      </c>
      <c r="AI362" s="358" t="str">
        <f t="shared" si="135"/>
        <v/>
      </c>
      <c r="AJ362" s="272" t="str">
        <f t="shared" si="136"/>
        <v/>
      </c>
      <c r="AK362" s="361" t="str">
        <f t="shared" si="137"/>
        <v/>
      </c>
      <c r="AL362" s="11"/>
      <c r="AM362" s="11"/>
      <c r="AN362" s="11"/>
    </row>
    <row r="363" spans="1:40" ht="14.25">
      <c r="A363" s="787"/>
      <c r="B363" s="31" t="s">
        <v>197</v>
      </c>
      <c r="C363" s="184" t="s">
        <v>119</v>
      </c>
      <c r="D363" s="413" t="s">
        <v>24</v>
      </c>
      <c r="E363" s="49">
        <v>0.59722222222222221</v>
      </c>
      <c r="F363" s="49">
        <v>0.79166666666666663</v>
      </c>
      <c r="G363" s="538">
        <f t="shared" si="128"/>
        <v>0.19444444444444442</v>
      </c>
      <c r="H363" s="555">
        <f t="shared" si="138"/>
        <v>2.0833333333333259E-2</v>
      </c>
      <c r="I363" s="556">
        <f t="shared" si="129"/>
        <v>1</v>
      </c>
      <c r="J363" s="94">
        <f t="shared" si="154"/>
        <v>0</v>
      </c>
      <c r="K363" s="32">
        <f t="shared" si="131"/>
        <v>0</v>
      </c>
      <c r="L363" s="95" t="str">
        <f t="shared" si="155"/>
        <v/>
      </c>
      <c r="M363" s="96">
        <f t="shared" si="156"/>
        <v>0</v>
      </c>
      <c r="N363" s="97">
        <f>IF(M363=0,0,IF(SUM($M$5:M363)&gt;251,1,0))</f>
        <v>0</v>
      </c>
      <c r="O363" s="162">
        <v>40</v>
      </c>
      <c r="P363" s="163">
        <v>1</v>
      </c>
      <c r="Q363" s="98"/>
      <c r="R363" s="524" t="s">
        <v>543</v>
      </c>
      <c r="S363" s="521" t="str">
        <f t="shared" si="145"/>
        <v>放課後児童支援員</v>
      </c>
      <c r="T363" s="522" t="str">
        <f t="shared" si="139"/>
        <v>対象</v>
      </c>
      <c r="U363" s="525" t="s">
        <v>539</v>
      </c>
      <c r="V363" s="99" t="str">
        <f t="shared" si="146"/>
        <v>放課後児童支援員</v>
      </c>
      <c r="W363" s="100" t="str">
        <f t="shared" si="140"/>
        <v>対象</v>
      </c>
      <c r="X363" s="418" t="s">
        <v>594</v>
      </c>
      <c r="Y363" s="99" t="str">
        <f t="shared" si="147"/>
        <v>放課後児童支援員</v>
      </c>
      <c r="Z363" s="100">
        <f t="shared" si="141"/>
        <v>0</v>
      </c>
      <c r="AA363" s="418"/>
      <c r="AB363" s="99">
        <f t="shared" si="148"/>
        <v>0</v>
      </c>
      <c r="AC363" s="100">
        <f t="shared" si="142"/>
        <v>0</v>
      </c>
      <c r="AD363" s="418"/>
      <c r="AE363" s="99">
        <f t="shared" si="149"/>
        <v>0</v>
      </c>
      <c r="AF363" s="546">
        <f t="shared" si="143"/>
        <v>0</v>
      </c>
      <c r="AG363" s="351" t="str">
        <f t="shared" si="144"/>
        <v/>
      </c>
      <c r="AH363" s="272" t="str">
        <f t="shared" si="134"/>
        <v/>
      </c>
      <c r="AI363" s="358" t="str">
        <f t="shared" si="135"/>
        <v/>
      </c>
      <c r="AJ363" s="272" t="str">
        <f t="shared" si="136"/>
        <v/>
      </c>
      <c r="AK363" s="361" t="str">
        <f t="shared" si="137"/>
        <v/>
      </c>
      <c r="AL363" s="11"/>
      <c r="AM363" s="11"/>
      <c r="AN363" s="11"/>
    </row>
    <row r="364" spans="1:40" ht="14.25">
      <c r="A364" s="787"/>
      <c r="B364" s="31" t="s">
        <v>198</v>
      </c>
      <c r="C364" s="184" t="s">
        <v>120</v>
      </c>
      <c r="D364" s="413" t="s">
        <v>171</v>
      </c>
      <c r="E364" s="49">
        <v>0.33333333333333331</v>
      </c>
      <c r="F364" s="49">
        <v>0.79166666666666663</v>
      </c>
      <c r="G364" s="538">
        <f t="shared" si="128"/>
        <v>0.45833333333333331</v>
      </c>
      <c r="H364" s="555" t="str">
        <f t="shared" si="138"/>
        <v>0:00</v>
      </c>
      <c r="I364" s="556">
        <f t="shared" si="129"/>
        <v>0</v>
      </c>
      <c r="J364" s="94">
        <f t="shared" si="154"/>
        <v>0.125</v>
      </c>
      <c r="K364" s="32">
        <f t="shared" si="131"/>
        <v>1</v>
      </c>
      <c r="L364" s="95" t="str">
        <f t="shared" si="155"/>
        <v/>
      </c>
      <c r="M364" s="96">
        <f t="shared" si="156"/>
        <v>1</v>
      </c>
      <c r="N364" s="97">
        <f>IF(M364=0,0,IF(SUM($M$5:M364)&gt;251,1,0))</f>
        <v>0</v>
      </c>
      <c r="O364" s="162">
        <v>40</v>
      </c>
      <c r="P364" s="163">
        <v>1</v>
      </c>
      <c r="Q364" s="98"/>
      <c r="R364" s="415" t="s">
        <v>543</v>
      </c>
      <c r="S364" s="516" t="str">
        <f t="shared" si="145"/>
        <v>放課後児童支援員</v>
      </c>
      <c r="T364" s="517" t="str">
        <f t="shared" si="139"/>
        <v>対象</v>
      </c>
      <c r="U364" s="518" t="s">
        <v>539</v>
      </c>
      <c r="V364" s="99" t="str">
        <f t="shared" si="146"/>
        <v>放課後児童支援員</v>
      </c>
      <c r="W364" s="100" t="str">
        <f t="shared" si="140"/>
        <v>対象</v>
      </c>
      <c r="X364" s="418" t="s">
        <v>546</v>
      </c>
      <c r="Y364" s="99" t="str">
        <f t="shared" si="147"/>
        <v>放課後児童支援員</v>
      </c>
      <c r="Z364" s="100" t="str">
        <f t="shared" si="141"/>
        <v>対象</v>
      </c>
      <c r="AA364" s="418"/>
      <c r="AB364" s="99">
        <f t="shared" si="148"/>
        <v>0</v>
      </c>
      <c r="AC364" s="100">
        <f t="shared" si="142"/>
        <v>0</v>
      </c>
      <c r="AD364" s="418"/>
      <c r="AE364" s="99">
        <f t="shared" si="149"/>
        <v>0</v>
      </c>
      <c r="AF364" s="546">
        <f t="shared" si="143"/>
        <v>0</v>
      </c>
      <c r="AG364" s="351" t="str">
        <f t="shared" si="144"/>
        <v/>
      </c>
      <c r="AH364" s="272" t="str">
        <f t="shared" si="134"/>
        <v/>
      </c>
      <c r="AI364" s="358" t="str">
        <f t="shared" si="135"/>
        <v/>
      </c>
      <c r="AJ364" s="272" t="str">
        <f t="shared" si="136"/>
        <v/>
      </c>
      <c r="AK364" s="361" t="str">
        <f t="shared" si="137"/>
        <v/>
      </c>
      <c r="AL364" s="11"/>
      <c r="AM364" s="11"/>
      <c r="AN364" s="11"/>
    </row>
    <row r="365" spans="1:40" ht="14.25">
      <c r="A365" s="787"/>
      <c r="B365" s="31" t="s">
        <v>199</v>
      </c>
      <c r="C365" s="184" t="s">
        <v>121</v>
      </c>
      <c r="D365" s="413" t="s">
        <v>171</v>
      </c>
      <c r="E365" s="49">
        <v>0.33333333333333331</v>
      </c>
      <c r="F365" s="49">
        <v>0.80555555555555547</v>
      </c>
      <c r="G365" s="538">
        <f t="shared" si="128"/>
        <v>0.47222222222222215</v>
      </c>
      <c r="H365" s="555" t="str">
        <f t="shared" si="138"/>
        <v>0:00</v>
      </c>
      <c r="I365" s="556">
        <f t="shared" si="129"/>
        <v>0</v>
      </c>
      <c r="J365" s="94">
        <f t="shared" si="154"/>
        <v>0.13888888888888884</v>
      </c>
      <c r="K365" s="32">
        <f t="shared" si="131"/>
        <v>1</v>
      </c>
      <c r="L365" s="95" t="str">
        <f t="shared" si="155"/>
        <v/>
      </c>
      <c r="M365" s="96">
        <f t="shared" si="156"/>
        <v>1</v>
      </c>
      <c r="N365" s="97">
        <f>IF(M365=0,0,IF(SUM($M$5:M365)&gt;251,1,0))</f>
        <v>0</v>
      </c>
      <c r="O365" s="162">
        <v>40</v>
      </c>
      <c r="P365" s="163">
        <v>1</v>
      </c>
      <c r="Q365" s="98"/>
      <c r="R365" s="513" t="s">
        <v>543</v>
      </c>
      <c r="S365" s="99" t="str">
        <f t="shared" si="145"/>
        <v>放課後児童支援員</v>
      </c>
      <c r="T365" s="100" t="str">
        <f t="shared" si="139"/>
        <v>対象</v>
      </c>
      <c r="U365" s="514" t="s">
        <v>539</v>
      </c>
      <c r="V365" s="99" t="str">
        <f t="shared" si="146"/>
        <v>放課後児童支援員</v>
      </c>
      <c r="W365" s="100" t="str">
        <f t="shared" si="140"/>
        <v>対象</v>
      </c>
      <c r="X365" s="418" t="s">
        <v>546</v>
      </c>
      <c r="Y365" s="99" t="str">
        <f t="shared" si="147"/>
        <v>放課後児童支援員</v>
      </c>
      <c r="Z365" s="100" t="str">
        <f t="shared" si="141"/>
        <v>対象</v>
      </c>
      <c r="AA365" s="418"/>
      <c r="AB365" s="99">
        <f t="shared" si="148"/>
        <v>0</v>
      </c>
      <c r="AC365" s="100">
        <f t="shared" si="142"/>
        <v>0</v>
      </c>
      <c r="AD365" s="418"/>
      <c r="AE365" s="99">
        <f t="shared" si="149"/>
        <v>0</v>
      </c>
      <c r="AF365" s="546">
        <f t="shared" si="143"/>
        <v>0</v>
      </c>
      <c r="AG365" s="351" t="str">
        <f t="shared" si="144"/>
        <v/>
      </c>
      <c r="AH365" s="272" t="str">
        <f t="shared" si="134"/>
        <v/>
      </c>
      <c r="AI365" s="358" t="str">
        <f t="shared" si="135"/>
        <v/>
      </c>
      <c r="AJ365" s="272" t="str">
        <f t="shared" si="136"/>
        <v/>
      </c>
      <c r="AK365" s="361" t="str">
        <f t="shared" si="137"/>
        <v/>
      </c>
      <c r="AL365" s="11"/>
      <c r="AM365" s="11"/>
      <c r="AN365" s="11"/>
    </row>
    <row r="366" spans="1:40" ht="14.25">
      <c r="A366" s="787"/>
      <c r="B366" s="31" t="s">
        <v>200</v>
      </c>
      <c r="C366" s="184" t="s">
        <v>122</v>
      </c>
      <c r="D366" s="413" t="s">
        <v>171</v>
      </c>
      <c r="E366" s="49">
        <v>0.33333333333333331</v>
      </c>
      <c r="F366" s="49">
        <v>0.6875</v>
      </c>
      <c r="G366" s="538">
        <f t="shared" si="128"/>
        <v>0.35416666666666669</v>
      </c>
      <c r="H366" s="555" t="str">
        <f t="shared" si="138"/>
        <v>0:00</v>
      </c>
      <c r="I366" s="556">
        <f t="shared" si="129"/>
        <v>0</v>
      </c>
      <c r="J366" s="94">
        <f t="shared" si="154"/>
        <v>2.083333333333337E-2</v>
      </c>
      <c r="K366" s="32">
        <f t="shared" si="131"/>
        <v>1</v>
      </c>
      <c r="L366" s="95" t="str">
        <f t="shared" si="155"/>
        <v/>
      </c>
      <c r="M366" s="96">
        <f t="shared" si="156"/>
        <v>1</v>
      </c>
      <c r="N366" s="97">
        <f>IF(M366=0,0,IF(SUM($M$5:M366)&gt;251,1,0))</f>
        <v>0</v>
      </c>
      <c r="O366" s="162">
        <v>5</v>
      </c>
      <c r="P366" s="163">
        <v>0</v>
      </c>
      <c r="Q366" s="98"/>
      <c r="R366" s="415" t="s">
        <v>543</v>
      </c>
      <c r="S366" s="99" t="str">
        <f t="shared" si="145"/>
        <v>放課後児童支援員</v>
      </c>
      <c r="T366" s="100" t="str">
        <f t="shared" si="139"/>
        <v>対象</v>
      </c>
      <c r="U366" s="418" t="s">
        <v>539</v>
      </c>
      <c r="V366" s="99" t="str">
        <f t="shared" si="146"/>
        <v>放課後児童支援員</v>
      </c>
      <c r="W366" s="100" t="str">
        <f t="shared" si="140"/>
        <v>対象</v>
      </c>
      <c r="X366" s="418" t="s">
        <v>546</v>
      </c>
      <c r="Y366" s="99" t="str">
        <f t="shared" si="147"/>
        <v>放課後児童支援員</v>
      </c>
      <c r="Z366" s="100" t="str">
        <f t="shared" si="141"/>
        <v>対象</v>
      </c>
      <c r="AA366" s="418"/>
      <c r="AB366" s="99">
        <f t="shared" si="148"/>
        <v>0</v>
      </c>
      <c r="AC366" s="100">
        <f t="shared" si="142"/>
        <v>0</v>
      </c>
      <c r="AD366" s="418"/>
      <c r="AE366" s="99">
        <f t="shared" si="149"/>
        <v>0</v>
      </c>
      <c r="AF366" s="546">
        <f t="shared" si="143"/>
        <v>0</v>
      </c>
      <c r="AG366" s="351" t="str">
        <f t="shared" si="144"/>
        <v/>
      </c>
      <c r="AH366" s="272" t="str">
        <f t="shared" si="134"/>
        <v/>
      </c>
      <c r="AI366" s="358" t="str">
        <f t="shared" si="135"/>
        <v/>
      </c>
      <c r="AJ366" s="272" t="str">
        <f t="shared" si="136"/>
        <v/>
      </c>
      <c r="AK366" s="361" t="str">
        <f t="shared" si="137"/>
        <v/>
      </c>
      <c r="AL366" s="11"/>
      <c r="AM366" s="11"/>
      <c r="AN366" s="11"/>
    </row>
    <row r="367" spans="1:40" ht="14.25">
      <c r="A367" s="787"/>
      <c r="B367" s="31" t="s">
        <v>201</v>
      </c>
      <c r="C367" s="184" t="s">
        <v>183</v>
      </c>
      <c r="D367" s="413" t="s">
        <v>173</v>
      </c>
      <c r="E367" s="49"/>
      <c r="F367" s="49"/>
      <c r="G367" s="538">
        <f t="shared" si="128"/>
        <v>0</v>
      </c>
      <c r="H367" s="555" t="str">
        <f t="shared" si="138"/>
        <v>0:00</v>
      </c>
      <c r="I367" s="556">
        <f t="shared" si="129"/>
        <v>0</v>
      </c>
      <c r="J367" s="94">
        <f t="shared" si="154"/>
        <v>0</v>
      </c>
      <c r="K367" s="32">
        <f t="shared" si="131"/>
        <v>0</v>
      </c>
      <c r="L367" s="95" t="str">
        <f t="shared" si="155"/>
        <v/>
      </c>
      <c r="M367" s="96">
        <f t="shared" si="156"/>
        <v>0</v>
      </c>
      <c r="N367" s="97">
        <f>IF(M367=0,0,IF(SUM($M$5:M367)&gt;251,1,0))</f>
        <v>0</v>
      </c>
      <c r="O367" s="162"/>
      <c r="P367" s="163"/>
      <c r="Q367" s="98"/>
      <c r="R367" s="524"/>
      <c r="S367" s="521">
        <f t="shared" si="145"/>
        <v>0</v>
      </c>
      <c r="T367" s="522">
        <f t="shared" si="139"/>
        <v>0</v>
      </c>
      <c r="U367" s="525"/>
      <c r="V367" s="99">
        <f t="shared" si="146"/>
        <v>0</v>
      </c>
      <c r="W367" s="100">
        <f t="shared" si="140"/>
        <v>0</v>
      </c>
      <c r="X367" s="418"/>
      <c r="Y367" s="99">
        <f t="shared" si="147"/>
        <v>0</v>
      </c>
      <c r="Z367" s="100">
        <f t="shared" si="141"/>
        <v>0</v>
      </c>
      <c r="AA367" s="418"/>
      <c r="AB367" s="99">
        <f t="shared" si="148"/>
        <v>0</v>
      </c>
      <c r="AC367" s="100">
        <f t="shared" si="142"/>
        <v>0</v>
      </c>
      <c r="AD367" s="418"/>
      <c r="AE367" s="99">
        <f t="shared" si="149"/>
        <v>0</v>
      </c>
      <c r="AF367" s="546">
        <f t="shared" si="143"/>
        <v>0</v>
      </c>
      <c r="AG367" s="351" t="str">
        <f t="shared" si="144"/>
        <v/>
      </c>
      <c r="AH367" s="272" t="str">
        <f t="shared" si="134"/>
        <v/>
      </c>
      <c r="AI367" s="358" t="str">
        <f t="shared" si="135"/>
        <v/>
      </c>
      <c r="AJ367" s="272" t="str">
        <f t="shared" si="136"/>
        <v/>
      </c>
      <c r="AK367" s="361" t="str">
        <f t="shared" si="137"/>
        <v/>
      </c>
      <c r="AL367" s="11"/>
      <c r="AM367" s="11"/>
      <c r="AN367" s="11"/>
    </row>
    <row r="368" spans="1:40" ht="14.25">
      <c r="A368" s="787"/>
      <c r="B368" s="31" t="s">
        <v>202</v>
      </c>
      <c r="C368" s="184" t="s">
        <v>118</v>
      </c>
      <c r="D368" s="413" t="s">
        <v>171</v>
      </c>
      <c r="E368" s="49">
        <v>0.33333333333333331</v>
      </c>
      <c r="F368" s="49">
        <v>0.66666666666666663</v>
      </c>
      <c r="G368" s="538">
        <f t="shared" si="128"/>
        <v>0.33333333333333331</v>
      </c>
      <c r="H368" s="555" t="str">
        <f t="shared" si="138"/>
        <v>0:00</v>
      </c>
      <c r="I368" s="556">
        <f t="shared" si="129"/>
        <v>0</v>
      </c>
      <c r="J368" s="94">
        <f t="shared" si="154"/>
        <v>0</v>
      </c>
      <c r="K368" s="32">
        <f t="shared" si="131"/>
        <v>1</v>
      </c>
      <c r="L368" s="95" t="str">
        <f t="shared" si="155"/>
        <v/>
      </c>
      <c r="M368" s="96">
        <f t="shared" si="156"/>
        <v>1</v>
      </c>
      <c r="N368" s="97">
        <f>IF(M368=0,0,IF(SUM($M$5:M368)&gt;251,1,0))</f>
        <v>0</v>
      </c>
      <c r="O368" s="162">
        <v>40</v>
      </c>
      <c r="P368" s="163">
        <v>1</v>
      </c>
      <c r="Q368" s="98"/>
      <c r="R368" s="415" t="s">
        <v>543</v>
      </c>
      <c r="S368" s="516" t="str">
        <f t="shared" si="145"/>
        <v>放課後児童支援員</v>
      </c>
      <c r="T368" s="517" t="str">
        <f t="shared" si="139"/>
        <v>対象</v>
      </c>
      <c r="U368" s="518" t="s">
        <v>539</v>
      </c>
      <c r="V368" s="99" t="str">
        <f t="shared" si="146"/>
        <v>放課後児童支援員</v>
      </c>
      <c r="W368" s="100" t="str">
        <f t="shared" si="140"/>
        <v>対象</v>
      </c>
      <c r="X368" s="418"/>
      <c r="Y368" s="99">
        <f t="shared" si="147"/>
        <v>0</v>
      </c>
      <c r="Z368" s="100">
        <f t="shared" si="141"/>
        <v>0</v>
      </c>
      <c r="AA368" s="418"/>
      <c r="AB368" s="99">
        <f t="shared" si="148"/>
        <v>0</v>
      </c>
      <c r="AC368" s="100">
        <f t="shared" si="142"/>
        <v>0</v>
      </c>
      <c r="AD368" s="418"/>
      <c r="AE368" s="99">
        <f t="shared" si="149"/>
        <v>0</v>
      </c>
      <c r="AF368" s="546">
        <f t="shared" si="143"/>
        <v>0</v>
      </c>
      <c r="AG368" s="351" t="str">
        <f t="shared" si="144"/>
        <v/>
      </c>
      <c r="AH368" s="272" t="str">
        <f t="shared" si="134"/>
        <v/>
      </c>
      <c r="AI368" s="358" t="str">
        <f t="shared" si="135"/>
        <v/>
      </c>
      <c r="AJ368" s="272" t="str">
        <f t="shared" si="136"/>
        <v/>
      </c>
      <c r="AK368" s="361" t="str">
        <f t="shared" si="137"/>
        <v/>
      </c>
      <c r="AL368" s="11"/>
      <c r="AM368" s="11"/>
      <c r="AN368" s="11"/>
    </row>
    <row r="369" spans="1:46" ht="15" thickBot="1">
      <c r="A369" s="788"/>
      <c r="B369" s="33" t="s">
        <v>213</v>
      </c>
      <c r="C369" s="539" t="s">
        <v>123</v>
      </c>
      <c r="D369" s="540"/>
      <c r="E369" s="50">
        <v>0.33333333333333331</v>
      </c>
      <c r="F369" s="50">
        <v>0.75</v>
      </c>
      <c r="G369" s="541">
        <f t="shared" si="128"/>
        <v>0.41666666666666669</v>
      </c>
      <c r="H369" s="559" t="str">
        <f t="shared" si="138"/>
        <v>0:00</v>
      </c>
      <c r="I369" s="557">
        <f t="shared" si="129"/>
        <v>0</v>
      </c>
      <c r="J369" s="102">
        <f t="shared" si="154"/>
        <v>0</v>
      </c>
      <c r="K369" s="34">
        <f t="shared" si="131"/>
        <v>0</v>
      </c>
      <c r="L369" s="103" t="str">
        <f t="shared" si="155"/>
        <v/>
      </c>
      <c r="M369" s="104">
        <f t="shared" si="156"/>
        <v>0</v>
      </c>
      <c r="N369" s="105">
        <f>IF(M369=0,0,IF(SUM($M$5:M369)&gt;251,1,0))</f>
        <v>0</v>
      </c>
      <c r="O369" s="195">
        <v>40</v>
      </c>
      <c r="P369" s="196">
        <v>1</v>
      </c>
      <c r="Q369" s="108">
        <f>SUM(O339:O369)</f>
        <v>900</v>
      </c>
      <c r="R369" s="547" t="s">
        <v>543</v>
      </c>
      <c r="S369" s="185" t="str">
        <f t="shared" si="145"/>
        <v>放課後児童支援員</v>
      </c>
      <c r="T369" s="107" t="str">
        <f t="shared" si="139"/>
        <v>対象</v>
      </c>
      <c r="U369" s="548" t="s">
        <v>539</v>
      </c>
      <c r="V369" s="185" t="str">
        <f t="shared" si="146"/>
        <v>放課後児童支援員</v>
      </c>
      <c r="W369" s="107" t="str">
        <f t="shared" si="140"/>
        <v>対象</v>
      </c>
      <c r="X369" s="419" t="s">
        <v>546</v>
      </c>
      <c r="Y369" s="185" t="str">
        <f t="shared" si="147"/>
        <v>放課後児童支援員</v>
      </c>
      <c r="Z369" s="107" t="str">
        <f t="shared" si="141"/>
        <v>対象</v>
      </c>
      <c r="AA369" s="419"/>
      <c r="AB369" s="185">
        <f t="shared" si="148"/>
        <v>0</v>
      </c>
      <c r="AC369" s="107">
        <f t="shared" si="142"/>
        <v>0</v>
      </c>
      <c r="AD369" s="419"/>
      <c r="AE369" s="185">
        <f t="shared" si="149"/>
        <v>0</v>
      </c>
      <c r="AF369" s="549">
        <f t="shared" si="143"/>
        <v>0</v>
      </c>
      <c r="AG369" s="182" t="str">
        <f t="shared" si="144"/>
        <v/>
      </c>
      <c r="AH369" s="273" t="str">
        <f t="shared" si="134"/>
        <v/>
      </c>
      <c r="AI369" s="464" t="str">
        <f t="shared" si="135"/>
        <v/>
      </c>
      <c r="AJ369" s="273" t="str">
        <f t="shared" si="136"/>
        <v/>
      </c>
      <c r="AK369" s="362" t="str">
        <f t="shared" si="137"/>
        <v/>
      </c>
      <c r="AL369" s="11"/>
      <c r="AM369" s="11"/>
      <c r="AN369" s="11"/>
    </row>
    <row r="370" spans="1:46" ht="16.5">
      <c r="D370" s="35">
        <f>COUNTIF(D5:D369,"&lt;&gt;")</f>
        <v>364</v>
      </c>
      <c r="F370" s="109" t="str">
        <f>IF(D370=365,"","開所種別に空欄があります")</f>
        <v>開所種別に空欄があります</v>
      </c>
      <c r="G370" s="110"/>
      <c r="H370" s="560"/>
      <c r="I370" s="560"/>
      <c r="J370" s="805"/>
      <c r="K370" s="805"/>
      <c r="L370" s="805"/>
      <c r="M370" s="805"/>
      <c r="N370" s="805"/>
      <c r="O370" s="805"/>
      <c r="Q370" s="449" t="str">
        <f>IF(COUNTIF(Q5:Q369, "&gt;0") &lt; 12, "児童数の合計が０人の月があります", "")</f>
        <v/>
      </c>
      <c r="R370" s="450"/>
      <c r="S370" s="450"/>
      <c r="T370" s="450"/>
      <c r="U370" s="450"/>
      <c r="AG370" s="80"/>
      <c r="AH370" s="80"/>
      <c r="AI370" s="80"/>
      <c r="AL370" s="11"/>
      <c r="AM370" s="11"/>
      <c r="AN370" s="11"/>
    </row>
    <row r="371" spans="1:46" ht="14.25" thickBot="1">
      <c r="D371" s="447"/>
      <c r="G371" s="25"/>
      <c r="H371" s="550"/>
      <c r="J371" s="25"/>
      <c r="K371" s="26"/>
      <c r="L371" s="75"/>
      <c r="M371" s="11"/>
      <c r="N371" s="11"/>
      <c r="O371" s="11"/>
      <c r="R371" s="76"/>
      <c r="S371" s="77"/>
      <c r="T371" s="77"/>
      <c r="AG371" s="80"/>
      <c r="AH371" s="80"/>
      <c r="AI371" s="80"/>
      <c r="AL371" s="11"/>
      <c r="AM371" s="11"/>
      <c r="AN371" s="11"/>
    </row>
    <row r="372" spans="1:46" s="36" customFormat="1" ht="14.25" thickBot="1">
      <c r="B372" s="445"/>
      <c r="C372" s="445"/>
      <c r="D372" s="446"/>
      <c r="E372" s="445"/>
      <c r="F372" s="445"/>
      <c r="G372" s="448"/>
      <c r="H372" s="561">
        <f>SUM(H5:H369)</f>
        <v>3.6131944444444164</v>
      </c>
      <c r="I372" s="562">
        <f>SUM(I5:I369)</f>
        <v>176</v>
      </c>
      <c r="J372" s="37">
        <f>SUM(J5:J369)</f>
        <v>10.016666666666676</v>
      </c>
      <c r="K372" s="38">
        <f>SUM(K5:K369)</f>
        <v>113</v>
      </c>
      <c r="L372" s="111"/>
      <c r="M372" s="38">
        <f>SUM(M5:M369)</f>
        <v>113</v>
      </c>
      <c r="N372" s="39">
        <f>SUM(N5:N369)</f>
        <v>0</v>
      </c>
      <c r="R372" s="112"/>
      <c r="S372" s="113"/>
      <c r="T372" s="113"/>
      <c r="U372" s="112"/>
      <c r="V372" s="113"/>
      <c r="W372" s="113"/>
      <c r="X372" s="112"/>
      <c r="Y372" s="113"/>
      <c r="Z372" s="113"/>
      <c r="AA372" s="112"/>
      <c r="AB372" s="113"/>
      <c r="AC372" s="113"/>
      <c r="AD372" s="112"/>
      <c r="AE372" s="113"/>
      <c r="AF372" s="113"/>
      <c r="AG372" s="114"/>
      <c r="AH372" s="114"/>
      <c r="AI372" s="114"/>
      <c r="AJ372" s="114"/>
      <c r="AK372" s="114"/>
      <c r="AL372" s="11"/>
      <c r="AM372" s="11"/>
      <c r="AN372" s="11"/>
      <c r="AO372" s="11"/>
      <c r="AP372" s="11"/>
      <c r="AQ372" s="11"/>
    </row>
    <row r="373" spans="1:46" ht="14.25" thickBot="1">
      <c r="I373"/>
      <c r="J373" s="40"/>
      <c r="K373" s="40"/>
      <c r="AO373" s="36"/>
      <c r="AQ373" s="36"/>
      <c r="AR373" s="36"/>
      <c r="AS373" s="36"/>
      <c r="AT373" s="36"/>
    </row>
    <row r="374" spans="1:46" ht="14.25" thickBot="1">
      <c r="B374" s="789" t="s">
        <v>23</v>
      </c>
      <c r="C374" s="790"/>
      <c r="D374" s="791"/>
      <c r="E374" s="794" t="s">
        <v>214</v>
      </c>
      <c r="F374" s="795"/>
      <c r="V374" s="197"/>
      <c r="W374" s="197"/>
      <c r="X374" s="198"/>
      <c r="Y374" s="197"/>
      <c r="Z374" s="197"/>
      <c r="AA374" s="198"/>
    </row>
    <row r="375" spans="1:46" ht="71.25" customHeight="1" thickBot="1">
      <c r="B375" s="796" t="s">
        <v>24</v>
      </c>
      <c r="C375" s="797"/>
      <c r="D375" s="174">
        <f>COUNTIF(D5:D369,"平日")</f>
        <v>175</v>
      </c>
      <c r="E375" s="41" t="s">
        <v>24</v>
      </c>
      <c r="F375" s="179">
        <f>IFERROR(ROUNDDOWN(TEXT(SUM(#REF!),"[m]")/60/#REF!,2),0)</f>
        <v>0</v>
      </c>
      <c r="H375" s="563" t="s">
        <v>27</v>
      </c>
      <c r="I375" s="452" t="e">
        <f>MAX(IF(D379&lt;250,#REF!-( 250-D379), IF(D379=250,#REF!, IF( D379&gt;250,#REF!+( D379-250), 0))), 0)</f>
        <v>#REF!</v>
      </c>
      <c r="J375" s="451" t="s">
        <v>27</v>
      </c>
      <c r="K375" s="452">
        <f>MAX(IF(D379&lt;250, M372-(250-D379), IF(D379=250, M372, IF(D379&gt;250, M372+(D379-250), 0))), 0)</f>
        <v>39</v>
      </c>
      <c r="L375" s="42"/>
      <c r="M375" s="800" t="s">
        <v>445</v>
      </c>
      <c r="N375" s="801"/>
      <c r="O375" s="779" t="s">
        <v>654</v>
      </c>
      <c r="P375" s="780"/>
      <c r="Q375" s="780"/>
      <c r="R375" s="780"/>
      <c r="S375" s="780"/>
      <c r="T375" s="781"/>
      <c r="V375" s="348"/>
      <c r="W375" s="348"/>
      <c r="X375" s="348"/>
      <c r="Y375" s="348"/>
      <c r="Z375" s="197"/>
      <c r="AA375" s="197"/>
    </row>
    <row r="376" spans="1:46" ht="71.25" customHeight="1" thickBot="1">
      <c r="B376" s="798" t="s">
        <v>216</v>
      </c>
      <c r="C376" s="799"/>
      <c r="D376" s="175">
        <f>COUNTIF(D5:D369,"土・日・祝・長期休暇")</f>
        <v>113</v>
      </c>
      <c r="E376" s="43" t="s">
        <v>215</v>
      </c>
      <c r="F376" s="180">
        <f>IFERROR(ROUNDDOWN(TEXT(J372,"[m]")/60/K372,2),0)</f>
        <v>2.12</v>
      </c>
      <c r="H376" s="564"/>
      <c r="I376" s="454"/>
      <c r="J376" s="453"/>
      <c r="K376" s="454"/>
      <c r="M376" s="346"/>
      <c r="N376" s="347"/>
      <c r="O376" s="347"/>
      <c r="P376" s="347"/>
      <c r="Q376" s="347"/>
      <c r="R376" s="347"/>
      <c r="S376" s="384"/>
      <c r="T376" s="384"/>
      <c r="V376" s="349"/>
      <c r="W376" s="349"/>
      <c r="X376" s="349"/>
      <c r="Y376" s="349"/>
      <c r="Z376" s="349"/>
      <c r="AA376" s="349"/>
    </row>
    <row r="377" spans="1:46" ht="71.25" customHeight="1" thickBot="1">
      <c r="B377" s="792" t="s">
        <v>227</v>
      </c>
      <c r="C377" s="793"/>
      <c r="D377" s="176">
        <f>+COUNTIF(D5:D369,"平日：開所とみなす閉所")</f>
        <v>1</v>
      </c>
      <c r="E377" s="119" t="s">
        <v>311</v>
      </c>
      <c r="F377" s="181">
        <f>AVERAGEIF(D5:D369, "平日", F5:F369)</f>
        <v>0.79148015873015931</v>
      </c>
      <c r="H377" s="565"/>
      <c r="I377" s="456"/>
      <c r="J377" s="455"/>
      <c r="K377" s="456"/>
      <c r="M377" s="382"/>
      <c r="N377" s="383"/>
      <c r="O377" s="383"/>
      <c r="P377" s="383"/>
      <c r="Q377" s="383"/>
      <c r="R377" s="383"/>
      <c r="S377" s="460"/>
      <c r="T377" s="460"/>
      <c r="V377" s="349"/>
      <c r="W377" s="349"/>
      <c r="X377" s="349"/>
      <c r="Y377" s="349"/>
      <c r="Z377" s="349"/>
      <c r="AA377" s="349"/>
    </row>
    <row r="378" spans="1:46" ht="71.25" customHeight="1" thickBot="1">
      <c r="B378" s="782" t="s">
        <v>231</v>
      </c>
      <c r="C378" s="783"/>
      <c r="D378" s="177">
        <f>+COUNTIF(D5:D369,"土日祝長期：開所とみなす閉所")</f>
        <v>0</v>
      </c>
      <c r="E378" s="44"/>
      <c r="F378" s="45"/>
      <c r="I378" s="47"/>
      <c r="J378" s="46"/>
      <c r="K378" s="47"/>
    </row>
    <row r="379" spans="1:46" ht="71.25" customHeight="1" thickBot="1">
      <c r="B379" s="784" t="s">
        <v>222</v>
      </c>
      <c r="C379" s="785"/>
      <c r="D379" s="178">
        <f>SUM(D375:D378)-M372</f>
        <v>176</v>
      </c>
      <c r="E379" s="457"/>
      <c r="F379" s="458"/>
      <c r="H379" s="565"/>
      <c r="I379" s="566"/>
      <c r="J379" s="455"/>
      <c r="K379" s="459"/>
    </row>
  </sheetData>
  <autoFilter ref="A3:AR370" xr:uid="{FE683F58-D4B8-46B7-B6D6-9B673865A005}">
    <filterColumn colId="9" showButton="0"/>
    <filterColumn colId="10" showButton="0"/>
    <filterColumn colId="12" showButton="0"/>
    <filterColumn colId="15" showButton="0"/>
    <filterColumn colId="17" showButton="0"/>
    <filterColumn colId="18"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5" showButton="0"/>
    <filterColumn colId="36" showButton="0"/>
    <filterColumn colId="37" showButton="0"/>
    <filterColumn colId="38" showButton="0"/>
  </autoFilter>
  <dataConsolidate/>
  <mergeCells count="30">
    <mergeCell ref="Y1:AG1"/>
    <mergeCell ref="J3:K3"/>
    <mergeCell ref="M3:N3"/>
    <mergeCell ref="O3:Q3"/>
    <mergeCell ref="R3:AF3"/>
    <mergeCell ref="AG3:AK3"/>
    <mergeCell ref="AG4:AK4"/>
    <mergeCell ref="J370:O370"/>
    <mergeCell ref="A127:A157"/>
    <mergeCell ref="A158:A187"/>
    <mergeCell ref="A188:A218"/>
    <mergeCell ref="A219:A248"/>
    <mergeCell ref="A249:A279"/>
    <mergeCell ref="A280:A310"/>
    <mergeCell ref="A96:A126"/>
    <mergeCell ref="A5:A34"/>
    <mergeCell ref="A35:A65"/>
    <mergeCell ref="A66:A95"/>
    <mergeCell ref="H3:I3"/>
    <mergeCell ref="O375:T375"/>
    <mergeCell ref="B378:C378"/>
    <mergeCell ref="B379:C379"/>
    <mergeCell ref="A311:A338"/>
    <mergeCell ref="A339:A369"/>
    <mergeCell ref="B374:D374"/>
    <mergeCell ref="B377:C377"/>
    <mergeCell ref="E374:F374"/>
    <mergeCell ref="B375:C375"/>
    <mergeCell ref="B376:C376"/>
    <mergeCell ref="M375:N375"/>
  </mergeCells>
  <phoneticPr fontId="1"/>
  <conditionalFormatting sqref="D5:D369">
    <cfRule type="containsText" dxfId="19" priority="13" operator="containsText" text="土日祝長期：開所とみなす">
      <formula>NOT(ISERROR(SEARCH("土日祝長期：開所とみなす",D5)))</formula>
    </cfRule>
    <cfRule type="containsText" dxfId="18" priority="14" operator="containsText" text="平日：開所とみなす">
      <formula>NOT(ISERROR(SEARCH("平日：開所とみなす",D5)))</formula>
    </cfRule>
    <cfRule type="containsText" dxfId="17" priority="15" operator="containsText" text="長期休暇">
      <formula>NOT(ISERROR(SEARCH("長期休暇",D5)))</formula>
    </cfRule>
    <cfRule type="containsText" dxfId="16" priority="16" operator="containsText" text="平日">
      <formula>NOT(ISERROR(SEARCH("平日",D5)))</formula>
    </cfRule>
    <cfRule type="containsText" dxfId="15" priority="17" operator="containsText" text="平日">
      <formula>NOT(ISERROR(SEARCH("平日",D5)))</formula>
    </cfRule>
    <cfRule type="containsText" dxfId="14" priority="18" operator="containsText" text="休所">
      <formula>NOT(ISERROR(SEARCH("休所",D5)))</formula>
    </cfRule>
    <cfRule type="containsText" dxfId="13" priority="19" operator="containsText" text="休所">
      <formula>NOT(ISERROR(SEARCH("休所",D5)))</formula>
    </cfRule>
    <cfRule type="containsText" dxfId="12" priority="20" operator="containsText" text="長期休暇">
      <formula>NOT(ISERROR(SEARCH("長期休暇",D5)))</formula>
    </cfRule>
  </conditionalFormatting>
  <conditionalFormatting sqref="J370">
    <cfRule type="containsText" dxfId="11" priority="2730" operator="containsText" text="エラーがあります。エラー欄を確認してください">
      <formula>NOT(ISERROR(SEARCH("エラーがあります。エラー欄を確認してください",J370)))</formula>
    </cfRule>
  </conditionalFormatting>
  <conditionalFormatting sqref="L5:L369">
    <cfRule type="containsText" dxfId="10" priority="2719" operator="containsText" text="エラー">
      <formula>NOT(ISERROR(SEARCH("エラー",L5)))</formula>
    </cfRule>
  </conditionalFormatting>
  <conditionalFormatting sqref="O375:T375">
    <cfRule type="expression" dxfId="9" priority="2732">
      <formula>OR($D$377&gt;0,$D$378&gt;0)</formula>
    </cfRule>
  </conditionalFormatting>
  <conditionalFormatting sqref="Q370">
    <cfRule type="expression" dxfId="8" priority="1">
      <formula>$Q$370="児童数の合計が０人の月があります"</formula>
    </cfRule>
  </conditionalFormatting>
  <conditionalFormatting sqref="AG5:AG369">
    <cfRule type="containsText" dxfId="7" priority="5" operator="containsText" text="支援員がいません">
      <formula>NOT(ISERROR(SEARCH("支援員がいません",AG5)))</formula>
    </cfRule>
  </conditionalFormatting>
  <conditionalFormatting sqref="AJ5:AJ369">
    <cfRule type="expression" dxfId="6" priority="2">
      <formula>AJ5="学校の休業日は8時間以上開所"</formula>
    </cfRule>
    <cfRule type="expression" dxfId="5" priority="3">
      <formula>AJ5="平日は3時間以上開所"</formula>
    </cfRule>
  </conditionalFormatting>
  <conditionalFormatting sqref="AK5:AK369">
    <cfRule type="containsText" dxfId="4" priority="4" operator="containsText" text="児童数が入力されていません！">
      <formula>NOT(ISERROR(SEARCH("児童数が入力されていません！",AK5)))</formula>
    </cfRule>
  </conditionalFormatting>
  <dataValidations count="3">
    <dataValidation type="list" allowBlank="1" showInputMessage="1" showErrorMessage="1" sqref="U368:U369 U5:U8 U101 U116:U120 U122:U127 U129:U134 U137:U148 U151:U155 U158:U162 U164:U169 U172:U176 U179:U183 U186:U190 U192:U197 U200:U204 U207:U211 U214 U220 U255 U274 U311 U339 U364:U365 R5:R369" xr:uid="{6F6AB574-7090-4F99-8C00-2E7677FFB7A4}">
      <formula1>$AM$11:$AM$30</formula1>
    </dataValidation>
    <dataValidation type="list" allowBlank="1" showInputMessage="1" showErrorMessage="1" sqref="AD5:AD369 AA5:AA369 X5:X369 U9:U100 U102:U115 U121 U128 U135:U136 U366:U367 U149:U150 U156:U157 U163 U170:U171 U177:U178 U184:U185 U191 U198:U199 U205:U206 U212:U213 U215:U219 U221:U254 U256:U273 U275:U310 U312:U338 U340:U363" xr:uid="{01BDCF2D-68BF-4623-9E64-82C9A6A0396F}">
      <formula1>$AM$11:$AM$31</formula1>
    </dataValidation>
    <dataValidation type="list" allowBlank="1" showInputMessage="1" showErrorMessage="1" sqref="D5:D369" xr:uid="{48CEF912-6032-41E2-A747-330D4E07C883}">
      <formula1>$AL$4:$AL$8</formula1>
    </dataValidation>
  </dataValidations>
  <pageMargins left="0.70866141732283472" right="0.70866141732283472" top="0.74803149606299213" bottom="0.74803149606299213" header="0.31496062992125984" footer="0.31496062992125984"/>
  <pageSetup paperSize="9" scale="41" fitToHeight="0" orientation="landscape" r:id="rId1"/>
  <rowBreaks count="11" manualBreakCount="11">
    <brk id="34" max="36" man="1"/>
    <brk id="65" max="36" man="1"/>
    <brk id="95" max="36" man="1"/>
    <brk id="126" max="36" man="1"/>
    <brk id="157" max="36" man="1"/>
    <brk id="187" max="36" man="1"/>
    <brk id="218" max="36" man="1"/>
    <brk id="248" max="36" man="1"/>
    <brk id="279" max="36" man="1"/>
    <brk id="310" max="36" man="1"/>
    <brk id="338" max="36" man="1"/>
  </rowBreaks>
  <drawing r:id="rId2"/>
  <extLst>
    <ext xmlns:x14="http://schemas.microsoft.com/office/spreadsheetml/2009/9/main" uri="{78C0D931-6437-407d-A8EE-F0AAD7539E65}">
      <x14:conditionalFormattings>
        <x14:conditionalFormatting xmlns:xm="http://schemas.microsoft.com/office/excel/2006/main">
          <x14:cfRule type="containsText" priority="2737" operator="containsText" id="{FF7BA5F7-BCEE-4E06-A536-C40C9157E4D9}">
            <xm:f>NOT(ISERROR(SEARCH(入力にエラーがあります,D4)))</xm:f>
            <xm:f>入力にエラーがあります</xm:f>
            <x14:dxf>
              <font>
                <b/>
                <i/>
                <color rgb="FFFFFF00"/>
              </font>
              <fill>
                <patternFill patternType="solid">
                  <fgColor auto="1"/>
                  <bgColor rgb="FFFF0000"/>
                </patternFill>
              </fill>
            </x14:dxf>
          </x14:cfRule>
          <xm:sqref>D4</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W68"/>
  <sheetViews>
    <sheetView view="pageBreakPreview" zoomScaleNormal="100" zoomScaleSheetLayoutView="100" workbookViewId="0">
      <selection activeCell="B34" sqref="B34"/>
    </sheetView>
  </sheetViews>
  <sheetFormatPr defaultColWidth="9" defaultRowHeight="13.5"/>
  <cols>
    <col min="1" max="58" width="3.875" style="11" customWidth="1"/>
    <col min="59" max="16384" width="9" style="11"/>
  </cols>
  <sheetData>
    <row r="1" spans="1:23">
      <c r="A1" s="11" t="s">
        <v>452</v>
      </c>
      <c r="T1" s="67"/>
      <c r="U1" s="67"/>
    </row>
    <row r="2" spans="1:23">
      <c r="T2" s="67"/>
      <c r="U2" s="67"/>
    </row>
    <row r="3" spans="1:23">
      <c r="T3" s="67"/>
      <c r="U3" s="67"/>
    </row>
    <row r="4" spans="1:23">
      <c r="T4" s="213"/>
      <c r="U4" s="213"/>
    </row>
    <row r="5" spans="1:23" ht="18.75">
      <c r="A5" s="845" t="s">
        <v>55</v>
      </c>
      <c r="B5" s="845"/>
      <c r="C5" s="845"/>
      <c r="D5" s="845"/>
      <c r="E5" s="845"/>
      <c r="F5" s="845"/>
      <c r="G5" s="845"/>
      <c r="H5" s="845"/>
      <c r="I5" s="845"/>
      <c r="J5" s="845"/>
      <c r="K5" s="845"/>
      <c r="L5" s="845"/>
      <c r="M5" s="845"/>
      <c r="N5" s="845"/>
      <c r="O5" s="845"/>
      <c r="P5" s="845"/>
      <c r="Q5" s="845"/>
      <c r="R5" s="845"/>
      <c r="S5" s="845"/>
      <c r="T5" s="845"/>
      <c r="U5" s="845"/>
      <c r="V5" s="845"/>
      <c r="W5" s="845"/>
    </row>
    <row r="7" spans="1:23" ht="17.25">
      <c r="A7" s="12" t="s">
        <v>54</v>
      </c>
    </row>
    <row r="10" spans="1:23" ht="13.5" customHeight="1">
      <c r="A10" s="849" t="s">
        <v>7</v>
      </c>
      <c r="B10" s="820" t="s">
        <v>57</v>
      </c>
      <c r="C10" s="821"/>
      <c r="D10" s="829" t="s">
        <v>40</v>
      </c>
      <c r="E10" s="830"/>
      <c r="F10" s="830"/>
      <c r="G10" s="830"/>
      <c r="H10" s="831" t="str">
        <f>+使わない!J9</f>
        <v>横須賀市小川町１１</v>
      </c>
      <c r="I10" s="831"/>
      <c r="J10" s="831"/>
      <c r="K10" s="831"/>
      <c r="L10" s="831"/>
      <c r="M10" s="831"/>
      <c r="N10" s="831"/>
      <c r="O10" s="831"/>
      <c r="P10" s="831"/>
      <c r="Q10" s="831"/>
      <c r="R10" s="831"/>
      <c r="S10" s="831"/>
      <c r="T10" s="831"/>
      <c r="U10" s="831"/>
      <c r="V10" s="831"/>
    </row>
    <row r="11" spans="1:23" ht="13.5" customHeight="1">
      <c r="A11" s="850"/>
      <c r="B11" s="822"/>
      <c r="C11" s="823"/>
      <c r="D11" s="829"/>
      <c r="E11" s="830"/>
      <c r="F11" s="830"/>
      <c r="G11" s="830"/>
      <c r="H11" s="831"/>
      <c r="I11" s="831"/>
      <c r="J11" s="831"/>
      <c r="K11" s="831"/>
      <c r="L11" s="831"/>
      <c r="M11" s="831"/>
      <c r="N11" s="831"/>
      <c r="O11" s="831"/>
      <c r="P11" s="831"/>
      <c r="Q11" s="831"/>
      <c r="R11" s="831"/>
      <c r="S11" s="831"/>
      <c r="T11" s="831"/>
      <c r="U11" s="831"/>
      <c r="V11" s="831"/>
    </row>
    <row r="12" spans="1:23" ht="13.5" customHeight="1">
      <c r="A12" s="850"/>
      <c r="B12" s="822"/>
      <c r="C12" s="823"/>
      <c r="D12" s="829"/>
      <c r="E12" s="830"/>
      <c r="F12" s="830"/>
      <c r="G12" s="830"/>
      <c r="H12" s="831"/>
      <c r="I12" s="831"/>
      <c r="J12" s="831"/>
      <c r="K12" s="831"/>
      <c r="L12" s="831"/>
      <c r="M12" s="831"/>
      <c r="N12" s="831"/>
      <c r="O12" s="831"/>
      <c r="P12" s="831"/>
      <c r="Q12" s="831"/>
      <c r="R12" s="831"/>
      <c r="S12" s="831"/>
      <c r="T12" s="831"/>
      <c r="U12" s="831"/>
      <c r="V12" s="831"/>
    </row>
    <row r="13" spans="1:23" ht="13.5" customHeight="1">
      <c r="A13" s="850"/>
      <c r="B13" s="822"/>
      <c r="C13" s="823"/>
      <c r="D13" s="829" t="s">
        <v>1</v>
      </c>
      <c r="E13" s="830"/>
      <c r="F13" s="830"/>
      <c r="G13" s="830"/>
      <c r="H13" s="831" t="str">
        <f>鑑!G7</f>
        <v>はぐくみ学童クラブ</v>
      </c>
      <c r="I13" s="831"/>
      <c r="J13" s="831"/>
      <c r="K13" s="831"/>
      <c r="L13" s="831"/>
      <c r="M13" s="831"/>
      <c r="N13" s="831"/>
      <c r="O13" s="831"/>
      <c r="P13" s="831"/>
      <c r="Q13" s="831"/>
      <c r="R13" s="831"/>
      <c r="S13" s="831"/>
      <c r="T13" s="831"/>
      <c r="U13" s="831"/>
      <c r="V13" s="831"/>
    </row>
    <row r="14" spans="1:23" ht="13.5" customHeight="1">
      <c r="A14" s="850"/>
      <c r="B14" s="822"/>
      <c r="C14" s="823"/>
      <c r="D14" s="829"/>
      <c r="E14" s="830"/>
      <c r="F14" s="830"/>
      <c r="G14" s="830"/>
      <c r="H14" s="831"/>
      <c r="I14" s="831"/>
      <c r="J14" s="831"/>
      <c r="K14" s="831"/>
      <c r="L14" s="831"/>
      <c r="M14" s="831"/>
      <c r="N14" s="831"/>
      <c r="O14" s="831"/>
      <c r="P14" s="831"/>
      <c r="Q14" s="831"/>
      <c r="R14" s="831"/>
      <c r="S14" s="831"/>
      <c r="T14" s="831"/>
      <c r="U14" s="831"/>
      <c r="V14" s="831"/>
    </row>
    <row r="15" spans="1:23" ht="13.5" customHeight="1">
      <c r="A15" s="850"/>
      <c r="B15" s="822"/>
      <c r="C15" s="823"/>
      <c r="D15" s="829"/>
      <c r="E15" s="830"/>
      <c r="F15" s="830"/>
      <c r="G15" s="830"/>
      <c r="H15" s="831"/>
      <c r="I15" s="831"/>
      <c r="J15" s="831"/>
      <c r="K15" s="831"/>
      <c r="L15" s="831"/>
      <c r="M15" s="831"/>
      <c r="N15" s="831"/>
      <c r="O15" s="831"/>
      <c r="P15" s="831"/>
      <c r="Q15" s="831"/>
      <c r="R15" s="831"/>
      <c r="S15" s="831"/>
      <c r="T15" s="831"/>
      <c r="U15" s="831"/>
      <c r="V15" s="831"/>
    </row>
    <row r="16" spans="1:23" ht="13.5" customHeight="1">
      <c r="A16" s="850"/>
      <c r="B16" s="822"/>
      <c r="C16" s="823"/>
      <c r="D16" s="829" t="s">
        <v>56</v>
      </c>
      <c r="E16" s="830"/>
      <c r="F16" s="830"/>
      <c r="G16" s="830"/>
      <c r="H16" s="832" t="str">
        <f>+使わない!J11</f>
        <v>（役職）</v>
      </c>
      <c r="I16" s="833"/>
      <c r="J16" s="838" t="str">
        <f>+使わない!L11</f>
        <v>運営委員長</v>
      </c>
      <c r="K16" s="838"/>
      <c r="L16" s="838"/>
      <c r="M16" s="838"/>
      <c r="N16" s="838"/>
      <c r="O16" s="838"/>
      <c r="P16" s="838"/>
      <c r="Q16" s="838"/>
      <c r="R16" s="838"/>
      <c r="S16" s="838"/>
      <c r="T16" s="838"/>
      <c r="U16" s="68"/>
      <c r="V16" s="69"/>
    </row>
    <row r="17" spans="1:22" ht="13.5" customHeight="1">
      <c r="A17" s="850"/>
      <c r="B17" s="822"/>
      <c r="C17" s="823"/>
      <c r="D17" s="829"/>
      <c r="E17" s="830"/>
      <c r="F17" s="830"/>
      <c r="G17" s="830"/>
      <c r="H17" s="834"/>
      <c r="I17" s="835"/>
      <c r="J17" s="839"/>
      <c r="K17" s="839"/>
      <c r="L17" s="839"/>
      <c r="M17" s="839"/>
      <c r="N17" s="839"/>
      <c r="O17" s="839"/>
      <c r="P17" s="839"/>
      <c r="Q17" s="839"/>
      <c r="R17" s="839"/>
      <c r="S17" s="839"/>
      <c r="T17" s="839"/>
      <c r="U17" s="70"/>
      <c r="V17" s="71"/>
    </row>
    <row r="18" spans="1:22" ht="13.5" customHeight="1">
      <c r="A18" s="850"/>
      <c r="B18" s="822"/>
      <c r="C18" s="823"/>
      <c r="D18" s="829"/>
      <c r="E18" s="830"/>
      <c r="F18" s="830"/>
      <c r="G18" s="830"/>
      <c r="H18" s="834" t="s">
        <v>106</v>
      </c>
      <c r="I18" s="835"/>
      <c r="J18" s="838" t="str">
        <f>+使わない!L13</f>
        <v>横須賀　花子</v>
      </c>
      <c r="K18" s="838"/>
      <c r="L18" s="838"/>
      <c r="M18" s="838"/>
      <c r="N18" s="838"/>
      <c r="O18" s="838"/>
      <c r="P18" s="838"/>
      <c r="Q18" s="838"/>
      <c r="R18" s="838"/>
      <c r="S18" s="838"/>
      <c r="T18" s="838"/>
      <c r="U18" s="70"/>
      <c r="V18" s="71"/>
    </row>
    <row r="19" spans="1:22" ht="13.5" customHeight="1">
      <c r="A19" s="850"/>
      <c r="B19" s="822"/>
      <c r="C19" s="823"/>
      <c r="D19" s="829"/>
      <c r="E19" s="830"/>
      <c r="F19" s="830"/>
      <c r="G19" s="830"/>
      <c r="H19" s="836"/>
      <c r="I19" s="837"/>
      <c r="J19" s="839"/>
      <c r="K19" s="839"/>
      <c r="L19" s="839"/>
      <c r="M19" s="839"/>
      <c r="N19" s="839"/>
      <c r="O19" s="839"/>
      <c r="P19" s="839"/>
      <c r="Q19" s="839"/>
      <c r="R19" s="839"/>
      <c r="S19" s="839"/>
      <c r="T19" s="839"/>
      <c r="U19" s="72"/>
      <c r="V19" s="73"/>
    </row>
    <row r="20" spans="1:22" ht="14.25">
      <c r="A20" s="214"/>
      <c r="B20" s="822"/>
      <c r="C20" s="823"/>
      <c r="D20" s="826" t="s">
        <v>218</v>
      </c>
      <c r="E20" s="826"/>
      <c r="F20" s="826"/>
      <c r="G20" s="826"/>
      <c r="H20" s="826"/>
      <c r="I20" s="826"/>
      <c r="J20" s="826"/>
      <c r="K20" s="826"/>
      <c r="L20" s="818" t="s">
        <v>442</v>
      </c>
      <c r="M20" s="818"/>
      <c r="N20" s="818"/>
      <c r="O20" s="818"/>
      <c r="P20" s="818"/>
      <c r="Q20" s="818"/>
      <c r="R20" s="818"/>
      <c r="S20" s="818"/>
      <c r="T20" s="818"/>
      <c r="U20" s="818"/>
      <c r="V20" s="818"/>
    </row>
    <row r="21" spans="1:22" ht="14.25">
      <c r="A21" s="214"/>
      <c r="B21" s="822"/>
      <c r="C21" s="823"/>
      <c r="D21" s="827" t="str">
        <f>鑑!E14</f>
        <v>AA AA</v>
      </c>
      <c r="E21" s="827"/>
      <c r="F21" s="827"/>
      <c r="G21" s="827"/>
      <c r="H21" s="827"/>
      <c r="I21" s="827"/>
      <c r="J21" s="827"/>
      <c r="K21" s="827"/>
      <c r="L21" s="819" t="str">
        <f>鑑!E15</f>
        <v>８２２－＊＊＊＊</v>
      </c>
      <c r="M21" s="819"/>
      <c r="N21" s="819"/>
      <c r="O21" s="819"/>
      <c r="P21" s="819"/>
      <c r="Q21" s="819"/>
      <c r="R21" s="819"/>
      <c r="S21" s="819"/>
      <c r="T21" s="819"/>
      <c r="U21" s="819"/>
      <c r="V21" s="819"/>
    </row>
    <row r="22" spans="1:22" ht="14.25">
      <c r="A22" s="214"/>
      <c r="B22" s="822"/>
      <c r="C22" s="823"/>
      <c r="D22" s="827"/>
      <c r="E22" s="827"/>
      <c r="F22" s="827"/>
      <c r="G22" s="827"/>
      <c r="H22" s="827"/>
      <c r="I22" s="827"/>
      <c r="J22" s="827"/>
      <c r="K22" s="827"/>
      <c r="L22" s="819"/>
      <c r="M22" s="819"/>
      <c r="N22" s="819"/>
      <c r="O22" s="819"/>
      <c r="P22" s="819"/>
      <c r="Q22" s="819"/>
      <c r="R22" s="819"/>
      <c r="S22" s="819"/>
      <c r="T22" s="819"/>
      <c r="U22" s="819"/>
      <c r="V22" s="819"/>
    </row>
    <row r="23" spans="1:22" ht="14.25">
      <c r="A23" s="214"/>
      <c r="B23" s="822"/>
      <c r="C23" s="823"/>
      <c r="D23" s="828" t="s">
        <v>219</v>
      </c>
      <c r="E23" s="828"/>
      <c r="F23" s="828"/>
      <c r="G23" s="828"/>
      <c r="H23" s="828"/>
      <c r="I23" s="828"/>
      <c r="J23" s="828"/>
      <c r="K23" s="828"/>
      <c r="L23" s="818" t="s">
        <v>443</v>
      </c>
      <c r="M23" s="818"/>
      <c r="N23" s="818"/>
      <c r="O23" s="818"/>
      <c r="P23" s="818"/>
      <c r="Q23" s="818"/>
      <c r="R23" s="818"/>
      <c r="S23" s="818"/>
      <c r="T23" s="818"/>
      <c r="U23" s="818"/>
      <c r="V23" s="818"/>
    </row>
    <row r="24" spans="1:22" ht="14.25">
      <c r="A24" s="214"/>
      <c r="B24" s="822"/>
      <c r="C24" s="823"/>
      <c r="D24" s="827" t="str">
        <f>鑑!H14</f>
        <v>BB　BB</v>
      </c>
      <c r="E24" s="827"/>
      <c r="F24" s="827"/>
      <c r="G24" s="827"/>
      <c r="H24" s="827"/>
      <c r="I24" s="827"/>
      <c r="J24" s="827"/>
      <c r="K24" s="827"/>
      <c r="L24" s="819" t="str">
        <f>鑑!H15</f>
        <v>同じ</v>
      </c>
      <c r="M24" s="819"/>
      <c r="N24" s="819"/>
      <c r="O24" s="819"/>
      <c r="P24" s="819"/>
      <c r="Q24" s="819"/>
      <c r="R24" s="819"/>
      <c r="S24" s="819"/>
      <c r="T24" s="819"/>
      <c r="U24" s="819"/>
      <c r="V24" s="819"/>
    </row>
    <row r="25" spans="1:22" ht="13.5" customHeight="1">
      <c r="B25" s="824"/>
      <c r="C25" s="825"/>
      <c r="D25" s="827"/>
      <c r="E25" s="827"/>
      <c r="F25" s="827"/>
      <c r="G25" s="827"/>
      <c r="H25" s="827"/>
      <c r="I25" s="827"/>
      <c r="J25" s="827"/>
      <c r="K25" s="827"/>
      <c r="L25" s="819"/>
      <c r="M25" s="819"/>
      <c r="N25" s="819"/>
      <c r="O25" s="819"/>
      <c r="P25" s="819"/>
      <c r="Q25" s="819"/>
      <c r="R25" s="819"/>
      <c r="S25" s="819"/>
      <c r="T25" s="819"/>
      <c r="U25" s="819"/>
      <c r="V25" s="819"/>
    </row>
    <row r="26" spans="1:22">
      <c r="B26" s="846" t="s">
        <v>58</v>
      </c>
      <c r="C26" s="846"/>
      <c r="D26" s="846"/>
      <c r="E26" s="846"/>
      <c r="F26" s="846"/>
      <c r="G26" s="846"/>
      <c r="H26" s="846"/>
      <c r="I26" s="846"/>
      <c r="J26" s="846"/>
      <c r="K26" s="846"/>
      <c r="L26" s="846"/>
      <c r="M26" s="846"/>
      <c r="N26" s="846"/>
      <c r="O26" s="846"/>
      <c r="P26" s="846"/>
      <c r="Q26" s="846"/>
      <c r="R26" s="846"/>
      <c r="S26" s="846"/>
      <c r="T26" s="846"/>
      <c r="U26" s="846"/>
      <c r="V26" s="846"/>
    </row>
    <row r="27" spans="1:22">
      <c r="B27" s="846"/>
      <c r="C27" s="846"/>
      <c r="D27" s="846"/>
      <c r="E27" s="846"/>
      <c r="F27" s="846"/>
      <c r="G27" s="846"/>
      <c r="H27" s="846"/>
      <c r="I27" s="846"/>
      <c r="J27" s="846"/>
      <c r="K27" s="846"/>
      <c r="L27" s="846"/>
      <c r="M27" s="846"/>
      <c r="N27" s="846"/>
      <c r="O27" s="846"/>
      <c r="P27" s="846"/>
      <c r="Q27" s="846"/>
      <c r="R27" s="846"/>
      <c r="S27" s="846"/>
      <c r="T27" s="846"/>
      <c r="U27" s="846"/>
      <c r="V27" s="846"/>
    </row>
    <row r="29" spans="1:22">
      <c r="B29" s="853" t="s">
        <v>59</v>
      </c>
      <c r="C29" s="842"/>
      <c r="D29" s="842"/>
      <c r="E29" s="854">
        <f>+使わない!K40</f>
        <v>4514400</v>
      </c>
      <c r="F29" s="854"/>
      <c r="G29" s="854"/>
      <c r="H29" s="854"/>
      <c r="I29" s="854"/>
      <c r="J29" s="854"/>
      <c r="K29" s="854"/>
      <c r="L29" s="854"/>
      <c r="M29" s="854"/>
      <c r="N29" s="854"/>
      <c r="O29" s="854"/>
      <c r="P29" s="854"/>
      <c r="Q29" s="854"/>
      <c r="R29" s="854"/>
      <c r="S29" s="854"/>
      <c r="T29" s="842" t="s">
        <v>2</v>
      </c>
      <c r="U29" s="842"/>
    </row>
    <row r="30" spans="1:22">
      <c r="B30" s="843"/>
      <c r="C30" s="843"/>
      <c r="D30" s="843"/>
      <c r="E30" s="855"/>
      <c r="F30" s="855"/>
      <c r="G30" s="855"/>
      <c r="H30" s="855"/>
      <c r="I30" s="855"/>
      <c r="J30" s="855"/>
      <c r="K30" s="855"/>
      <c r="L30" s="855"/>
      <c r="M30" s="855"/>
      <c r="N30" s="855"/>
      <c r="O30" s="855"/>
      <c r="P30" s="855"/>
      <c r="Q30" s="855"/>
      <c r="R30" s="855"/>
      <c r="S30" s="855"/>
      <c r="T30" s="843"/>
      <c r="U30" s="843"/>
    </row>
    <row r="32" spans="1:22">
      <c r="B32" s="846" t="s">
        <v>653</v>
      </c>
      <c r="C32" s="846"/>
      <c r="D32" s="846"/>
      <c r="E32" s="846"/>
      <c r="F32" s="846"/>
      <c r="G32" s="846"/>
      <c r="H32" s="846"/>
      <c r="I32" s="846"/>
      <c r="J32" s="846"/>
      <c r="K32" s="846"/>
      <c r="L32" s="846"/>
      <c r="M32" s="846"/>
      <c r="N32" s="846"/>
      <c r="O32" s="846"/>
      <c r="P32" s="846"/>
      <c r="Q32" s="846"/>
      <c r="R32" s="846"/>
      <c r="S32" s="846"/>
      <c r="T32" s="846"/>
      <c r="U32" s="846"/>
      <c r="V32" s="846"/>
    </row>
    <row r="33" spans="1:23">
      <c r="B33" s="846"/>
      <c r="C33" s="846"/>
      <c r="D33" s="846"/>
      <c r="E33" s="846"/>
      <c r="F33" s="846"/>
      <c r="G33" s="846"/>
      <c r="H33" s="846"/>
      <c r="I33" s="846"/>
      <c r="J33" s="846"/>
      <c r="K33" s="846"/>
      <c r="L33" s="846"/>
      <c r="M33" s="846"/>
      <c r="N33" s="846"/>
      <c r="O33" s="846"/>
      <c r="P33" s="846"/>
      <c r="Q33" s="846"/>
      <c r="R33" s="846"/>
      <c r="S33" s="846"/>
      <c r="T33" s="846"/>
      <c r="U33" s="846"/>
      <c r="V33" s="846"/>
    </row>
    <row r="35" spans="1:23">
      <c r="A35" s="847" t="s">
        <v>60</v>
      </c>
      <c r="B35" s="847"/>
      <c r="C35" s="847"/>
      <c r="D35" s="847"/>
      <c r="E35" s="847"/>
      <c r="F35" s="847"/>
      <c r="G35" s="847"/>
      <c r="H35" s="847"/>
      <c r="I35" s="847"/>
      <c r="J35" s="847"/>
      <c r="K35" s="847"/>
      <c r="L35" s="847"/>
      <c r="M35" s="847"/>
      <c r="N35" s="847"/>
      <c r="O35" s="847"/>
      <c r="P35" s="847"/>
      <c r="Q35" s="847"/>
      <c r="R35" s="847"/>
      <c r="S35" s="847"/>
      <c r="T35" s="847"/>
      <c r="U35" s="847"/>
      <c r="V35" s="847"/>
      <c r="W35" s="847"/>
    </row>
    <row r="36" spans="1:23">
      <c r="A36" s="848" t="s">
        <v>124</v>
      </c>
      <c r="B36" s="848"/>
      <c r="C36" s="848"/>
      <c r="D36" s="848"/>
      <c r="E36" s="848"/>
      <c r="F36" s="848"/>
      <c r="G36" s="848"/>
      <c r="H36" s="848"/>
      <c r="I36" s="848"/>
      <c r="J36" s="848"/>
      <c r="K36" s="848"/>
      <c r="L36" s="848"/>
      <c r="M36" s="848"/>
      <c r="N36" s="848"/>
      <c r="O36" s="848"/>
      <c r="P36" s="848"/>
      <c r="Q36" s="848"/>
      <c r="R36" s="848"/>
      <c r="S36" s="848"/>
      <c r="T36" s="848"/>
      <c r="U36" s="848"/>
      <c r="V36" s="848"/>
      <c r="W36" s="848"/>
    </row>
    <row r="37" spans="1:23">
      <c r="A37" s="848"/>
      <c r="B37" s="848"/>
      <c r="C37" s="848"/>
      <c r="D37" s="848"/>
      <c r="E37" s="848"/>
      <c r="F37" s="848"/>
      <c r="G37" s="848"/>
      <c r="H37" s="848"/>
      <c r="I37" s="848"/>
      <c r="J37" s="848"/>
      <c r="K37" s="848"/>
      <c r="L37" s="848"/>
      <c r="M37" s="848"/>
      <c r="N37" s="848"/>
      <c r="O37" s="848"/>
      <c r="P37" s="848"/>
      <c r="Q37" s="848"/>
      <c r="R37" s="848"/>
      <c r="S37" s="848"/>
      <c r="T37" s="848"/>
      <c r="U37" s="848"/>
      <c r="V37" s="848"/>
      <c r="W37" s="848"/>
    </row>
    <row r="38" spans="1:23">
      <c r="A38" s="848"/>
      <c r="B38" s="848"/>
      <c r="C38" s="848"/>
      <c r="D38" s="848"/>
      <c r="E38" s="848"/>
      <c r="F38" s="848"/>
      <c r="G38" s="848"/>
      <c r="H38" s="848"/>
      <c r="I38" s="848"/>
      <c r="J38" s="848"/>
      <c r="K38" s="848"/>
      <c r="L38" s="848"/>
      <c r="M38" s="848"/>
      <c r="N38" s="848"/>
      <c r="O38" s="848"/>
      <c r="P38" s="848"/>
      <c r="Q38" s="848"/>
      <c r="R38" s="848"/>
      <c r="S38" s="848"/>
      <c r="T38" s="848"/>
      <c r="U38" s="848"/>
      <c r="V38" s="848"/>
      <c r="W38" s="848"/>
    </row>
    <row r="40" spans="1:23" ht="13.5" customHeight="1">
      <c r="A40" s="851" t="s">
        <v>8</v>
      </c>
      <c r="B40" s="844" t="s">
        <v>40</v>
      </c>
      <c r="C40" s="844"/>
      <c r="D40" s="844"/>
      <c r="E40" s="844"/>
      <c r="F40" s="844"/>
      <c r="G40" s="844"/>
      <c r="H40" s="831" t="str">
        <f>+H10</f>
        <v>横須賀市小川町１１</v>
      </c>
      <c r="I40" s="831"/>
      <c r="J40" s="831"/>
      <c r="K40" s="831"/>
      <c r="L40" s="831"/>
      <c r="M40" s="831"/>
      <c r="N40" s="831"/>
      <c r="O40" s="831"/>
      <c r="P40" s="831"/>
      <c r="Q40" s="831"/>
      <c r="R40" s="831"/>
      <c r="S40" s="831"/>
      <c r="T40" s="831"/>
      <c r="U40" s="831"/>
      <c r="V40" s="831"/>
    </row>
    <row r="41" spans="1:23" ht="13.5" customHeight="1">
      <c r="A41" s="852"/>
      <c r="B41" s="844"/>
      <c r="C41" s="844"/>
      <c r="D41" s="844"/>
      <c r="E41" s="844"/>
      <c r="F41" s="844"/>
      <c r="G41" s="844"/>
      <c r="H41" s="831"/>
      <c r="I41" s="831"/>
      <c r="J41" s="831"/>
      <c r="K41" s="831"/>
      <c r="L41" s="831"/>
      <c r="M41" s="831"/>
      <c r="N41" s="831"/>
      <c r="O41" s="831"/>
      <c r="P41" s="831"/>
      <c r="Q41" s="831"/>
      <c r="R41" s="831"/>
      <c r="S41" s="831"/>
      <c r="T41" s="831"/>
      <c r="U41" s="831"/>
      <c r="V41" s="831"/>
    </row>
    <row r="42" spans="1:23" ht="13.5" customHeight="1">
      <c r="A42" s="852"/>
      <c r="B42" s="844"/>
      <c r="C42" s="844"/>
      <c r="D42" s="844"/>
      <c r="E42" s="844"/>
      <c r="F42" s="844"/>
      <c r="G42" s="844"/>
      <c r="H42" s="831"/>
      <c r="I42" s="831"/>
      <c r="J42" s="831"/>
      <c r="K42" s="831"/>
      <c r="L42" s="831"/>
      <c r="M42" s="831"/>
      <c r="N42" s="831"/>
      <c r="O42" s="831"/>
      <c r="P42" s="831"/>
      <c r="Q42" s="831"/>
      <c r="R42" s="831"/>
      <c r="S42" s="831"/>
      <c r="T42" s="831"/>
      <c r="U42" s="831"/>
      <c r="V42" s="831"/>
    </row>
    <row r="43" spans="1:23" ht="13.5" customHeight="1">
      <c r="A43" s="852"/>
      <c r="B43" s="844" t="s">
        <v>3</v>
      </c>
      <c r="C43" s="844"/>
      <c r="D43" s="844"/>
      <c r="E43" s="844"/>
      <c r="F43" s="844"/>
      <c r="G43" s="844"/>
      <c r="H43" s="831" t="str">
        <f>+H13</f>
        <v>はぐくみ学童クラブ</v>
      </c>
      <c r="I43" s="831"/>
      <c r="J43" s="831"/>
      <c r="K43" s="831"/>
      <c r="L43" s="831"/>
      <c r="M43" s="831"/>
      <c r="N43" s="831"/>
      <c r="O43" s="831"/>
      <c r="P43" s="831"/>
      <c r="Q43" s="831"/>
      <c r="R43" s="831"/>
      <c r="S43" s="831"/>
      <c r="T43" s="831"/>
      <c r="U43" s="831"/>
      <c r="V43" s="831"/>
    </row>
    <row r="44" spans="1:23" ht="13.5" customHeight="1">
      <c r="A44" s="852"/>
      <c r="B44" s="844"/>
      <c r="C44" s="844"/>
      <c r="D44" s="844"/>
      <c r="E44" s="844"/>
      <c r="F44" s="844"/>
      <c r="G44" s="844"/>
      <c r="H44" s="831"/>
      <c r="I44" s="831"/>
      <c r="J44" s="831"/>
      <c r="K44" s="831"/>
      <c r="L44" s="831"/>
      <c r="M44" s="831"/>
      <c r="N44" s="831"/>
      <c r="O44" s="831"/>
      <c r="P44" s="831"/>
      <c r="Q44" s="831"/>
      <c r="R44" s="831"/>
      <c r="S44" s="831"/>
      <c r="T44" s="831"/>
      <c r="U44" s="831"/>
      <c r="V44" s="831"/>
    </row>
    <row r="45" spans="1:23" ht="13.5" customHeight="1">
      <c r="A45" s="852"/>
      <c r="B45" s="844"/>
      <c r="C45" s="844"/>
      <c r="D45" s="844"/>
      <c r="E45" s="844"/>
      <c r="F45" s="844"/>
      <c r="G45" s="844"/>
      <c r="H45" s="831"/>
      <c r="I45" s="831"/>
      <c r="J45" s="831"/>
      <c r="K45" s="831"/>
      <c r="L45" s="831"/>
      <c r="M45" s="831"/>
      <c r="N45" s="831"/>
      <c r="O45" s="831"/>
      <c r="P45" s="831"/>
      <c r="Q45" s="831"/>
      <c r="R45" s="831"/>
      <c r="S45" s="831"/>
      <c r="T45" s="831"/>
      <c r="U45" s="831"/>
      <c r="V45" s="831"/>
    </row>
    <row r="46" spans="1:23" ht="13.5" customHeight="1">
      <c r="A46" s="852"/>
      <c r="B46" s="844" t="s">
        <v>56</v>
      </c>
      <c r="C46" s="844"/>
      <c r="D46" s="844"/>
      <c r="E46" s="844"/>
      <c r="F46" s="844"/>
      <c r="G46" s="844"/>
      <c r="H46" s="832" t="str">
        <f>+H16</f>
        <v>（役職）</v>
      </c>
      <c r="I46" s="833"/>
      <c r="J46" s="838" t="str">
        <f>+J16</f>
        <v>運営委員長</v>
      </c>
      <c r="K46" s="838"/>
      <c r="L46" s="838"/>
      <c r="M46" s="838"/>
      <c r="N46" s="838"/>
      <c r="O46" s="838"/>
      <c r="P46" s="838"/>
      <c r="Q46" s="838"/>
      <c r="R46" s="838"/>
      <c r="S46" s="838"/>
      <c r="T46" s="838"/>
      <c r="U46" s="68"/>
      <c r="V46" s="69"/>
    </row>
    <row r="47" spans="1:23" ht="13.5" customHeight="1">
      <c r="A47" s="852"/>
      <c r="B47" s="844"/>
      <c r="C47" s="844"/>
      <c r="D47" s="844"/>
      <c r="E47" s="844"/>
      <c r="F47" s="844"/>
      <c r="G47" s="844"/>
      <c r="H47" s="834"/>
      <c r="I47" s="835"/>
      <c r="J47" s="839"/>
      <c r="K47" s="839"/>
      <c r="L47" s="839"/>
      <c r="M47" s="839"/>
      <c r="N47" s="839"/>
      <c r="O47" s="839"/>
      <c r="P47" s="839"/>
      <c r="Q47" s="839"/>
      <c r="R47" s="839"/>
      <c r="S47" s="839"/>
      <c r="T47" s="839"/>
      <c r="U47" s="70"/>
      <c r="V47" s="71"/>
    </row>
    <row r="48" spans="1:23" ht="13.5" customHeight="1">
      <c r="A48" s="852"/>
      <c r="B48" s="844"/>
      <c r="C48" s="844"/>
      <c r="D48" s="844"/>
      <c r="E48" s="844"/>
      <c r="F48" s="844"/>
      <c r="G48" s="844"/>
      <c r="H48" s="834" t="s">
        <v>106</v>
      </c>
      <c r="I48" s="835"/>
      <c r="J48" s="838" t="str">
        <f>+J18</f>
        <v>横須賀　花子</v>
      </c>
      <c r="K48" s="838"/>
      <c r="L48" s="838"/>
      <c r="M48" s="838"/>
      <c r="N48" s="838"/>
      <c r="O48" s="838"/>
      <c r="P48" s="838"/>
      <c r="Q48" s="838"/>
      <c r="R48" s="838"/>
      <c r="S48" s="838"/>
      <c r="T48" s="838"/>
      <c r="U48" s="70"/>
      <c r="V48" s="71"/>
    </row>
    <row r="49" spans="1:22" ht="13.5" customHeight="1">
      <c r="A49" s="852"/>
      <c r="B49" s="844"/>
      <c r="C49" s="844"/>
      <c r="D49" s="844"/>
      <c r="E49" s="844"/>
      <c r="F49" s="844"/>
      <c r="G49" s="844"/>
      <c r="H49" s="836"/>
      <c r="I49" s="837"/>
      <c r="J49" s="839"/>
      <c r="K49" s="839"/>
      <c r="L49" s="839"/>
      <c r="M49" s="839"/>
      <c r="N49" s="839"/>
      <c r="O49" s="839"/>
      <c r="P49" s="839"/>
      <c r="Q49" s="839"/>
      <c r="R49" s="839"/>
      <c r="S49" s="839"/>
      <c r="T49" s="839"/>
      <c r="U49" s="72"/>
      <c r="V49" s="73"/>
    </row>
    <row r="52" spans="1:22">
      <c r="B52" s="856" t="s">
        <v>61</v>
      </c>
      <c r="C52" s="857"/>
      <c r="D52" s="857"/>
      <c r="E52" s="857"/>
      <c r="F52" s="857"/>
      <c r="G52" s="857"/>
      <c r="H52" s="857"/>
      <c r="I52" s="857"/>
      <c r="J52" s="857"/>
      <c r="K52" s="857"/>
      <c r="L52" s="857"/>
      <c r="M52" s="857"/>
      <c r="N52" s="857"/>
      <c r="O52" s="857"/>
      <c r="P52" s="857"/>
      <c r="Q52" s="857"/>
      <c r="R52" s="857"/>
      <c r="S52" s="857"/>
      <c r="T52" s="857"/>
      <c r="U52" s="857"/>
      <c r="V52" s="858"/>
    </row>
    <row r="53" spans="1:22">
      <c r="B53" s="859"/>
      <c r="C53" s="860"/>
      <c r="D53" s="860"/>
      <c r="E53" s="860"/>
      <c r="F53" s="860"/>
      <c r="G53" s="860"/>
      <c r="H53" s="860"/>
      <c r="I53" s="860"/>
      <c r="J53" s="860"/>
      <c r="K53" s="860"/>
      <c r="L53" s="860"/>
      <c r="M53" s="860"/>
      <c r="N53" s="860"/>
      <c r="O53" s="860"/>
      <c r="P53" s="860"/>
      <c r="Q53" s="860"/>
      <c r="R53" s="860"/>
      <c r="S53" s="860"/>
      <c r="T53" s="860"/>
      <c r="U53" s="860"/>
      <c r="V53" s="861"/>
    </row>
    <row r="54" spans="1:22" ht="13.15" customHeight="1">
      <c r="B54" s="862" t="s">
        <v>573</v>
      </c>
      <c r="C54" s="863"/>
      <c r="D54" s="863"/>
      <c r="E54" s="863"/>
      <c r="F54" s="863"/>
      <c r="G54" s="864"/>
      <c r="H54" s="871" t="s">
        <v>94</v>
      </c>
      <c r="I54" s="872"/>
      <c r="J54" s="872"/>
      <c r="K54" s="873"/>
      <c r="L54" s="862" t="s">
        <v>574</v>
      </c>
      <c r="M54" s="863"/>
      <c r="N54" s="863"/>
      <c r="O54" s="863"/>
      <c r="P54" s="863"/>
      <c r="Q54" s="863"/>
      <c r="R54" s="864"/>
      <c r="S54" s="871" t="s">
        <v>96</v>
      </c>
      <c r="T54" s="872"/>
      <c r="U54" s="872"/>
      <c r="V54" s="873"/>
    </row>
    <row r="55" spans="1:22" ht="11.25" customHeight="1">
      <c r="B55" s="865"/>
      <c r="C55" s="866"/>
      <c r="D55" s="866"/>
      <c r="E55" s="866"/>
      <c r="F55" s="866"/>
      <c r="G55" s="867"/>
      <c r="H55" s="874"/>
      <c r="I55" s="875"/>
      <c r="J55" s="875"/>
      <c r="K55" s="876"/>
      <c r="L55" s="865"/>
      <c r="M55" s="866"/>
      <c r="N55" s="866"/>
      <c r="O55" s="866"/>
      <c r="P55" s="866"/>
      <c r="Q55" s="866"/>
      <c r="R55" s="867"/>
      <c r="S55" s="874"/>
      <c r="T55" s="875"/>
      <c r="U55" s="875"/>
      <c r="V55" s="876"/>
    </row>
    <row r="56" spans="1:22" ht="11.25" customHeight="1">
      <c r="B56" s="865"/>
      <c r="C56" s="866"/>
      <c r="D56" s="866"/>
      <c r="E56" s="866"/>
      <c r="F56" s="866"/>
      <c r="G56" s="867"/>
      <c r="H56" s="874" t="s">
        <v>95</v>
      </c>
      <c r="I56" s="875"/>
      <c r="J56" s="875"/>
      <c r="K56" s="876"/>
      <c r="L56" s="865"/>
      <c r="M56" s="866"/>
      <c r="N56" s="866"/>
      <c r="O56" s="866"/>
      <c r="P56" s="866"/>
      <c r="Q56" s="866"/>
      <c r="R56" s="867"/>
      <c r="S56" s="874" t="s">
        <v>97</v>
      </c>
      <c r="T56" s="875"/>
      <c r="U56" s="875"/>
      <c r="V56" s="876"/>
    </row>
    <row r="57" spans="1:22" ht="13.15" customHeight="1">
      <c r="B57" s="868"/>
      <c r="C57" s="869"/>
      <c r="D57" s="869"/>
      <c r="E57" s="869"/>
      <c r="F57" s="869"/>
      <c r="G57" s="870"/>
      <c r="H57" s="877"/>
      <c r="I57" s="878"/>
      <c r="J57" s="878"/>
      <c r="K57" s="879"/>
      <c r="L57" s="868"/>
      <c r="M57" s="869"/>
      <c r="N57" s="869"/>
      <c r="O57" s="869"/>
      <c r="P57" s="869"/>
      <c r="Q57" s="869"/>
      <c r="R57" s="870"/>
      <c r="S57" s="877"/>
      <c r="T57" s="878"/>
      <c r="U57" s="878"/>
      <c r="V57" s="879"/>
    </row>
    <row r="58" spans="1:22" ht="14.25">
      <c r="B58" s="841" t="s">
        <v>62</v>
      </c>
      <c r="C58" s="841"/>
      <c r="D58" s="841"/>
      <c r="E58" s="841"/>
      <c r="F58" s="841"/>
      <c r="G58" s="841"/>
      <c r="H58" s="841"/>
      <c r="I58" s="880" t="s">
        <v>63</v>
      </c>
      <c r="J58" s="881"/>
      <c r="K58" s="881"/>
      <c r="L58" s="881"/>
      <c r="M58" s="881"/>
      <c r="N58" s="881"/>
      <c r="O58" s="881"/>
      <c r="P58" s="881"/>
      <c r="Q58" s="881"/>
      <c r="R58" s="881"/>
      <c r="S58" s="881"/>
      <c r="T58" s="881"/>
      <c r="U58" s="881"/>
      <c r="V58" s="882"/>
    </row>
    <row r="59" spans="1:22" ht="14.25" customHeight="1">
      <c r="B59" s="840" t="s">
        <v>98</v>
      </c>
      <c r="C59" s="840"/>
      <c r="D59" s="840"/>
      <c r="E59" s="840"/>
      <c r="F59" s="840"/>
      <c r="G59" s="840"/>
      <c r="H59" s="840"/>
      <c r="I59" s="841" t="s">
        <v>575</v>
      </c>
      <c r="J59" s="841"/>
      <c r="K59" s="841" t="s">
        <v>575</v>
      </c>
      <c r="L59" s="841"/>
      <c r="M59" s="841" t="s">
        <v>575</v>
      </c>
      <c r="N59" s="841"/>
      <c r="O59" s="841" t="s">
        <v>575</v>
      </c>
      <c r="P59" s="841"/>
      <c r="Q59" s="841" t="s">
        <v>575</v>
      </c>
      <c r="R59" s="841"/>
      <c r="S59" s="841" t="s">
        <v>575</v>
      </c>
      <c r="T59" s="841"/>
      <c r="U59" s="841" t="s">
        <v>575</v>
      </c>
      <c r="V59" s="841"/>
    </row>
    <row r="60" spans="1:22" ht="11.25" customHeight="1">
      <c r="B60" s="840"/>
      <c r="C60" s="840"/>
      <c r="D60" s="840"/>
      <c r="E60" s="840"/>
      <c r="F60" s="840"/>
      <c r="G60" s="840"/>
      <c r="H60" s="840"/>
      <c r="I60" s="841"/>
      <c r="J60" s="841"/>
      <c r="K60" s="841"/>
      <c r="L60" s="841"/>
      <c r="M60" s="841"/>
      <c r="N60" s="841"/>
      <c r="O60" s="841"/>
      <c r="P60" s="841"/>
      <c r="Q60" s="841"/>
      <c r="R60" s="841"/>
      <c r="S60" s="841"/>
      <c r="T60" s="841"/>
      <c r="U60" s="841"/>
      <c r="V60" s="841"/>
    </row>
    <row r="61" spans="1:22" ht="11.25" customHeight="1">
      <c r="B61" s="840" t="s">
        <v>99</v>
      </c>
      <c r="C61" s="840"/>
      <c r="D61" s="840"/>
      <c r="E61" s="840"/>
      <c r="F61" s="840"/>
      <c r="G61" s="840"/>
      <c r="H61" s="840"/>
      <c r="I61" s="841"/>
      <c r="J61" s="841"/>
      <c r="K61" s="841"/>
      <c r="L61" s="841"/>
      <c r="M61" s="841"/>
      <c r="N61" s="841"/>
      <c r="O61" s="841"/>
      <c r="P61" s="841"/>
      <c r="Q61" s="841"/>
      <c r="R61" s="841"/>
      <c r="S61" s="841"/>
      <c r="T61" s="841"/>
      <c r="U61" s="841"/>
      <c r="V61" s="841"/>
    </row>
    <row r="62" spans="1:22" ht="14.25" customHeight="1">
      <c r="B62" s="840"/>
      <c r="C62" s="840"/>
      <c r="D62" s="840"/>
      <c r="E62" s="840"/>
      <c r="F62" s="840"/>
      <c r="G62" s="840"/>
      <c r="H62" s="840"/>
      <c r="I62" s="841"/>
      <c r="J62" s="841"/>
      <c r="K62" s="841"/>
      <c r="L62" s="841"/>
      <c r="M62" s="841"/>
      <c r="N62" s="841"/>
      <c r="O62" s="841"/>
      <c r="P62" s="841"/>
      <c r="Q62" s="841"/>
      <c r="R62" s="841"/>
      <c r="S62" s="841"/>
      <c r="T62" s="841"/>
      <c r="U62" s="841"/>
      <c r="V62" s="841"/>
    </row>
    <row r="63" spans="1:22" ht="14.25" customHeight="1">
      <c r="B63" s="841" t="s">
        <v>67</v>
      </c>
      <c r="C63" s="841"/>
      <c r="D63" s="841"/>
      <c r="E63" s="841"/>
      <c r="F63" s="841"/>
      <c r="G63" s="841" t="s">
        <v>576</v>
      </c>
      <c r="H63" s="841"/>
      <c r="I63" s="841"/>
      <c r="J63" s="841"/>
      <c r="K63" s="841"/>
      <c r="L63" s="841"/>
      <c r="M63" s="841"/>
      <c r="N63" s="841"/>
      <c r="O63" s="841"/>
      <c r="P63" s="841"/>
      <c r="Q63" s="841"/>
      <c r="R63" s="841"/>
      <c r="S63" s="841"/>
      <c r="T63" s="841"/>
      <c r="U63" s="841"/>
      <c r="V63" s="841"/>
    </row>
    <row r="64" spans="1:22" ht="14.25" customHeight="1">
      <c r="B64" s="841"/>
      <c r="C64" s="841"/>
      <c r="D64" s="841"/>
      <c r="E64" s="841"/>
      <c r="F64" s="841"/>
      <c r="G64" s="841"/>
      <c r="H64" s="841"/>
      <c r="I64" s="841"/>
      <c r="J64" s="841"/>
      <c r="K64" s="841"/>
      <c r="L64" s="841"/>
      <c r="M64" s="841"/>
      <c r="N64" s="841"/>
      <c r="O64" s="841"/>
      <c r="P64" s="841"/>
      <c r="Q64" s="841"/>
      <c r="R64" s="841"/>
      <c r="S64" s="841"/>
      <c r="T64" s="841"/>
      <c r="U64" s="841"/>
      <c r="V64" s="841"/>
    </row>
    <row r="65" spans="2:22" ht="14.25" customHeight="1">
      <c r="B65" s="841" t="s">
        <v>64</v>
      </c>
      <c r="C65" s="841"/>
      <c r="D65" s="841"/>
      <c r="E65" s="841"/>
      <c r="F65" s="841"/>
      <c r="G65" s="841" t="s">
        <v>577</v>
      </c>
      <c r="H65" s="841"/>
      <c r="I65" s="841"/>
      <c r="J65" s="841"/>
      <c r="K65" s="841"/>
      <c r="L65" s="841"/>
      <c r="M65" s="841"/>
      <c r="N65" s="841"/>
      <c r="O65" s="841"/>
      <c r="P65" s="841"/>
      <c r="Q65" s="841"/>
      <c r="R65" s="841"/>
      <c r="S65" s="841"/>
      <c r="T65" s="841"/>
      <c r="U65" s="841"/>
      <c r="V65" s="841"/>
    </row>
    <row r="66" spans="2:22" ht="14.25" customHeight="1">
      <c r="B66" s="841"/>
      <c r="C66" s="841"/>
      <c r="D66" s="841"/>
      <c r="E66" s="841"/>
      <c r="F66" s="841"/>
      <c r="G66" s="841"/>
      <c r="H66" s="841"/>
      <c r="I66" s="841"/>
      <c r="J66" s="841"/>
      <c r="K66" s="841"/>
      <c r="L66" s="841"/>
      <c r="M66" s="841"/>
      <c r="N66" s="841"/>
      <c r="O66" s="841"/>
      <c r="P66" s="841"/>
      <c r="Q66" s="841"/>
      <c r="R66" s="841"/>
      <c r="S66" s="841"/>
      <c r="T66" s="841"/>
      <c r="U66" s="841"/>
      <c r="V66" s="841"/>
    </row>
    <row r="67" spans="2:22" ht="13.5" hidden="1" customHeight="1">
      <c r="B67" s="826" t="s">
        <v>68</v>
      </c>
      <c r="C67" s="826"/>
      <c r="D67" s="826"/>
      <c r="E67" s="826"/>
      <c r="F67" s="826"/>
      <c r="G67" s="826" t="s">
        <v>65</v>
      </c>
      <c r="H67" s="826"/>
      <c r="I67" s="826"/>
      <c r="J67" s="826"/>
      <c r="K67" s="826"/>
      <c r="L67" s="826"/>
      <c r="M67" s="826"/>
      <c r="N67" s="826"/>
      <c r="O67" s="826" t="s">
        <v>66</v>
      </c>
      <c r="P67" s="826"/>
      <c r="Q67" s="826"/>
      <c r="R67" s="826"/>
      <c r="S67" s="826"/>
      <c r="T67" s="826"/>
      <c r="U67" s="826"/>
      <c r="V67" s="826"/>
    </row>
    <row r="68" spans="2:22" ht="13.5" hidden="1" customHeight="1">
      <c r="B68" s="826"/>
      <c r="C68" s="826"/>
      <c r="D68" s="826"/>
      <c r="E68" s="826"/>
      <c r="F68" s="826"/>
      <c r="G68" s="826"/>
      <c r="H68" s="826"/>
      <c r="I68" s="826"/>
      <c r="J68" s="826"/>
      <c r="K68" s="826"/>
      <c r="L68" s="826"/>
      <c r="M68" s="826"/>
      <c r="N68" s="826"/>
      <c r="O68" s="826"/>
      <c r="P68" s="826"/>
      <c r="Q68" s="826"/>
      <c r="R68" s="826"/>
      <c r="S68" s="826"/>
      <c r="T68" s="826"/>
      <c r="U68" s="826"/>
      <c r="V68" s="826"/>
    </row>
  </sheetData>
  <mergeCells count="64">
    <mergeCell ref="B67:F68"/>
    <mergeCell ref="B40:G42"/>
    <mergeCell ref="O67:R68"/>
    <mergeCell ref="S67:V68"/>
    <mergeCell ref="G65:V66"/>
    <mergeCell ref="G63:V64"/>
    <mergeCell ref="B52:V53"/>
    <mergeCell ref="B54:G57"/>
    <mergeCell ref="H54:K55"/>
    <mergeCell ref="H56:K57"/>
    <mergeCell ref="S54:V55"/>
    <mergeCell ref="S56:V57"/>
    <mergeCell ref="L54:R57"/>
    <mergeCell ref="B58:H58"/>
    <mergeCell ref="I58:V58"/>
    <mergeCell ref="B63:F64"/>
    <mergeCell ref="B65:F66"/>
    <mergeCell ref="J18:T19"/>
    <mergeCell ref="G67:J68"/>
    <mergeCell ref="K67:N68"/>
    <mergeCell ref="A5:W5"/>
    <mergeCell ref="B32:V33"/>
    <mergeCell ref="D10:G12"/>
    <mergeCell ref="A35:W35"/>
    <mergeCell ref="A36:W38"/>
    <mergeCell ref="A10:A19"/>
    <mergeCell ref="A40:A49"/>
    <mergeCell ref="H40:V42"/>
    <mergeCell ref="H43:V45"/>
    <mergeCell ref="B26:V27"/>
    <mergeCell ref="B29:D30"/>
    <mergeCell ref="E29:S30"/>
    <mergeCell ref="T29:U30"/>
    <mergeCell ref="B43:G45"/>
    <mergeCell ref="B46:G49"/>
    <mergeCell ref="H46:I47"/>
    <mergeCell ref="H48:I49"/>
    <mergeCell ref="J46:T47"/>
    <mergeCell ref="J48:T49"/>
    <mergeCell ref="B59:H60"/>
    <mergeCell ref="Q59:R62"/>
    <mergeCell ref="S59:T62"/>
    <mergeCell ref="U59:V62"/>
    <mergeCell ref="B61:H62"/>
    <mergeCell ref="I59:J62"/>
    <mergeCell ref="K59:L62"/>
    <mergeCell ref="M59:N62"/>
    <mergeCell ref="O59:P62"/>
    <mergeCell ref="L20:V20"/>
    <mergeCell ref="L21:V22"/>
    <mergeCell ref="L23:V23"/>
    <mergeCell ref="L24:V25"/>
    <mergeCell ref="B10:C25"/>
    <mergeCell ref="D20:K20"/>
    <mergeCell ref="D21:K22"/>
    <mergeCell ref="D23:K23"/>
    <mergeCell ref="D24:K25"/>
    <mergeCell ref="D13:G15"/>
    <mergeCell ref="D16:G19"/>
    <mergeCell ref="H10:V12"/>
    <mergeCell ref="H13:V15"/>
    <mergeCell ref="H16:I17"/>
    <mergeCell ref="H18:I19"/>
    <mergeCell ref="J16:T17"/>
  </mergeCells>
  <phoneticPr fontId="1"/>
  <printOptions horizontalCentered="1" verticalCentered="1"/>
  <pageMargins left="0.70866141732283472" right="0.70866141732283472" top="0.55118110236220474" bottom="0.35433070866141736"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7</xdr:col>
                    <xdr:colOff>85725</xdr:colOff>
                    <xdr:row>53</xdr:row>
                    <xdr:rowOff>66675</xdr:rowOff>
                  </from>
                  <to>
                    <xdr:col>9</xdr:col>
                    <xdr:colOff>123825</xdr:colOff>
                    <xdr:row>54</xdr:row>
                    <xdr:rowOff>85725</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7</xdr:col>
                    <xdr:colOff>85725</xdr:colOff>
                    <xdr:row>55</xdr:row>
                    <xdr:rowOff>28575</xdr:rowOff>
                  </from>
                  <to>
                    <xdr:col>9</xdr:col>
                    <xdr:colOff>123825</xdr:colOff>
                    <xdr:row>56</xdr:row>
                    <xdr:rowOff>85725</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18</xdr:col>
                    <xdr:colOff>114300</xdr:colOff>
                    <xdr:row>55</xdr:row>
                    <xdr:rowOff>66675</xdr:rowOff>
                  </from>
                  <to>
                    <xdr:col>20</xdr:col>
                    <xdr:colOff>152400</xdr:colOff>
                    <xdr:row>56</xdr:row>
                    <xdr:rowOff>123825</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18</xdr:col>
                    <xdr:colOff>104775</xdr:colOff>
                    <xdr:row>53</xdr:row>
                    <xdr:rowOff>66675</xdr:rowOff>
                  </from>
                  <to>
                    <xdr:col>20</xdr:col>
                    <xdr:colOff>142875</xdr:colOff>
                    <xdr:row>54</xdr:row>
                    <xdr:rowOff>85725</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1</xdr:col>
                    <xdr:colOff>76200</xdr:colOff>
                    <xdr:row>60</xdr:row>
                    <xdr:rowOff>76200</xdr:rowOff>
                  </from>
                  <to>
                    <xdr:col>3</xdr:col>
                    <xdr:colOff>114300</xdr:colOff>
                    <xdr:row>61</xdr:row>
                    <xdr:rowOff>142875</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1</xdr:col>
                    <xdr:colOff>76200</xdr:colOff>
                    <xdr:row>58</xdr:row>
                    <xdr:rowOff>66675</xdr:rowOff>
                  </from>
                  <to>
                    <xdr:col>3</xdr:col>
                    <xdr:colOff>114300</xdr:colOff>
                    <xdr:row>59</xdr:row>
                    <xdr:rowOff>85725</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7</xdr:col>
                    <xdr:colOff>85725</xdr:colOff>
                    <xdr:row>53</xdr:row>
                    <xdr:rowOff>66675</xdr:rowOff>
                  </from>
                  <to>
                    <xdr:col>9</xdr:col>
                    <xdr:colOff>123825</xdr:colOff>
                    <xdr:row>54</xdr:row>
                    <xdr:rowOff>85725</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7</xdr:col>
                    <xdr:colOff>85725</xdr:colOff>
                    <xdr:row>55</xdr:row>
                    <xdr:rowOff>28575</xdr:rowOff>
                  </from>
                  <to>
                    <xdr:col>9</xdr:col>
                    <xdr:colOff>123825</xdr:colOff>
                    <xdr:row>56</xdr:row>
                    <xdr:rowOff>85725</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18</xdr:col>
                    <xdr:colOff>114300</xdr:colOff>
                    <xdr:row>55</xdr:row>
                    <xdr:rowOff>66675</xdr:rowOff>
                  </from>
                  <to>
                    <xdr:col>20</xdr:col>
                    <xdr:colOff>152400</xdr:colOff>
                    <xdr:row>56</xdr:row>
                    <xdr:rowOff>123825</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18</xdr:col>
                    <xdr:colOff>104775</xdr:colOff>
                    <xdr:row>53</xdr:row>
                    <xdr:rowOff>66675</xdr:rowOff>
                  </from>
                  <to>
                    <xdr:col>20</xdr:col>
                    <xdr:colOff>142875</xdr:colOff>
                    <xdr:row>54</xdr:row>
                    <xdr:rowOff>85725</xdr:rowOff>
                  </to>
                </anchor>
              </controlPr>
            </control>
          </mc:Choice>
        </mc:AlternateContent>
        <mc:AlternateContent xmlns:mc="http://schemas.openxmlformats.org/markup-compatibility/2006">
          <mc:Choice Requires="x14">
            <control shapeId="17419" r:id="rId14" name="Check Box 11">
              <controlPr defaultSize="0" autoFill="0" autoLine="0" autoPict="0">
                <anchor moveWithCells="1">
                  <from>
                    <xdr:col>1</xdr:col>
                    <xdr:colOff>76200</xdr:colOff>
                    <xdr:row>60</xdr:row>
                    <xdr:rowOff>76200</xdr:rowOff>
                  </from>
                  <to>
                    <xdr:col>3</xdr:col>
                    <xdr:colOff>114300</xdr:colOff>
                    <xdr:row>61</xdr:row>
                    <xdr:rowOff>142875</xdr:rowOff>
                  </to>
                </anchor>
              </controlPr>
            </control>
          </mc:Choice>
        </mc:AlternateContent>
        <mc:AlternateContent xmlns:mc="http://schemas.openxmlformats.org/markup-compatibility/2006">
          <mc:Choice Requires="x14">
            <control shapeId="17420" r:id="rId15" name="Check Box 12">
              <controlPr defaultSize="0" autoFill="0" autoLine="0" autoPict="0">
                <anchor moveWithCells="1">
                  <from>
                    <xdr:col>1</xdr:col>
                    <xdr:colOff>76200</xdr:colOff>
                    <xdr:row>58</xdr:row>
                    <xdr:rowOff>66675</xdr:rowOff>
                  </from>
                  <to>
                    <xdr:col>3</xdr:col>
                    <xdr:colOff>114300</xdr:colOff>
                    <xdr:row>59</xdr:row>
                    <xdr:rowOff>85725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AC967-57E2-4AAF-8ECA-1C3ABB2E9137}">
  <sheetPr>
    <pageSetUpPr fitToPage="1"/>
  </sheetPr>
  <dimension ref="A1:AO54"/>
  <sheetViews>
    <sheetView view="pageBreakPreview" zoomScaleNormal="145" zoomScaleSheetLayoutView="100" workbookViewId="0">
      <selection activeCell="G44" sqref="G44:Y44"/>
    </sheetView>
  </sheetViews>
  <sheetFormatPr defaultColWidth="9" defaultRowHeight="14.25"/>
  <cols>
    <col min="1" max="65" width="3.875" style="490" customWidth="1"/>
    <col min="66" max="70" width="9" style="490" customWidth="1"/>
    <col min="71" max="16384" width="9" style="490"/>
  </cols>
  <sheetData>
    <row r="1" spans="1:29">
      <c r="A1" s="490" t="s">
        <v>453</v>
      </c>
      <c r="Y1" s="491"/>
      <c r="Z1" s="491"/>
    </row>
    <row r="2" spans="1:29">
      <c r="Y2" s="491"/>
      <c r="Z2" s="491"/>
    </row>
    <row r="3" spans="1:29" ht="17.25">
      <c r="A3" s="1004" t="s">
        <v>70</v>
      </c>
      <c r="B3" s="1004"/>
      <c r="C3" s="1004"/>
      <c r="D3" s="1004"/>
      <c r="E3" s="1004"/>
      <c r="F3" s="1004"/>
      <c r="G3" s="1004"/>
      <c r="H3" s="1004"/>
      <c r="I3" s="1004"/>
      <c r="J3" s="1004"/>
      <c r="K3" s="1004"/>
      <c r="L3" s="1004"/>
      <c r="M3" s="1004"/>
      <c r="N3" s="1004"/>
      <c r="O3" s="1004"/>
      <c r="P3" s="1004"/>
      <c r="Q3" s="1004"/>
      <c r="R3" s="1004"/>
      <c r="S3" s="1004"/>
      <c r="T3" s="1004"/>
      <c r="U3" s="1004"/>
      <c r="V3" s="1004"/>
      <c r="W3" s="1004"/>
      <c r="X3" s="1004"/>
      <c r="Y3" s="491"/>
      <c r="Z3" s="491"/>
    </row>
    <row r="4" spans="1:29">
      <c r="B4" s="492"/>
      <c r="C4" s="493"/>
      <c r="D4" s="493"/>
      <c r="E4" s="493"/>
      <c r="F4" s="493"/>
      <c r="G4" s="493"/>
      <c r="H4" s="493"/>
      <c r="I4" s="493"/>
      <c r="J4" s="493"/>
      <c r="K4" s="493"/>
      <c r="L4" s="493"/>
      <c r="M4" s="493"/>
      <c r="N4" s="493"/>
      <c r="O4" s="493"/>
      <c r="P4" s="493"/>
      <c r="Q4" s="493"/>
      <c r="R4" s="493"/>
      <c r="S4" s="493"/>
      <c r="T4" s="493"/>
      <c r="U4" s="493"/>
      <c r="V4" s="493"/>
      <c r="W4" s="493"/>
      <c r="X4" s="493"/>
      <c r="Y4" s="494"/>
    </row>
    <row r="5" spans="1:29">
      <c r="B5" s="495"/>
      <c r="S5" s="496"/>
      <c r="T5" s="496"/>
      <c r="U5" s="496"/>
      <c r="V5" s="496"/>
      <c r="W5" s="496"/>
      <c r="X5" s="496"/>
      <c r="Y5" s="497"/>
    </row>
    <row r="6" spans="1:29">
      <c r="B6" s="495"/>
      <c r="Y6" s="497"/>
    </row>
    <row r="7" spans="1:29">
      <c r="B7" s="495"/>
      <c r="C7" s="490" t="s">
        <v>71</v>
      </c>
      <c r="Y7" s="497"/>
    </row>
    <row r="8" spans="1:29">
      <c r="B8" s="495"/>
      <c r="Y8" s="497"/>
      <c r="AC8" s="490" t="s">
        <v>484</v>
      </c>
    </row>
    <row r="9" spans="1:29" ht="24" customHeight="1">
      <c r="B9" s="495"/>
      <c r="C9" s="887" t="s">
        <v>57</v>
      </c>
      <c r="D9" s="887"/>
      <c r="E9" s="887"/>
      <c r="F9" s="1005" t="s">
        <v>40</v>
      </c>
      <c r="G9" s="1005"/>
      <c r="H9" s="1005"/>
      <c r="I9" s="1005"/>
      <c r="J9" s="997"/>
      <c r="K9" s="997"/>
      <c r="L9" s="997"/>
      <c r="M9" s="997"/>
      <c r="N9" s="997"/>
      <c r="O9" s="997"/>
      <c r="P9" s="997"/>
      <c r="Q9" s="997"/>
      <c r="R9" s="997"/>
      <c r="S9" s="997"/>
      <c r="T9" s="997"/>
      <c r="U9" s="997"/>
      <c r="V9" s="997"/>
      <c r="W9" s="997"/>
      <c r="X9" s="997"/>
      <c r="Y9" s="1006"/>
      <c r="AC9" s="490" t="s">
        <v>499</v>
      </c>
    </row>
    <row r="10" spans="1:29" ht="24" customHeight="1">
      <c r="B10" s="495"/>
      <c r="C10" s="887"/>
      <c r="D10" s="887"/>
      <c r="E10" s="887"/>
      <c r="F10" s="1005" t="s">
        <v>421</v>
      </c>
      <c r="G10" s="1005"/>
      <c r="H10" s="1005"/>
      <c r="I10" s="1005"/>
      <c r="J10" s="1007" t="s">
        <v>531</v>
      </c>
      <c r="K10" s="1007"/>
      <c r="L10" s="1007"/>
      <c r="M10" s="1007"/>
      <c r="N10" s="1007"/>
      <c r="O10" s="1007"/>
      <c r="P10" s="1007"/>
      <c r="Q10" s="1007"/>
      <c r="R10" s="1007"/>
      <c r="S10" s="1007"/>
      <c r="T10" s="1007"/>
      <c r="U10" s="1007"/>
      <c r="V10" s="1007"/>
      <c r="W10" s="1007"/>
      <c r="X10" s="1007"/>
      <c r="Y10" s="1008"/>
    </row>
    <row r="11" spans="1:29">
      <c r="B11" s="495"/>
      <c r="C11" s="887"/>
      <c r="D11" s="887"/>
      <c r="E11" s="887"/>
      <c r="F11" s="1005" t="s">
        <v>56</v>
      </c>
      <c r="G11" s="1005"/>
      <c r="H11" s="1005"/>
      <c r="I11" s="1005"/>
      <c r="J11" s="1010" t="s">
        <v>100</v>
      </c>
      <c r="K11" s="1010"/>
      <c r="L11" s="997"/>
      <c r="M11" s="997"/>
      <c r="N11" s="997"/>
      <c r="O11" s="997"/>
      <c r="P11" s="997"/>
      <c r="Q11" s="997"/>
      <c r="R11" s="997"/>
      <c r="S11" s="997"/>
      <c r="T11" s="997"/>
      <c r="U11" s="997"/>
      <c r="V11" s="997"/>
      <c r="W11" s="997"/>
      <c r="X11" s="498"/>
      <c r="Y11" s="499"/>
    </row>
    <row r="12" spans="1:29">
      <c r="B12" s="495"/>
      <c r="C12" s="887"/>
      <c r="D12" s="887"/>
      <c r="E12" s="887"/>
      <c r="F12" s="1005"/>
      <c r="G12" s="1005"/>
      <c r="H12" s="1005"/>
      <c r="I12" s="1005"/>
      <c r="J12" s="1010"/>
      <c r="K12" s="1010"/>
      <c r="L12" s="998"/>
      <c r="M12" s="998"/>
      <c r="N12" s="998"/>
      <c r="O12" s="998"/>
      <c r="P12" s="998"/>
      <c r="Q12" s="998"/>
      <c r="R12" s="998"/>
      <c r="S12" s="998"/>
      <c r="T12" s="998"/>
      <c r="U12" s="998"/>
      <c r="V12" s="998"/>
      <c r="W12" s="998"/>
      <c r="X12" s="498"/>
      <c r="Y12" s="499"/>
    </row>
    <row r="13" spans="1:29">
      <c r="B13" s="495"/>
      <c r="C13" s="887"/>
      <c r="D13" s="887"/>
      <c r="E13" s="887"/>
      <c r="F13" s="1005"/>
      <c r="G13" s="1005"/>
      <c r="H13" s="1005"/>
      <c r="I13" s="1005"/>
      <c r="J13" s="1010" t="s">
        <v>101</v>
      </c>
      <c r="K13" s="1010"/>
      <c r="L13" s="997"/>
      <c r="M13" s="997"/>
      <c r="N13" s="997"/>
      <c r="O13" s="997"/>
      <c r="P13" s="997"/>
      <c r="Q13" s="997"/>
      <c r="R13" s="997"/>
      <c r="S13" s="997"/>
      <c r="T13" s="997"/>
      <c r="U13" s="997"/>
      <c r="V13" s="997"/>
      <c r="W13" s="997"/>
      <c r="X13" s="498"/>
      <c r="Y13" s="499"/>
    </row>
    <row r="14" spans="1:29">
      <c r="B14" s="500"/>
      <c r="C14" s="890"/>
      <c r="D14" s="890"/>
      <c r="E14" s="890"/>
      <c r="F14" s="1009"/>
      <c r="G14" s="1009"/>
      <c r="H14" s="1009"/>
      <c r="I14" s="1009"/>
      <c r="J14" s="1011"/>
      <c r="K14" s="1011"/>
      <c r="L14" s="998"/>
      <c r="M14" s="998"/>
      <c r="N14" s="998"/>
      <c r="O14" s="998"/>
      <c r="P14" s="998"/>
      <c r="Q14" s="998"/>
      <c r="R14" s="998"/>
      <c r="S14" s="998"/>
      <c r="T14" s="998"/>
      <c r="U14" s="998"/>
      <c r="V14" s="998"/>
      <c r="W14" s="998"/>
      <c r="X14" s="501"/>
      <c r="Y14" s="502"/>
    </row>
    <row r="15" spans="1:29" ht="22.5" customHeight="1">
      <c r="B15" s="999" t="s">
        <v>72</v>
      </c>
      <c r="C15" s="999"/>
      <c r="D15" s="999"/>
      <c r="E15" s="999"/>
      <c r="F15" s="999"/>
      <c r="G15" s="999"/>
      <c r="H15" s="1000" t="s">
        <v>608</v>
      </c>
      <c r="I15" s="1000"/>
      <c r="J15" s="1000"/>
      <c r="K15" s="1000"/>
      <c r="L15" s="1000"/>
      <c r="M15" s="1000"/>
      <c r="N15" s="1000"/>
      <c r="O15" s="1000"/>
      <c r="P15" s="1000"/>
      <c r="Q15" s="1000"/>
      <c r="R15" s="1000"/>
      <c r="S15" s="1000"/>
      <c r="T15" s="1000"/>
      <c r="U15" s="1000"/>
      <c r="V15" s="1000"/>
      <c r="W15" s="1000"/>
      <c r="X15" s="1000"/>
      <c r="Y15" s="1000"/>
    </row>
    <row r="16" spans="1:29" ht="22.5" customHeight="1">
      <c r="B16" s="1001" t="s">
        <v>73</v>
      </c>
      <c r="C16" s="1001"/>
      <c r="D16" s="1001"/>
      <c r="E16" s="1001"/>
      <c r="F16" s="1001"/>
      <c r="G16" s="1001"/>
      <c r="H16" s="1002" t="s">
        <v>107</v>
      </c>
      <c r="I16" s="1002"/>
      <c r="J16" s="1002"/>
      <c r="K16" s="1002"/>
      <c r="L16" s="1002"/>
      <c r="M16" s="1002"/>
      <c r="N16" s="1002"/>
      <c r="O16" s="1002"/>
      <c r="P16" s="1002"/>
      <c r="Q16" s="1002"/>
      <c r="R16" s="1002"/>
      <c r="S16" s="1002"/>
      <c r="T16" s="1002"/>
      <c r="U16" s="1002"/>
      <c r="V16" s="1002"/>
      <c r="W16" s="1002"/>
      <c r="X16" s="1002"/>
      <c r="Y16" s="1002"/>
    </row>
    <row r="17" spans="2:41" ht="22.5" customHeight="1" thickBot="1">
      <c r="B17" s="1001" t="s">
        <v>483</v>
      </c>
      <c r="C17" s="1001"/>
      <c r="D17" s="1001"/>
      <c r="E17" s="1001"/>
      <c r="F17" s="1001"/>
      <c r="G17" s="1001"/>
      <c r="H17" s="1003" t="s">
        <v>578</v>
      </c>
      <c r="I17" s="1003"/>
      <c r="J17" s="1003"/>
      <c r="K17" s="1003"/>
      <c r="L17" s="1003"/>
      <c r="M17" s="1003"/>
      <c r="N17" s="1003"/>
      <c r="O17" s="1003"/>
      <c r="P17" s="1003"/>
      <c r="Q17" s="1003"/>
      <c r="R17" s="1003"/>
      <c r="S17" s="1003"/>
      <c r="T17" s="1003"/>
      <c r="U17" s="1003"/>
      <c r="V17" s="1003"/>
      <c r="W17" s="1003"/>
      <c r="X17" s="1003"/>
      <c r="Y17" s="1003"/>
    </row>
    <row r="18" spans="2:41" ht="21.75" customHeight="1" thickBot="1">
      <c r="B18" s="943" t="s">
        <v>234</v>
      </c>
      <c r="C18" s="945" t="s">
        <v>28</v>
      </c>
      <c r="D18" s="946"/>
      <c r="E18" s="946"/>
      <c r="F18" s="946"/>
      <c r="G18" s="946"/>
      <c r="H18" s="946"/>
      <c r="I18" s="946"/>
      <c r="J18" s="947"/>
      <c r="K18" s="945" t="s">
        <v>115</v>
      </c>
      <c r="L18" s="946"/>
      <c r="M18" s="946"/>
      <c r="N18" s="946"/>
      <c r="O18" s="947"/>
      <c r="P18" s="948" t="s">
        <v>90</v>
      </c>
      <c r="Q18" s="949"/>
      <c r="R18" s="949"/>
      <c r="S18" s="949"/>
      <c r="T18" s="949"/>
      <c r="U18" s="948" t="s">
        <v>38</v>
      </c>
      <c r="V18" s="950"/>
      <c r="W18" s="950"/>
      <c r="X18" s="950"/>
      <c r="Y18" s="951"/>
      <c r="AF18" s="490" t="s">
        <v>508</v>
      </c>
    </row>
    <row r="19" spans="2:41" ht="21.75" customHeight="1" thickTop="1">
      <c r="B19" s="944"/>
      <c r="C19" s="990"/>
      <c r="D19" s="991"/>
      <c r="E19" s="991"/>
      <c r="F19" s="991"/>
      <c r="G19" s="991"/>
      <c r="H19" s="991"/>
      <c r="I19" s="991"/>
      <c r="J19" s="992"/>
      <c r="K19" s="993">
        <f>SUM(K20:O36)</f>
        <v>4514400</v>
      </c>
      <c r="L19" s="994"/>
      <c r="M19" s="994"/>
      <c r="N19" s="994"/>
      <c r="O19" s="995"/>
      <c r="P19" s="993">
        <f>SUM(P20:T36)</f>
        <v>15779400</v>
      </c>
      <c r="Q19" s="994"/>
      <c r="R19" s="994"/>
      <c r="S19" s="994"/>
      <c r="T19" s="995"/>
      <c r="U19" s="993">
        <f>SUM(U20:Y36)</f>
        <v>11265000</v>
      </c>
      <c r="V19" s="994"/>
      <c r="W19" s="994"/>
      <c r="X19" s="994"/>
      <c r="Y19" s="996"/>
      <c r="AF19" s="980" t="s">
        <v>491</v>
      </c>
      <c r="AG19" s="981"/>
      <c r="AH19" s="981"/>
      <c r="AI19" s="981"/>
      <c r="AJ19" s="981"/>
      <c r="AK19" s="981" t="s">
        <v>492</v>
      </c>
      <c r="AL19" s="981"/>
      <c r="AM19" s="981"/>
      <c r="AN19" s="981"/>
      <c r="AO19" s="982"/>
    </row>
    <row r="20" spans="2:41" ht="18.75" customHeight="1">
      <c r="B20" s="944"/>
      <c r="C20" s="983" t="s">
        <v>30</v>
      </c>
      <c r="D20" s="984"/>
      <c r="E20" s="985"/>
      <c r="F20" s="986" t="s">
        <v>496</v>
      </c>
      <c r="G20" s="987"/>
      <c r="H20" s="988">
        <f>MAX('[1]様式２（クラブ児童数等報告書）'!P12,'[1]様式２（クラブ児童数等報告書）'!P20)</f>
        <v>0</v>
      </c>
      <c r="I20" s="988"/>
      <c r="J20" s="989"/>
      <c r="K20" s="932">
        <f>使わない!K21</f>
        <v>1684000</v>
      </c>
      <c r="L20" s="932"/>
      <c r="M20" s="932"/>
      <c r="N20" s="932"/>
      <c r="O20" s="932"/>
      <c r="P20" s="932">
        <f>使わない!P21</f>
        <v>6526000</v>
      </c>
      <c r="Q20" s="932"/>
      <c r="R20" s="932"/>
      <c r="S20" s="932"/>
      <c r="T20" s="932"/>
      <c r="U20" s="933">
        <v>4842000</v>
      </c>
      <c r="V20" s="933"/>
      <c r="W20" s="933"/>
      <c r="X20" s="933"/>
      <c r="Y20" s="934"/>
      <c r="AF20" s="973" t="str">
        <f>IF(AND(H22&gt;=250,1&lt;=H20,H20&lt;=19),2794000-(19-H20)*30000,IF(AND(H22&gt;=250,20&lt;=H20,H20&lt;=35),5117000-(36-H20)*27000,IF(AND(H22&gt;=250,36&lt;=H20,H20&lt;=45),5117000,IF(AND(H22&gt;=250,46&lt;=H20,H20&lt;=70),5117000-(H20-45)*85000,IF(AND(200&lt;=H22,H22&lt;=249,H20&gt;=20),3356000,IF(AND(200&lt;=H22,H22&lt;=249,1&lt;=H20,H20&lt;=20),1881000,""))))))</f>
        <v/>
      </c>
      <c r="AG20" s="887"/>
      <c r="AH20" s="887"/>
      <c r="AI20" s="887"/>
      <c r="AJ20" s="887"/>
      <c r="AK20" s="887" t="str">
        <f>IF(AND(H22&gt;=250,1&lt;=H20,H20&lt;=19),4615000-(19-H20)*30000,IF(AND(H22&gt;=250,20&lt;=H20,H20&lt;=35),6939000-(36-H20)*27000,IF(AND(H22&gt;=250,36&lt;=H20,H20&lt;=45),6939000,IF(AND(H22&gt;=250,46&lt;=H20,H20&lt;=70),6939000-(H20-45)*85000,IF(AND(200&lt;=H22,H22&lt;=249,H20&gt;=20),4802000,IF(AND(200&lt;=H22,H22&lt;=249,1&lt;=H20,H20&lt;=20),3327000,""))))))</f>
        <v/>
      </c>
      <c r="AL20" s="887"/>
      <c r="AM20" s="887"/>
      <c r="AN20" s="887"/>
      <c r="AO20" s="974"/>
    </row>
    <row r="21" spans="2:41" ht="18.75" customHeight="1">
      <c r="B21" s="944"/>
      <c r="C21" s="966" t="s">
        <v>74</v>
      </c>
      <c r="D21" s="967"/>
      <c r="E21" s="967"/>
      <c r="F21" s="967"/>
      <c r="G21" s="967"/>
      <c r="H21" s="967"/>
      <c r="I21" s="967"/>
      <c r="J21" s="979"/>
      <c r="K21" s="932">
        <f>使わない!K22</f>
        <v>0</v>
      </c>
      <c r="L21" s="932"/>
      <c r="M21" s="932"/>
      <c r="N21" s="932"/>
      <c r="O21" s="932"/>
      <c r="P21" s="932">
        <f>使わない!P22</f>
        <v>0</v>
      </c>
      <c r="Q21" s="932"/>
      <c r="R21" s="932"/>
      <c r="S21" s="932"/>
      <c r="T21" s="932"/>
      <c r="U21" s="933">
        <v>0</v>
      </c>
      <c r="V21" s="933"/>
      <c r="W21" s="933"/>
      <c r="X21" s="933"/>
      <c r="Y21" s="934"/>
      <c r="AF21" s="973"/>
      <c r="AG21" s="887"/>
      <c r="AH21" s="887"/>
      <c r="AI21" s="887"/>
      <c r="AJ21" s="887"/>
      <c r="AK21" s="887"/>
      <c r="AL21" s="887"/>
      <c r="AM21" s="887"/>
      <c r="AN21" s="887"/>
      <c r="AO21" s="974"/>
    </row>
    <row r="22" spans="2:41" ht="18.75" customHeight="1">
      <c r="B22" s="944"/>
      <c r="C22" s="927" t="s">
        <v>27</v>
      </c>
      <c r="D22" s="928"/>
      <c r="E22" s="929"/>
      <c r="F22" s="975" t="s">
        <v>497</v>
      </c>
      <c r="G22" s="929"/>
      <c r="H22" s="976">
        <f>MAX('[1]様式２（クラブ児童数等報告書）'!P13,'[1]様式２（クラブ児童数等報告書）'!P21)</f>
        <v>0</v>
      </c>
      <c r="I22" s="977"/>
      <c r="J22" s="978"/>
      <c r="K22" s="932">
        <f>使わない!K23</f>
        <v>834000</v>
      </c>
      <c r="L22" s="932"/>
      <c r="M22" s="932"/>
      <c r="N22" s="932"/>
      <c r="O22" s="932"/>
      <c r="P22" s="932">
        <f>使わない!P23</f>
        <v>1014000</v>
      </c>
      <c r="Q22" s="932"/>
      <c r="R22" s="932"/>
      <c r="S22" s="932"/>
      <c r="T22" s="932"/>
      <c r="U22" s="933">
        <v>180000</v>
      </c>
      <c r="V22" s="933"/>
      <c r="W22" s="933"/>
      <c r="X22" s="933"/>
      <c r="Y22" s="934"/>
      <c r="AF22" s="973">
        <f>IF(H22&gt;250,[1]様式４年間開所カレンダー!I375,0)*21000</f>
        <v>0</v>
      </c>
      <c r="AG22" s="887"/>
      <c r="AH22" s="887"/>
      <c r="AI22" s="887"/>
      <c r="AJ22" s="887"/>
      <c r="AK22" s="887">
        <f>IF(H22&gt;250,[1]様式４年間開所カレンダー!I375,0)*28000</f>
        <v>0</v>
      </c>
      <c r="AL22" s="887"/>
      <c r="AM22" s="887"/>
      <c r="AN22" s="887"/>
      <c r="AO22" s="974"/>
    </row>
    <row r="23" spans="2:41" ht="18.75" customHeight="1">
      <c r="B23" s="944"/>
      <c r="C23" s="964" t="s">
        <v>32</v>
      </c>
      <c r="D23" s="965"/>
      <c r="E23" s="965"/>
      <c r="F23" s="965"/>
      <c r="G23" s="965"/>
      <c r="H23" s="965"/>
      <c r="I23" s="965"/>
      <c r="J23" s="965"/>
      <c r="K23" s="932">
        <f>使わない!K24</f>
        <v>-71000</v>
      </c>
      <c r="L23" s="932"/>
      <c r="M23" s="932"/>
      <c r="N23" s="932"/>
      <c r="O23" s="932"/>
      <c r="P23" s="932">
        <f>使わない!P24</f>
        <v>0</v>
      </c>
      <c r="Q23" s="932"/>
      <c r="R23" s="932"/>
      <c r="S23" s="932"/>
      <c r="T23" s="932"/>
      <c r="U23" s="933">
        <v>71000</v>
      </c>
      <c r="V23" s="933"/>
      <c r="W23" s="933"/>
      <c r="X23" s="933"/>
      <c r="Y23" s="934"/>
      <c r="AF23" s="973">
        <f>ROUNDDOWN([1]様式４年間開所カレンダー!F375*449000,-3)</f>
        <v>0</v>
      </c>
      <c r="AG23" s="887"/>
      <c r="AH23" s="887"/>
      <c r="AI23" s="887"/>
      <c r="AJ23" s="887"/>
      <c r="AK23" s="887">
        <f>ROUNDDOWN([1]様式４年間開所カレンダー!F375*720000,-3)</f>
        <v>0</v>
      </c>
      <c r="AL23" s="887"/>
      <c r="AM23" s="887"/>
      <c r="AN23" s="887"/>
      <c r="AO23" s="974"/>
    </row>
    <row r="24" spans="2:41" ht="18.75" customHeight="1" thickBot="1">
      <c r="B24" s="944"/>
      <c r="C24" s="964" t="s">
        <v>33</v>
      </c>
      <c r="D24" s="965"/>
      <c r="E24" s="965"/>
      <c r="F24" s="965"/>
      <c r="G24" s="965"/>
      <c r="H24" s="965"/>
      <c r="I24" s="965"/>
      <c r="J24" s="965"/>
      <c r="K24" s="932">
        <f>使わない!K25</f>
        <v>547000</v>
      </c>
      <c r="L24" s="932"/>
      <c r="M24" s="932"/>
      <c r="N24" s="932"/>
      <c r="O24" s="932"/>
      <c r="P24" s="932">
        <f>使わない!P25</f>
        <v>640000</v>
      </c>
      <c r="Q24" s="932"/>
      <c r="R24" s="932"/>
      <c r="S24" s="932"/>
      <c r="T24" s="932"/>
      <c r="U24" s="933">
        <v>93000</v>
      </c>
      <c r="V24" s="933"/>
      <c r="W24" s="933"/>
      <c r="X24" s="933"/>
      <c r="Y24" s="934"/>
      <c r="AF24" s="970">
        <f>ROUNDDOWN([1]様式４年間開所カレンダー!F376*202000,-3)</f>
        <v>0</v>
      </c>
      <c r="AG24" s="971"/>
      <c r="AH24" s="971"/>
      <c r="AI24" s="971"/>
      <c r="AJ24" s="971"/>
      <c r="AK24" s="971">
        <f>ROUNDDOWN([1]様式４年間開所カレンダー!F376*324000,-3)</f>
        <v>0</v>
      </c>
      <c r="AL24" s="971"/>
      <c r="AM24" s="971"/>
      <c r="AN24" s="971"/>
      <c r="AO24" s="972"/>
    </row>
    <row r="25" spans="2:41" ht="18.75" customHeight="1" thickTop="1">
      <c r="B25" s="944"/>
      <c r="C25" s="964" t="s">
        <v>34</v>
      </c>
      <c r="D25" s="965"/>
      <c r="E25" s="965"/>
      <c r="F25" s="965"/>
      <c r="G25" s="965"/>
      <c r="H25" s="965"/>
      <c r="I25" s="965"/>
      <c r="J25" s="965"/>
      <c r="K25" s="932">
        <f>使わない!K26</f>
        <v>232000</v>
      </c>
      <c r="L25" s="932"/>
      <c r="M25" s="932"/>
      <c r="N25" s="932"/>
      <c r="O25" s="932"/>
      <c r="P25" s="932">
        <f>使わない!P26</f>
        <v>2232000</v>
      </c>
      <c r="Q25" s="932"/>
      <c r="R25" s="932"/>
      <c r="S25" s="932"/>
      <c r="T25" s="932"/>
      <c r="U25" s="933">
        <v>2000000</v>
      </c>
      <c r="V25" s="933"/>
      <c r="W25" s="933"/>
      <c r="X25" s="933"/>
      <c r="Y25" s="934"/>
    </row>
    <row r="26" spans="2:41" ht="18.75" customHeight="1">
      <c r="B26" s="944"/>
      <c r="C26" s="964" t="s">
        <v>35</v>
      </c>
      <c r="D26" s="965"/>
      <c r="E26" s="965"/>
      <c r="F26" s="965"/>
      <c r="G26" s="965"/>
      <c r="H26" s="965"/>
      <c r="I26" s="965"/>
      <c r="J26" s="965"/>
      <c r="K26" s="932">
        <f>使わない!K27</f>
        <v>0</v>
      </c>
      <c r="L26" s="932"/>
      <c r="M26" s="932"/>
      <c r="N26" s="932"/>
      <c r="O26" s="932"/>
      <c r="P26" s="932">
        <f>使わない!P27</f>
        <v>0</v>
      </c>
      <c r="Q26" s="932"/>
      <c r="R26" s="932"/>
      <c r="S26" s="932"/>
      <c r="T26" s="932"/>
      <c r="U26" s="933">
        <v>0</v>
      </c>
      <c r="V26" s="933"/>
      <c r="W26" s="933"/>
      <c r="X26" s="933"/>
      <c r="Y26" s="934"/>
      <c r="AC26" s="490" t="s">
        <v>609</v>
      </c>
    </row>
    <row r="27" spans="2:41" ht="18.75" customHeight="1">
      <c r="B27" s="944"/>
      <c r="C27" s="964" t="s">
        <v>36</v>
      </c>
      <c r="D27" s="965"/>
      <c r="E27" s="965"/>
      <c r="F27" s="965"/>
      <c r="G27" s="965"/>
      <c r="H27" s="965"/>
      <c r="I27" s="965"/>
      <c r="J27" s="965"/>
      <c r="K27" s="932">
        <f>使わない!K28</f>
        <v>0</v>
      </c>
      <c r="L27" s="932"/>
      <c r="M27" s="932"/>
      <c r="N27" s="932"/>
      <c r="O27" s="932"/>
      <c r="P27" s="932">
        <f>使わない!P28</f>
        <v>1300000</v>
      </c>
      <c r="Q27" s="932"/>
      <c r="R27" s="932"/>
      <c r="S27" s="932"/>
      <c r="T27" s="932"/>
      <c r="U27" s="933">
        <v>1300000</v>
      </c>
      <c r="V27" s="933"/>
      <c r="W27" s="933"/>
      <c r="X27" s="933"/>
      <c r="Y27" s="934"/>
      <c r="AC27" s="490" t="s">
        <v>610</v>
      </c>
    </row>
    <row r="28" spans="2:41" ht="18.75" customHeight="1">
      <c r="B28" s="944"/>
      <c r="C28" s="964" t="s">
        <v>102</v>
      </c>
      <c r="D28" s="965"/>
      <c r="E28" s="965"/>
      <c r="F28" s="965"/>
      <c r="G28" s="965"/>
      <c r="H28" s="965"/>
      <c r="I28" s="965"/>
      <c r="J28" s="965"/>
      <c r="K28" s="932">
        <f>使わない!K29</f>
        <v>0</v>
      </c>
      <c r="L28" s="932"/>
      <c r="M28" s="932"/>
      <c r="N28" s="932"/>
      <c r="O28" s="932"/>
      <c r="P28" s="932">
        <f>使わない!P29</f>
        <v>0</v>
      </c>
      <c r="Q28" s="932"/>
      <c r="R28" s="932"/>
      <c r="S28" s="932"/>
      <c r="T28" s="932"/>
      <c r="U28" s="933">
        <v>0</v>
      </c>
      <c r="V28" s="933"/>
      <c r="W28" s="933"/>
      <c r="X28" s="933"/>
      <c r="Y28" s="934"/>
    </row>
    <row r="29" spans="2:41" ht="18.75" customHeight="1">
      <c r="B29" s="944"/>
      <c r="C29" s="964" t="s">
        <v>116</v>
      </c>
      <c r="D29" s="965"/>
      <c r="E29" s="965"/>
      <c r="F29" s="965"/>
      <c r="G29" s="965"/>
      <c r="H29" s="965"/>
      <c r="I29" s="965"/>
      <c r="J29" s="965"/>
      <c r="K29" s="932">
        <f>使わない!K30</f>
        <v>-69000</v>
      </c>
      <c r="L29" s="932"/>
      <c r="M29" s="932"/>
      <c r="N29" s="932"/>
      <c r="O29" s="932"/>
      <c r="P29" s="932">
        <f>使わない!P30</f>
        <v>850000</v>
      </c>
      <c r="Q29" s="932"/>
      <c r="R29" s="932"/>
      <c r="S29" s="932"/>
      <c r="T29" s="932"/>
      <c r="U29" s="933">
        <v>919000</v>
      </c>
      <c r="V29" s="933"/>
      <c r="W29" s="933"/>
      <c r="X29" s="933"/>
      <c r="Y29" s="934"/>
    </row>
    <row r="30" spans="2:41" ht="18.75" customHeight="1">
      <c r="B30" s="944"/>
      <c r="C30" s="964" t="s">
        <v>456</v>
      </c>
      <c r="D30" s="965"/>
      <c r="E30" s="965"/>
      <c r="F30" s="965"/>
      <c r="G30" s="965"/>
      <c r="H30" s="965"/>
      <c r="I30" s="965"/>
      <c r="J30" s="965"/>
      <c r="K30" s="932">
        <f>使わない!K31</f>
        <v>686400</v>
      </c>
      <c r="L30" s="932"/>
      <c r="M30" s="932"/>
      <c r="N30" s="932"/>
      <c r="O30" s="932"/>
      <c r="P30" s="932">
        <f>使わない!P31</f>
        <v>686400</v>
      </c>
      <c r="Q30" s="932"/>
      <c r="R30" s="932"/>
      <c r="S30" s="932"/>
      <c r="T30" s="932"/>
      <c r="U30" s="933">
        <v>0</v>
      </c>
      <c r="V30" s="933"/>
      <c r="W30" s="933"/>
      <c r="X30" s="933"/>
      <c r="Y30" s="934"/>
    </row>
    <row r="31" spans="2:41" ht="18.75" customHeight="1">
      <c r="B31" s="944"/>
      <c r="C31" s="964" t="s">
        <v>346</v>
      </c>
      <c r="D31" s="965"/>
      <c r="E31" s="965"/>
      <c r="F31" s="965"/>
      <c r="G31" s="965"/>
      <c r="H31" s="965"/>
      <c r="I31" s="965"/>
      <c r="J31" s="965"/>
      <c r="K31" s="932">
        <f>使わない!K32</f>
        <v>90000</v>
      </c>
      <c r="L31" s="932"/>
      <c r="M31" s="932"/>
      <c r="N31" s="932"/>
      <c r="O31" s="932"/>
      <c r="P31" s="932">
        <f>使わない!P32</f>
        <v>1500000</v>
      </c>
      <c r="Q31" s="932"/>
      <c r="R31" s="932"/>
      <c r="S31" s="932"/>
      <c r="T31" s="932"/>
      <c r="U31" s="933">
        <v>1410000</v>
      </c>
      <c r="V31" s="933"/>
      <c r="W31" s="933"/>
      <c r="X31" s="933"/>
      <c r="Y31" s="934"/>
    </row>
    <row r="32" spans="2:41" ht="18.75" customHeight="1">
      <c r="B32" s="944"/>
      <c r="C32" s="966" t="s">
        <v>347</v>
      </c>
      <c r="D32" s="967"/>
      <c r="E32" s="967"/>
      <c r="F32" s="967"/>
      <c r="G32" s="967"/>
      <c r="H32" s="967"/>
      <c r="I32" s="968">
        <v>12</v>
      </c>
      <c r="J32" s="969"/>
      <c r="K32" s="932">
        <f>使わない!K33</f>
        <v>581000</v>
      </c>
      <c r="L32" s="932"/>
      <c r="M32" s="932"/>
      <c r="N32" s="932"/>
      <c r="O32" s="932"/>
      <c r="P32" s="932">
        <f>使わない!P33</f>
        <v>581000</v>
      </c>
      <c r="Q32" s="932"/>
      <c r="R32" s="932"/>
      <c r="S32" s="932"/>
      <c r="T32" s="932"/>
      <c r="U32" s="933">
        <v>0</v>
      </c>
      <c r="V32" s="933"/>
      <c r="W32" s="933"/>
      <c r="X32" s="933"/>
      <c r="Y32" s="934"/>
    </row>
    <row r="33" spans="2:25" ht="18.75" customHeight="1">
      <c r="B33" s="944"/>
      <c r="C33" s="964" t="s">
        <v>76</v>
      </c>
      <c r="D33" s="965"/>
      <c r="E33" s="965"/>
      <c r="F33" s="965"/>
      <c r="G33" s="965"/>
      <c r="H33" s="965"/>
      <c r="I33" s="965"/>
      <c r="J33" s="965"/>
      <c r="K33" s="932">
        <f>使わない!K34</f>
        <v>0</v>
      </c>
      <c r="L33" s="932"/>
      <c r="M33" s="932"/>
      <c r="N33" s="932"/>
      <c r="O33" s="932"/>
      <c r="P33" s="932">
        <f>使わない!P34</f>
        <v>180000</v>
      </c>
      <c r="Q33" s="932"/>
      <c r="R33" s="932"/>
      <c r="S33" s="932"/>
      <c r="T33" s="932"/>
      <c r="U33" s="933">
        <v>180000</v>
      </c>
      <c r="V33" s="933"/>
      <c r="W33" s="933"/>
      <c r="X33" s="933"/>
      <c r="Y33" s="934"/>
    </row>
    <row r="34" spans="2:25" ht="18.75" customHeight="1">
      <c r="B34" s="944"/>
      <c r="C34" s="964" t="s">
        <v>103</v>
      </c>
      <c r="D34" s="965"/>
      <c r="E34" s="965"/>
      <c r="F34" s="965"/>
      <c r="G34" s="965"/>
      <c r="H34" s="965"/>
      <c r="I34" s="965"/>
      <c r="J34" s="965"/>
      <c r="K34" s="932">
        <f>使わない!K35</f>
        <v>0</v>
      </c>
      <c r="L34" s="932"/>
      <c r="M34" s="932"/>
      <c r="N34" s="932"/>
      <c r="O34" s="932"/>
      <c r="P34" s="932">
        <f>使わない!P35</f>
        <v>270000</v>
      </c>
      <c r="Q34" s="932"/>
      <c r="R34" s="932"/>
      <c r="S34" s="932"/>
      <c r="T34" s="932"/>
      <c r="U34" s="933">
        <v>270000</v>
      </c>
      <c r="V34" s="933"/>
      <c r="W34" s="933"/>
      <c r="X34" s="933"/>
      <c r="Y34" s="934"/>
    </row>
    <row r="35" spans="2:25" ht="18.75" customHeight="1">
      <c r="B35" s="944"/>
      <c r="C35" s="927" t="s">
        <v>104</v>
      </c>
      <c r="D35" s="928"/>
      <c r="E35" s="928"/>
      <c r="F35" s="928"/>
      <c r="G35" s="928"/>
      <c r="H35" s="929"/>
      <c r="I35" s="930">
        <v>0</v>
      </c>
      <c r="J35" s="931"/>
      <c r="K35" s="932">
        <f>使わない!K36</f>
        <v>0</v>
      </c>
      <c r="L35" s="932"/>
      <c r="M35" s="932"/>
      <c r="N35" s="932"/>
      <c r="O35" s="932"/>
      <c r="P35" s="932">
        <f>使わない!P36</f>
        <v>0</v>
      </c>
      <c r="Q35" s="932"/>
      <c r="R35" s="932"/>
      <c r="S35" s="932"/>
      <c r="T35" s="932"/>
      <c r="U35" s="933">
        <v>0</v>
      </c>
      <c r="V35" s="933"/>
      <c r="W35" s="933"/>
      <c r="X35" s="933"/>
      <c r="Y35" s="934"/>
    </row>
    <row r="36" spans="2:25" ht="18.75" customHeight="1" thickBot="1">
      <c r="B36" s="944"/>
      <c r="C36" s="935" t="s">
        <v>75</v>
      </c>
      <c r="D36" s="936"/>
      <c r="E36" s="936"/>
      <c r="F36" s="936"/>
      <c r="G36" s="936"/>
      <c r="H36" s="937"/>
      <c r="I36" s="938">
        <v>0</v>
      </c>
      <c r="J36" s="939"/>
      <c r="K36" s="940">
        <f>使わない!K37</f>
        <v>0</v>
      </c>
      <c r="L36" s="940"/>
      <c r="M36" s="940"/>
      <c r="N36" s="940"/>
      <c r="O36" s="940"/>
      <c r="P36" s="940">
        <f>使わない!P37</f>
        <v>0</v>
      </c>
      <c r="Q36" s="940"/>
      <c r="R36" s="940"/>
      <c r="S36" s="940"/>
      <c r="T36" s="940"/>
      <c r="U36" s="941">
        <v>0</v>
      </c>
      <c r="V36" s="941"/>
      <c r="W36" s="941"/>
      <c r="X36" s="941"/>
      <c r="Y36" s="942"/>
    </row>
    <row r="37" spans="2:25" ht="18.75" customHeight="1">
      <c r="B37" s="913" t="s">
        <v>493</v>
      </c>
      <c r="C37" s="915" t="s">
        <v>494</v>
      </c>
      <c r="D37" s="916"/>
      <c r="E37" s="916"/>
      <c r="F37" s="916"/>
      <c r="G37" s="916"/>
      <c r="H37" s="916"/>
      <c r="I37" s="916"/>
      <c r="J37" s="917"/>
      <c r="K37" s="918">
        <f>P37</f>
        <v>0</v>
      </c>
      <c r="L37" s="919"/>
      <c r="M37" s="919"/>
      <c r="N37" s="919"/>
      <c r="O37" s="920"/>
      <c r="P37" s="921"/>
      <c r="Q37" s="922"/>
      <c r="R37" s="922"/>
      <c r="S37" s="922"/>
      <c r="T37" s="923"/>
      <c r="U37" s="924"/>
      <c r="V37" s="925"/>
      <c r="W37" s="925"/>
      <c r="X37" s="925"/>
      <c r="Y37" s="926"/>
    </row>
    <row r="38" spans="2:25" ht="18.75" customHeight="1" thickBot="1">
      <c r="B38" s="914"/>
      <c r="C38" s="952" t="s">
        <v>495</v>
      </c>
      <c r="D38" s="953"/>
      <c r="E38" s="953"/>
      <c r="F38" s="953"/>
      <c r="G38" s="953"/>
      <c r="H38" s="953"/>
      <c r="I38" s="953"/>
      <c r="J38" s="954"/>
      <c r="K38" s="955">
        <f>P38</f>
        <v>0</v>
      </c>
      <c r="L38" s="956"/>
      <c r="M38" s="956"/>
      <c r="N38" s="956"/>
      <c r="O38" s="957"/>
      <c r="P38" s="958"/>
      <c r="Q38" s="959"/>
      <c r="R38" s="959"/>
      <c r="S38" s="959"/>
      <c r="T38" s="960"/>
      <c r="U38" s="961"/>
      <c r="V38" s="962"/>
      <c r="W38" s="962"/>
      <c r="X38" s="962"/>
      <c r="Y38" s="963"/>
    </row>
    <row r="39" spans="2:25" ht="18.75" customHeight="1" thickTop="1" thickBot="1">
      <c r="B39" s="503"/>
      <c r="C39" s="903" t="s">
        <v>22</v>
      </c>
      <c r="D39" s="904"/>
      <c r="E39" s="904"/>
      <c r="F39" s="904"/>
      <c r="G39" s="904"/>
      <c r="H39" s="904"/>
      <c r="I39" s="904"/>
      <c r="J39" s="905"/>
      <c r="K39" s="906">
        <f>SUM(K19,K37,K38)</f>
        <v>4514400</v>
      </c>
      <c r="L39" s="907"/>
      <c r="M39" s="907"/>
      <c r="N39" s="907"/>
      <c r="O39" s="908"/>
      <c r="P39" s="909">
        <f>SUM(P19,P37,P38)</f>
        <v>15779400</v>
      </c>
      <c r="Q39" s="910"/>
      <c r="R39" s="910"/>
      <c r="S39" s="910"/>
      <c r="T39" s="911"/>
      <c r="U39" s="912">
        <f>U19</f>
        <v>11265000</v>
      </c>
      <c r="V39" s="910"/>
      <c r="W39" s="910"/>
      <c r="X39" s="910"/>
      <c r="Y39" s="911"/>
    </row>
    <row r="40" spans="2:25" ht="15" thickTop="1">
      <c r="B40" s="898" t="s">
        <v>77</v>
      </c>
      <c r="C40" s="899"/>
      <c r="D40" s="899"/>
      <c r="E40" s="899"/>
      <c r="F40" s="900"/>
      <c r="G40" s="901">
        <v>46112</v>
      </c>
      <c r="H40" s="887"/>
      <c r="I40" s="887"/>
      <c r="J40" s="887"/>
      <c r="K40" s="887"/>
      <c r="L40" s="887"/>
      <c r="M40" s="887"/>
      <c r="N40" s="887"/>
      <c r="O40" s="887"/>
      <c r="P40" s="887"/>
      <c r="Q40" s="887"/>
      <c r="R40" s="887"/>
      <c r="S40" s="887"/>
      <c r="T40" s="887"/>
      <c r="U40" s="887"/>
      <c r="V40" s="887"/>
      <c r="W40" s="887"/>
      <c r="X40" s="887"/>
      <c r="Y40" s="888"/>
    </row>
    <row r="41" spans="2:25">
      <c r="B41" s="889"/>
      <c r="C41" s="890"/>
      <c r="D41" s="890"/>
      <c r="E41" s="890"/>
      <c r="F41" s="891"/>
      <c r="G41" s="889"/>
      <c r="H41" s="890"/>
      <c r="I41" s="890"/>
      <c r="J41" s="890"/>
      <c r="K41" s="890"/>
      <c r="L41" s="890"/>
      <c r="M41" s="890"/>
      <c r="N41" s="890"/>
      <c r="O41" s="890"/>
      <c r="P41" s="890"/>
      <c r="Q41" s="890"/>
      <c r="R41" s="890"/>
      <c r="S41" s="890"/>
      <c r="T41" s="890"/>
      <c r="U41" s="890"/>
      <c r="V41" s="890"/>
      <c r="W41" s="890"/>
      <c r="X41" s="890"/>
      <c r="Y41" s="891"/>
    </row>
    <row r="42" spans="2:25">
      <c r="B42" s="883" t="s">
        <v>78</v>
      </c>
      <c r="C42" s="884"/>
      <c r="D42" s="884"/>
      <c r="E42" s="884"/>
      <c r="F42" s="885"/>
      <c r="G42" s="892"/>
      <c r="H42" s="892"/>
      <c r="I42" s="892"/>
      <c r="J42" s="892"/>
      <c r="K42" s="892"/>
      <c r="L42" s="892"/>
      <c r="M42" s="892"/>
      <c r="N42" s="892"/>
      <c r="O42" s="892"/>
      <c r="P42" s="892"/>
      <c r="Q42" s="892"/>
      <c r="R42" s="892"/>
      <c r="S42" s="892"/>
      <c r="T42" s="892"/>
      <c r="U42" s="892"/>
      <c r="V42" s="892"/>
      <c r="W42" s="892"/>
      <c r="X42" s="892"/>
      <c r="Y42" s="893"/>
    </row>
    <row r="43" spans="2:25">
      <c r="B43" s="886"/>
      <c r="C43" s="887"/>
      <c r="D43" s="887"/>
      <c r="E43" s="887"/>
      <c r="F43" s="888"/>
      <c r="G43" s="894"/>
      <c r="H43" s="894"/>
      <c r="I43" s="894"/>
      <c r="J43" s="894"/>
      <c r="K43" s="894"/>
      <c r="L43" s="894"/>
      <c r="M43" s="894"/>
      <c r="N43" s="894"/>
      <c r="O43" s="894"/>
      <c r="P43" s="894"/>
      <c r="Q43" s="894"/>
      <c r="R43" s="894"/>
      <c r="S43" s="894"/>
      <c r="T43" s="894"/>
      <c r="U43" s="894"/>
      <c r="V43" s="894"/>
      <c r="W43" s="894"/>
      <c r="X43" s="894"/>
      <c r="Y43" s="895"/>
    </row>
    <row r="44" spans="2:25">
      <c r="B44" s="886"/>
      <c r="C44" s="887"/>
      <c r="D44" s="887"/>
      <c r="E44" s="887"/>
      <c r="F44" s="888"/>
      <c r="G44" s="894"/>
      <c r="H44" s="894"/>
      <c r="I44" s="894"/>
      <c r="J44" s="894"/>
      <c r="K44" s="894"/>
      <c r="L44" s="894"/>
      <c r="M44" s="894"/>
      <c r="N44" s="894"/>
      <c r="O44" s="894"/>
      <c r="P44" s="894"/>
      <c r="Q44" s="894"/>
      <c r="R44" s="894"/>
      <c r="S44" s="894"/>
      <c r="T44" s="894"/>
      <c r="U44" s="894"/>
      <c r="V44" s="894"/>
      <c r="W44" s="894"/>
      <c r="X44" s="894"/>
      <c r="Y44" s="895"/>
    </row>
    <row r="45" spans="2:25">
      <c r="B45" s="886"/>
      <c r="C45" s="887"/>
      <c r="D45" s="887"/>
      <c r="E45" s="887"/>
      <c r="F45" s="888"/>
      <c r="G45" s="894"/>
      <c r="H45" s="894"/>
      <c r="I45" s="894"/>
      <c r="J45" s="894"/>
      <c r="K45" s="894"/>
      <c r="L45" s="894"/>
      <c r="M45" s="894"/>
      <c r="N45" s="894"/>
      <c r="O45" s="894"/>
      <c r="P45" s="894"/>
      <c r="Q45" s="894"/>
      <c r="R45" s="894"/>
      <c r="S45" s="894"/>
      <c r="T45" s="894"/>
      <c r="U45" s="894"/>
      <c r="V45" s="894"/>
      <c r="W45" s="894"/>
      <c r="X45" s="894"/>
      <c r="Y45" s="895"/>
    </row>
    <row r="46" spans="2:25">
      <c r="B46" s="886"/>
      <c r="C46" s="887"/>
      <c r="D46" s="887"/>
      <c r="E46" s="887"/>
      <c r="F46" s="888"/>
      <c r="G46" s="902"/>
      <c r="H46" s="894"/>
      <c r="I46" s="894"/>
      <c r="J46" s="894"/>
      <c r="K46" s="894"/>
      <c r="L46" s="894"/>
      <c r="M46" s="894"/>
      <c r="N46" s="894"/>
      <c r="O46" s="894"/>
      <c r="P46" s="894"/>
      <c r="Q46" s="894"/>
      <c r="R46" s="894"/>
      <c r="S46" s="894"/>
      <c r="T46" s="894"/>
      <c r="U46" s="894"/>
      <c r="V46" s="894"/>
      <c r="W46" s="894"/>
      <c r="X46" s="894"/>
      <c r="Y46" s="895"/>
    </row>
    <row r="47" spans="2:25">
      <c r="B47" s="886"/>
      <c r="C47" s="887"/>
      <c r="D47" s="887"/>
      <c r="E47" s="887"/>
      <c r="F47" s="888"/>
      <c r="G47" s="894"/>
      <c r="H47" s="894"/>
      <c r="I47" s="894"/>
      <c r="J47" s="894"/>
      <c r="K47" s="894"/>
      <c r="L47" s="894"/>
      <c r="M47" s="894"/>
      <c r="N47" s="894"/>
      <c r="O47" s="894"/>
      <c r="P47" s="894"/>
      <c r="Q47" s="894"/>
      <c r="R47" s="894"/>
      <c r="S47" s="894"/>
      <c r="T47" s="894"/>
      <c r="U47" s="894"/>
      <c r="V47" s="894"/>
      <c r="W47" s="894"/>
      <c r="X47" s="894"/>
      <c r="Y47" s="895"/>
    </row>
    <row r="48" spans="2:25">
      <c r="B48" s="889"/>
      <c r="C48" s="890"/>
      <c r="D48" s="890"/>
      <c r="E48" s="890"/>
      <c r="F48" s="891"/>
      <c r="G48" s="896"/>
      <c r="H48" s="896"/>
      <c r="I48" s="896"/>
      <c r="J48" s="896"/>
      <c r="K48" s="896"/>
      <c r="L48" s="896"/>
      <c r="M48" s="896"/>
      <c r="N48" s="896"/>
      <c r="O48" s="896"/>
      <c r="P48" s="896"/>
      <c r="Q48" s="896"/>
      <c r="R48" s="896"/>
      <c r="S48" s="896"/>
      <c r="T48" s="896"/>
      <c r="U48" s="896"/>
      <c r="V48" s="896"/>
      <c r="W48" s="896"/>
      <c r="X48" s="896"/>
      <c r="Y48" s="897"/>
    </row>
    <row r="49" spans="2:25">
      <c r="B49" s="883" t="s">
        <v>69</v>
      </c>
      <c r="C49" s="884"/>
      <c r="D49" s="884"/>
      <c r="E49" s="884"/>
      <c r="F49" s="885"/>
      <c r="G49" s="892"/>
      <c r="H49" s="892"/>
      <c r="I49" s="892"/>
      <c r="J49" s="892"/>
      <c r="K49" s="892"/>
      <c r="L49" s="892"/>
      <c r="M49" s="892"/>
      <c r="N49" s="892"/>
      <c r="O49" s="892"/>
      <c r="P49" s="892"/>
      <c r="Q49" s="892"/>
      <c r="R49" s="892"/>
      <c r="S49" s="892"/>
      <c r="T49" s="892"/>
      <c r="U49" s="892"/>
      <c r="V49" s="892"/>
      <c r="W49" s="892"/>
      <c r="X49" s="892"/>
      <c r="Y49" s="893"/>
    </row>
    <row r="50" spans="2:25">
      <c r="B50" s="886"/>
      <c r="C50" s="887"/>
      <c r="D50" s="887"/>
      <c r="E50" s="887"/>
      <c r="F50" s="888"/>
      <c r="G50" s="894"/>
      <c r="H50" s="894"/>
      <c r="I50" s="894"/>
      <c r="J50" s="894"/>
      <c r="K50" s="894"/>
      <c r="L50" s="894"/>
      <c r="M50" s="894"/>
      <c r="N50" s="894"/>
      <c r="O50" s="894"/>
      <c r="P50" s="894"/>
      <c r="Q50" s="894"/>
      <c r="R50" s="894"/>
      <c r="S50" s="894"/>
      <c r="T50" s="894"/>
      <c r="U50" s="894"/>
      <c r="V50" s="894"/>
      <c r="W50" s="894"/>
      <c r="X50" s="894"/>
      <c r="Y50" s="895"/>
    </row>
    <row r="51" spans="2:25">
      <c r="B51" s="886"/>
      <c r="C51" s="887"/>
      <c r="D51" s="887"/>
      <c r="E51" s="887"/>
      <c r="F51" s="888"/>
      <c r="G51" s="894"/>
      <c r="H51" s="894"/>
      <c r="I51" s="894"/>
      <c r="J51" s="894"/>
      <c r="K51" s="894"/>
      <c r="L51" s="894"/>
      <c r="M51" s="894"/>
      <c r="N51" s="894"/>
      <c r="O51" s="894"/>
      <c r="P51" s="894"/>
      <c r="Q51" s="894"/>
      <c r="R51" s="894"/>
      <c r="S51" s="894"/>
      <c r="T51" s="894"/>
      <c r="U51" s="894"/>
      <c r="V51" s="894"/>
      <c r="W51" s="894"/>
      <c r="X51" s="894"/>
      <c r="Y51" s="895"/>
    </row>
    <row r="52" spans="2:25">
      <c r="B52" s="886"/>
      <c r="C52" s="887"/>
      <c r="D52" s="887"/>
      <c r="E52" s="887"/>
      <c r="F52" s="888"/>
      <c r="G52" s="894"/>
      <c r="H52" s="894"/>
      <c r="I52" s="894"/>
      <c r="J52" s="894"/>
      <c r="K52" s="894"/>
      <c r="L52" s="894"/>
      <c r="M52" s="894"/>
      <c r="N52" s="894"/>
      <c r="O52" s="894"/>
      <c r="P52" s="894"/>
      <c r="Q52" s="894"/>
      <c r="R52" s="894"/>
      <c r="S52" s="894"/>
      <c r="T52" s="894"/>
      <c r="U52" s="894"/>
      <c r="V52" s="894"/>
      <c r="W52" s="894"/>
      <c r="X52" s="894"/>
      <c r="Y52" s="895"/>
    </row>
    <row r="53" spans="2:25">
      <c r="B53" s="889"/>
      <c r="C53" s="890"/>
      <c r="D53" s="890"/>
      <c r="E53" s="890"/>
      <c r="F53" s="891"/>
      <c r="G53" s="896"/>
      <c r="H53" s="896"/>
      <c r="I53" s="896"/>
      <c r="J53" s="896"/>
      <c r="K53" s="896"/>
      <c r="L53" s="896"/>
      <c r="M53" s="896"/>
      <c r="N53" s="896"/>
      <c r="O53" s="896"/>
      <c r="P53" s="896"/>
      <c r="Q53" s="896"/>
      <c r="R53" s="896"/>
      <c r="S53" s="896"/>
      <c r="T53" s="896"/>
      <c r="U53" s="896"/>
      <c r="V53" s="896"/>
      <c r="W53" s="896"/>
      <c r="X53" s="896"/>
      <c r="Y53" s="897"/>
    </row>
    <row r="54" spans="2:25" ht="15">
      <c r="B54" s="504" t="s">
        <v>447</v>
      </c>
    </row>
  </sheetData>
  <mergeCells count="142">
    <mergeCell ref="L13:W14"/>
    <mergeCell ref="B15:G15"/>
    <mergeCell ref="H15:Y15"/>
    <mergeCell ref="B16:G16"/>
    <mergeCell ref="H16:Y16"/>
    <mergeCell ref="B17:G17"/>
    <mergeCell ref="H17:Y17"/>
    <mergeCell ref="A3:X3"/>
    <mergeCell ref="C9:E14"/>
    <mergeCell ref="F9:I9"/>
    <mergeCell ref="J9:Y9"/>
    <mergeCell ref="F10:I10"/>
    <mergeCell ref="J10:Y10"/>
    <mergeCell ref="F11:I14"/>
    <mergeCell ref="J11:K12"/>
    <mergeCell ref="L11:W12"/>
    <mergeCell ref="J13:K14"/>
    <mergeCell ref="AF19:AJ19"/>
    <mergeCell ref="AK19:AO19"/>
    <mergeCell ref="C20:E20"/>
    <mergeCell ref="F20:G20"/>
    <mergeCell ref="H20:J20"/>
    <mergeCell ref="K20:O20"/>
    <mergeCell ref="P20:T20"/>
    <mergeCell ref="U20:Y20"/>
    <mergeCell ref="AF20:AJ20"/>
    <mergeCell ref="AK20:AO20"/>
    <mergeCell ref="C19:J19"/>
    <mergeCell ref="K19:O19"/>
    <mergeCell ref="P19:T19"/>
    <mergeCell ref="U19:Y19"/>
    <mergeCell ref="K21:O21"/>
    <mergeCell ref="P21:T21"/>
    <mergeCell ref="U21:Y21"/>
    <mergeCell ref="AF21:AJ21"/>
    <mergeCell ref="AK21:AO21"/>
    <mergeCell ref="C22:E22"/>
    <mergeCell ref="F22:G22"/>
    <mergeCell ref="H22:J22"/>
    <mergeCell ref="K22:O22"/>
    <mergeCell ref="P22:T22"/>
    <mergeCell ref="C21:J21"/>
    <mergeCell ref="C24:J24"/>
    <mergeCell ref="K24:O24"/>
    <mergeCell ref="P24:T24"/>
    <mergeCell ref="U24:Y24"/>
    <mergeCell ref="AF24:AJ24"/>
    <mergeCell ref="AK24:AO24"/>
    <mergeCell ref="U22:Y22"/>
    <mergeCell ref="AF22:AJ22"/>
    <mergeCell ref="AK22:AO22"/>
    <mergeCell ref="C23:J23"/>
    <mergeCell ref="K23:O23"/>
    <mergeCell ref="P23:T23"/>
    <mergeCell ref="U23:Y23"/>
    <mergeCell ref="AF23:AJ23"/>
    <mergeCell ref="AK23:AO23"/>
    <mergeCell ref="C27:J27"/>
    <mergeCell ref="K27:O27"/>
    <mergeCell ref="P27:T27"/>
    <mergeCell ref="U27:Y27"/>
    <mergeCell ref="C28:J28"/>
    <mergeCell ref="K28:O28"/>
    <mergeCell ref="P28:T28"/>
    <mergeCell ref="U28:Y28"/>
    <mergeCell ref="C25:J25"/>
    <mergeCell ref="K25:O25"/>
    <mergeCell ref="P25:T25"/>
    <mergeCell ref="U25:Y25"/>
    <mergeCell ref="C26:J26"/>
    <mergeCell ref="K26:O26"/>
    <mergeCell ref="P26:T26"/>
    <mergeCell ref="U26:Y26"/>
    <mergeCell ref="P32:T32"/>
    <mergeCell ref="U32:Y32"/>
    <mergeCell ref="C29:J29"/>
    <mergeCell ref="K29:O29"/>
    <mergeCell ref="P29:T29"/>
    <mergeCell ref="U29:Y29"/>
    <mergeCell ref="C30:J30"/>
    <mergeCell ref="K30:O30"/>
    <mergeCell ref="P30:T30"/>
    <mergeCell ref="U30:Y30"/>
    <mergeCell ref="B18:B36"/>
    <mergeCell ref="C18:J18"/>
    <mergeCell ref="K18:O18"/>
    <mergeCell ref="P18:T18"/>
    <mergeCell ref="U18:Y18"/>
    <mergeCell ref="C38:J38"/>
    <mergeCell ref="K38:O38"/>
    <mergeCell ref="P38:T38"/>
    <mergeCell ref="U38:Y38"/>
    <mergeCell ref="C33:J33"/>
    <mergeCell ref="K33:O33"/>
    <mergeCell ref="P33:T33"/>
    <mergeCell ref="U33:Y33"/>
    <mergeCell ref="C34:J34"/>
    <mergeCell ref="K34:O34"/>
    <mergeCell ref="P34:T34"/>
    <mergeCell ref="U34:Y34"/>
    <mergeCell ref="C31:J31"/>
    <mergeCell ref="K31:O31"/>
    <mergeCell ref="P31:T31"/>
    <mergeCell ref="U31:Y31"/>
    <mergeCell ref="C32:H32"/>
    <mergeCell ref="I32:J32"/>
    <mergeCell ref="K32:O32"/>
    <mergeCell ref="C35:H35"/>
    <mergeCell ref="I35:J35"/>
    <mergeCell ref="K35:O35"/>
    <mergeCell ref="P35:T35"/>
    <mergeCell ref="U35:Y35"/>
    <mergeCell ref="C36:H36"/>
    <mergeCell ref="I36:J36"/>
    <mergeCell ref="K36:O36"/>
    <mergeCell ref="P36:T36"/>
    <mergeCell ref="U36:Y36"/>
    <mergeCell ref="C39:J39"/>
    <mergeCell ref="K39:O39"/>
    <mergeCell ref="P39:T39"/>
    <mergeCell ref="U39:Y39"/>
    <mergeCell ref="B37:B38"/>
    <mergeCell ref="C37:J37"/>
    <mergeCell ref="K37:O37"/>
    <mergeCell ref="P37:T37"/>
    <mergeCell ref="U37:Y37"/>
    <mergeCell ref="B49:F53"/>
    <mergeCell ref="G49:Y49"/>
    <mergeCell ref="G50:Y50"/>
    <mergeCell ref="G51:Y51"/>
    <mergeCell ref="G52:Y52"/>
    <mergeCell ref="G53:Y53"/>
    <mergeCell ref="B40:F41"/>
    <mergeCell ref="G40:Y41"/>
    <mergeCell ref="B42:F48"/>
    <mergeCell ref="G42:Y42"/>
    <mergeCell ref="G43:Y43"/>
    <mergeCell ref="G44:Y44"/>
    <mergeCell ref="G45:Y45"/>
    <mergeCell ref="G46:Y46"/>
    <mergeCell ref="G47:Y47"/>
    <mergeCell ref="G48:Y48"/>
  </mergeCells>
  <phoneticPr fontId="1"/>
  <dataValidations count="1">
    <dataValidation type="list" allowBlank="1" showInputMessage="1" showErrorMessage="1" sqref="H17:Y17" xr:uid="{F78CF21F-D8AB-4B67-8E19-AE1988FF797B}">
      <formula1>$AC$8:$AC$9</formula1>
    </dataValidation>
  </dataValidations>
  <printOptions horizontalCentered="1"/>
  <pageMargins left="0.31496062992125984" right="0.11811023622047245" top="0.35433070866141736" bottom="0.35433070866141736" header="0.31496062992125984" footer="0.31496062992125984"/>
  <pageSetup paperSize="9" scale="93"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
    <pageSetUpPr fitToPage="1"/>
  </sheetPr>
  <dimension ref="A1:AT55"/>
  <sheetViews>
    <sheetView view="pageBreakPreview" topLeftCell="A28" zoomScaleNormal="145" zoomScaleSheetLayoutView="100" workbookViewId="0">
      <selection activeCell="AH39" sqref="AH39"/>
    </sheetView>
  </sheetViews>
  <sheetFormatPr defaultColWidth="9" defaultRowHeight="14.25"/>
  <cols>
    <col min="1" max="65" width="3.875" style="3" customWidth="1"/>
    <col min="66" max="70" width="9" style="3" customWidth="1"/>
    <col min="71" max="16384" width="9" style="3"/>
  </cols>
  <sheetData>
    <row r="1" spans="1:30">
      <c r="A1" s="3" t="s">
        <v>453</v>
      </c>
      <c r="Y1" s="17"/>
      <c r="Z1" s="17"/>
    </row>
    <row r="2" spans="1:30">
      <c r="Y2" s="17"/>
      <c r="Z2" s="17"/>
    </row>
    <row r="3" spans="1:30" ht="17.25">
      <c r="A3" s="1043" t="s">
        <v>70</v>
      </c>
      <c r="B3" s="1043"/>
      <c r="C3" s="1043"/>
      <c r="D3" s="1043"/>
      <c r="E3" s="1043"/>
      <c r="F3" s="1043"/>
      <c r="G3" s="1043"/>
      <c r="H3" s="1043"/>
      <c r="I3" s="1043"/>
      <c r="J3" s="1043"/>
      <c r="K3" s="1043"/>
      <c r="L3" s="1043"/>
      <c r="M3" s="1043"/>
      <c r="N3" s="1043"/>
      <c r="O3" s="1043"/>
      <c r="P3" s="1043"/>
      <c r="Q3" s="1043"/>
      <c r="R3" s="1043"/>
      <c r="S3" s="1043"/>
      <c r="T3" s="1043"/>
      <c r="U3" s="1043"/>
      <c r="V3" s="1043"/>
      <c r="W3" s="1043"/>
      <c r="X3" s="1043"/>
      <c r="Y3" s="17"/>
      <c r="Z3" s="17"/>
    </row>
    <row r="4" spans="1:30">
      <c r="B4" s="4"/>
      <c r="C4" s="5"/>
      <c r="D4" s="5"/>
      <c r="E4" s="5"/>
      <c r="F4" s="5"/>
      <c r="G4" s="5"/>
      <c r="H4" s="5"/>
      <c r="I4" s="5"/>
      <c r="J4" s="5"/>
      <c r="K4" s="5"/>
      <c r="L4" s="5"/>
      <c r="M4" s="5"/>
      <c r="N4" s="5"/>
      <c r="O4" s="5"/>
      <c r="P4" s="5"/>
      <c r="Q4" s="5"/>
      <c r="R4" s="5"/>
      <c r="S4" s="5"/>
      <c r="T4" s="5"/>
      <c r="U4" s="5"/>
      <c r="V4" s="5"/>
      <c r="W4" s="5"/>
      <c r="X4" s="5"/>
      <c r="Y4" s="6"/>
    </row>
    <row r="5" spans="1:30">
      <c r="B5" s="7"/>
      <c r="C5" s="8"/>
      <c r="D5" s="8"/>
      <c r="E5" s="8"/>
      <c r="F5" s="8"/>
      <c r="G5" s="8"/>
      <c r="H5" s="8"/>
      <c r="I5" s="8"/>
      <c r="J5" s="8"/>
      <c r="K5" s="8"/>
      <c r="L5" s="8"/>
      <c r="M5" s="8"/>
      <c r="N5" s="8"/>
      <c r="O5" s="8"/>
      <c r="P5" s="8"/>
      <c r="Q5" s="8"/>
      <c r="R5" s="8"/>
      <c r="S5" s="216"/>
      <c r="T5" s="216"/>
      <c r="U5" s="216"/>
      <c r="V5" s="216"/>
      <c r="W5" s="216"/>
      <c r="X5" s="216"/>
      <c r="Y5" s="215"/>
    </row>
    <row r="6" spans="1:30">
      <c r="B6" s="7"/>
      <c r="C6" s="8"/>
      <c r="D6" s="8"/>
      <c r="E6" s="8"/>
      <c r="F6" s="8"/>
      <c r="G6" s="8"/>
      <c r="H6" s="8"/>
      <c r="I6" s="8"/>
      <c r="J6" s="8"/>
      <c r="K6" s="8"/>
      <c r="L6" s="8"/>
      <c r="M6" s="8"/>
      <c r="N6" s="8"/>
      <c r="O6" s="8"/>
      <c r="P6" s="8"/>
      <c r="Q6" s="8"/>
      <c r="R6" s="8"/>
      <c r="S6" s="8"/>
      <c r="T6" s="8"/>
      <c r="U6" s="8"/>
      <c r="V6" s="8"/>
      <c r="W6" s="8"/>
      <c r="X6" s="8"/>
      <c r="Y6" s="9"/>
    </row>
    <row r="7" spans="1:30">
      <c r="B7" s="7"/>
      <c r="C7" s="8" t="s">
        <v>71</v>
      </c>
      <c r="D7" s="8"/>
      <c r="E7" s="8"/>
      <c r="F7" s="8"/>
      <c r="G7" s="8"/>
      <c r="H7" s="8"/>
      <c r="I7" s="8"/>
      <c r="J7" s="8"/>
      <c r="K7" s="8"/>
      <c r="L7" s="8"/>
      <c r="M7" s="8"/>
      <c r="N7" s="8"/>
      <c r="O7" s="8"/>
      <c r="P7" s="8"/>
      <c r="Q7" s="8"/>
      <c r="R7" s="8"/>
      <c r="S7" s="8"/>
      <c r="T7" s="8"/>
      <c r="U7" s="8"/>
      <c r="V7" s="8"/>
      <c r="W7" s="8"/>
      <c r="X7" s="8"/>
      <c r="Y7" s="9"/>
    </row>
    <row r="8" spans="1:30">
      <c r="B8" s="7"/>
      <c r="C8" s="8"/>
      <c r="D8" s="8"/>
      <c r="E8" s="8"/>
      <c r="F8" s="8"/>
      <c r="G8" s="8"/>
      <c r="H8" s="8"/>
      <c r="I8" s="8"/>
      <c r="J8" s="8"/>
      <c r="K8" s="8"/>
      <c r="L8" s="8"/>
      <c r="M8" s="8"/>
      <c r="N8" s="8"/>
      <c r="O8" s="8"/>
      <c r="P8" s="8"/>
      <c r="Q8" s="8"/>
      <c r="R8" s="8"/>
      <c r="S8" s="8"/>
      <c r="T8" s="8"/>
      <c r="U8" s="8"/>
      <c r="V8" s="8"/>
      <c r="W8" s="8"/>
      <c r="X8" s="8"/>
      <c r="Y8" s="9"/>
      <c r="AC8" s="3" t="s">
        <v>484</v>
      </c>
    </row>
    <row r="9" spans="1:30" ht="24" customHeight="1">
      <c r="B9" s="7"/>
      <c r="C9" s="1012" t="s">
        <v>57</v>
      </c>
      <c r="D9" s="1012"/>
      <c r="E9" s="1012"/>
      <c r="F9" s="1025" t="s">
        <v>40</v>
      </c>
      <c r="G9" s="1025"/>
      <c r="H9" s="1025"/>
      <c r="I9" s="1025"/>
      <c r="J9" s="1048" t="s">
        <v>570</v>
      </c>
      <c r="K9" s="1048"/>
      <c r="L9" s="1048"/>
      <c r="M9" s="1048"/>
      <c r="N9" s="1048"/>
      <c r="O9" s="1048"/>
      <c r="P9" s="1048"/>
      <c r="Q9" s="1048"/>
      <c r="R9" s="1048"/>
      <c r="S9" s="1048"/>
      <c r="T9" s="1048"/>
      <c r="U9" s="1048"/>
      <c r="V9" s="1048"/>
      <c r="W9" s="1048"/>
      <c r="X9" s="1048"/>
      <c r="Y9" s="1006"/>
      <c r="AC9" s="3" t="s">
        <v>499</v>
      </c>
    </row>
    <row r="10" spans="1:30" ht="24" customHeight="1">
      <c r="B10" s="7"/>
      <c r="C10" s="1012"/>
      <c r="D10" s="1012"/>
      <c r="E10" s="1012"/>
      <c r="F10" s="1025" t="s">
        <v>421</v>
      </c>
      <c r="G10" s="1025"/>
      <c r="H10" s="1025"/>
      <c r="I10" s="1025"/>
      <c r="J10" s="1049" t="str">
        <f>鑑!G7</f>
        <v>はぐくみ学童クラブ</v>
      </c>
      <c r="K10" s="1049"/>
      <c r="L10" s="1049"/>
      <c r="M10" s="1049"/>
      <c r="N10" s="1049"/>
      <c r="O10" s="1049"/>
      <c r="P10" s="1049"/>
      <c r="Q10" s="1049"/>
      <c r="R10" s="1049"/>
      <c r="S10" s="1049"/>
      <c r="T10" s="1049"/>
      <c r="U10" s="1049"/>
      <c r="V10" s="1049"/>
      <c r="W10" s="1049"/>
      <c r="X10" s="1049"/>
      <c r="Y10" s="1050"/>
    </row>
    <row r="11" spans="1:30">
      <c r="B11" s="7"/>
      <c r="C11" s="1012"/>
      <c r="D11" s="1012"/>
      <c r="E11" s="1012"/>
      <c r="F11" s="1025" t="s">
        <v>56</v>
      </c>
      <c r="G11" s="1025"/>
      <c r="H11" s="1025"/>
      <c r="I11" s="1025"/>
      <c r="J11" s="1051" t="s">
        <v>100</v>
      </c>
      <c r="K11" s="1051"/>
      <c r="L11" s="1048" t="s">
        <v>571</v>
      </c>
      <c r="M11" s="1048"/>
      <c r="N11" s="1048"/>
      <c r="O11" s="1048"/>
      <c r="P11" s="1048"/>
      <c r="Q11" s="1048"/>
      <c r="R11" s="1048"/>
      <c r="S11" s="1048"/>
      <c r="T11" s="1048"/>
      <c r="U11" s="1048"/>
      <c r="V11" s="1048"/>
      <c r="W11" s="1048"/>
      <c r="X11" s="209"/>
      <c r="Y11" s="210"/>
      <c r="AC11" s="3" t="s">
        <v>487</v>
      </c>
      <c r="AD11" s="3">
        <v>12</v>
      </c>
    </row>
    <row r="12" spans="1:30">
      <c r="B12" s="7"/>
      <c r="C12" s="1012"/>
      <c r="D12" s="1012"/>
      <c r="E12" s="1012"/>
      <c r="F12" s="1025"/>
      <c r="G12" s="1025"/>
      <c r="H12" s="1025"/>
      <c r="I12" s="1025"/>
      <c r="J12" s="1051"/>
      <c r="K12" s="1051"/>
      <c r="L12" s="998"/>
      <c r="M12" s="998"/>
      <c r="N12" s="998"/>
      <c r="O12" s="998"/>
      <c r="P12" s="998"/>
      <c r="Q12" s="998"/>
      <c r="R12" s="998"/>
      <c r="S12" s="998"/>
      <c r="T12" s="998"/>
      <c r="U12" s="998"/>
      <c r="V12" s="998"/>
      <c r="W12" s="998"/>
      <c r="X12" s="209"/>
      <c r="Y12" s="210"/>
      <c r="AC12" s="3" t="s">
        <v>11</v>
      </c>
      <c r="AD12" s="3">
        <v>11</v>
      </c>
    </row>
    <row r="13" spans="1:30">
      <c r="B13" s="7"/>
      <c r="C13" s="1012"/>
      <c r="D13" s="1012"/>
      <c r="E13" s="1012"/>
      <c r="F13" s="1025"/>
      <c r="G13" s="1025"/>
      <c r="H13" s="1025"/>
      <c r="I13" s="1025"/>
      <c r="J13" s="1051" t="s">
        <v>101</v>
      </c>
      <c r="K13" s="1051"/>
      <c r="L13" s="1048" t="s">
        <v>572</v>
      </c>
      <c r="M13" s="1048"/>
      <c r="N13" s="1048"/>
      <c r="O13" s="1048"/>
      <c r="P13" s="1048"/>
      <c r="Q13" s="1048"/>
      <c r="R13" s="1048"/>
      <c r="S13" s="1048"/>
      <c r="T13" s="1048"/>
      <c r="U13" s="1048"/>
      <c r="V13" s="1048"/>
      <c r="W13" s="1048"/>
      <c r="X13" s="209"/>
      <c r="Y13" s="210"/>
      <c r="AC13" s="3" t="s">
        <v>12</v>
      </c>
      <c r="AD13" s="3">
        <v>10</v>
      </c>
    </row>
    <row r="14" spans="1:30">
      <c r="B14" s="10"/>
      <c r="C14" s="1047"/>
      <c r="D14" s="1047"/>
      <c r="E14" s="1047"/>
      <c r="F14" s="1026"/>
      <c r="G14" s="1026"/>
      <c r="H14" s="1026"/>
      <c r="I14" s="1026"/>
      <c r="J14" s="1052"/>
      <c r="K14" s="1052"/>
      <c r="L14" s="998"/>
      <c r="M14" s="998"/>
      <c r="N14" s="998"/>
      <c r="O14" s="998"/>
      <c r="P14" s="998"/>
      <c r="Q14" s="998"/>
      <c r="R14" s="998"/>
      <c r="S14" s="998"/>
      <c r="T14" s="998"/>
      <c r="U14" s="998"/>
      <c r="V14" s="998"/>
      <c r="W14" s="998"/>
      <c r="X14" s="211"/>
      <c r="Y14" s="212"/>
      <c r="AC14" s="3" t="s">
        <v>13</v>
      </c>
      <c r="AD14" s="3">
        <v>9</v>
      </c>
    </row>
    <row r="15" spans="1:30" ht="22.5" customHeight="1">
      <c r="B15" s="1021" t="s">
        <v>72</v>
      </c>
      <c r="C15" s="1021"/>
      <c r="D15" s="1021"/>
      <c r="E15" s="1021"/>
      <c r="F15" s="1021"/>
      <c r="G15" s="1021"/>
      <c r="H15" s="1023" t="s">
        <v>467</v>
      </c>
      <c r="I15" s="1023"/>
      <c r="J15" s="1023"/>
      <c r="K15" s="1023"/>
      <c r="L15" s="1023"/>
      <c r="M15" s="1023"/>
      <c r="N15" s="1023"/>
      <c r="O15" s="1023"/>
      <c r="P15" s="1023"/>
      <c r="Q15" s="1023"/>
      <c r="R15" s="1023"/>
      <c r="S15" s="1023"/>
      <c r="T15" s="1023"/>
      <c r="U15" s="1023"/>
      <c r="V15" s="1023"/>
      <c r="W15" s="1023"/>
      <c r="X15" s="1023"/>
      <c r="Y15" s="1023"/>
      <c r="AC15" s="3" t="s">
        <v>14</v>
      </c>
      <c r="AD15" s="3">
        <v>8</v>
      </c>
    </row>
    <row r="16" spans="1:30" ht="22.5" customHeight="1">
      <c r="B16" s="1022" t="s">
        <v>73</v>
      </c>
      <c r="C16" s="1022"/>
      <c r="D16" s="1022"/>
      <c r="E16" s="1022"/>
      <c r="F16" s="1022"/>
      <c r="G16" s="1022"/>
      <c r="H16" s="1024" t="s">
        <v>107</v>
      </c>
      <c r="I16" s="1024"/>
      <c r="J16" s="1024"/>
      <c r="K16" s="1024"/>
      <c r="L16" s="1024"/>
      <c r="M16" s="1024"/>
      <c r="N16" s="1024"/>
      <c r="O16" s="1024"/>
      <c r="P16" s="1024"/>
      <c r="Q16" s="1024"/>
      <c r="R16" s="1024"/>
      <c r="S16" s="1024"/>
      <c r="T16" s="1024"/>
      <c r="U16" s="1024"/>
      <c r="V16" s="1024"/>
      <c r="W16" s="1024"/>
      <c r="X16" s="1024"/>
      <c r="Y16" s="1024"/>
      <c r="AC16" s="3" t="s">
        <v>15</v>
      </c>
      <c r="AD16" s="3">
        <v>7</v>
      </c>
    </row>
    <row r="17" spans="2:46" ht="22.5" customHeight="1">
      <c r="B17" s="1022" t="s">
        <v>483</v>
      </c>
      <c r="C17" s="1022"/>
      <c r="D17" s="1022"/>
      <c r="E17" s="1022"/>
      <c r="F17" s="1022"/>
      <c r="G17" s="1022"/>
      <c r="H17" s="1003" t="s">
        <v>578</v>
      </c>
      <c r="I17" s="1003"/>
      <c r="J17" s="1003"/>
      <c r="K17" s="1003"/>
      <c r="L17" s="1003"/>
      <c r="M17" s="1003"/>
      <c r="N17" s="1003"/>
      <c r="O17" s="1003"/>
      <c r="P17" s="1003"/>
      <c r="Q17" s="1003"/>
      <c r="R17" s="1003"/>
      <c r="S17" s="1003"/>
      <c r="T17" s="1003"/>
      <c r="U17" s="1003"/>
      <c r="V17" s="1003"/>
      <c r="W17" s="1003"/>
      <c r="X17" s="1003"/>
      <c r="Y17" s="1003"/>
      <c r="AC17" s="3" t="s">
        <v>16</v>
      </c>
      <c r="AD17" s="3">
        <v>6</v>
      </c>
    </row>
    <row r="18" spans="2:46" ht="22.5" customHeight="1" thickBot="1">
      <c r="B18" s="1033" t="s">
        <v>486</v>
      </c>
      <c r="C18" s="1034"/>
      <c r="D18" s="1034"/>
      <c r="E18" s="1034"/>
      <c r="F18" s="1034"/>
      <c r="G18" s="1034"/>
      <c r="H18" s="1040" t="s">
        <v>10</v>
      </c>
      <c r="I18" s="1041"/>
      <c r="J18" s="1041"/>
      <c r="K18" s="1041"/>
      <c r="L18" s="1041"/>
      <c r="M18" s="1042"/>
      <c r="N18" s="1035" t="s">
        <v>485</v>
      </c>
      <c r="O18" s="1036"/>
      <c r="P18" s="1036"/>
      <c r="Q18" s="1036"/>
      <c r="R18" s="1036"/>
      <c r="S18" s="1036"/>
      <c r="T18" s="1037">
        <f>INDEX(AD11:AD22, MATCH(H18, AC11:AC22, 0))</f>
        <v>12</v>
      </c>
      <c r="U18" s="1038"/>
      <c r="V18" s="1038"/>
      <c r="W18" s="1038"/>
      <c r="X18" s="1038"/>
      <c r="Y18" s="1039"/>
      <c r="AC18" s="3" t="s">
        <v>17</v>
      </c>
      <c r="AD18" s="3">
        <v>5</v>
      </c>
    </row>
    <row r="19" spans="2:46" ht="21.75" customHeight="1" thickBot="1">
      <c r="B19" s="1105" t="s">
        <v>234</v>
      </c>
      <c r="C19" s="1030" t="s">
        <v>28</v>
      </c>
      <c r="D19" s="1031"/>
      <c r="E19" s="1031"/>
      <c r="F19" s="1031"/>
      <c r="G19" s="1031"/>
      <c r="H19" s="1031"/>
      <c r="I19" s="1031"/>
      <c r="J19" s="1032"/>
      <c r="K19" s="1030" t="s">
        <v>115</v>
      </c>
      <c r="L19" s="1031"/>
      <c r="M19" s="1031"/>
      <c r="N19" s="1031"/>
      <c r="O19" s="1032"/>
      <c r="P19" s="1125" t="s">
        <v>90</v>
      </c>
      <c r="Q19" s="1128"/>
      <c r="R19" s="1128"/>
      <c r="S19" s="1128"/>
      <c r="T19" s="1128"/>
      <c r="U19" s="1125" t="s">
        <v>38</v>
      </c>
      <c r="V19" s="1126"/>
      <c r="W19" s="1126"/>
      <c r="X19" s="1126"/>
      <c r="Y19" s="1127"/>
      <c r="AC19" s="3" t="s">
        <v>18</v>
      </c>
      <c r="AD19" s="3">
        <v>4</v>
      </c>
      <c r="AF19" s="3" t="s">
        <v>508</v>
      </c>
    </row>
    <row r="20" spans="2:46" ht="21.75" customHeight="1" thickTop="1">
      <c r="B20" s="1106"/>
      <c r="C20" s="1107"/>
      <c r="D20" s="1108"/>
      <c r="E20" s="1108"/>
      <c r="F20" s="1108"/>
      <c r="G20" s="1108"/>
      <c r="H20" s="1108"/>
      <c r="I20" s="1108"/>
      <c r="J20" s="1109"/>
      <c r="K20" s="1110">
        <f>SUM(K21:O37)</f>
        <v>4514400</v>
      </c>
      <c r="L20" s="1111"/>
      <c r="M20" s="1111"/>
      <c r="N20" s="1111"/>
      <c r="O20" s="1112"/>
      <c r="P20" s="1110">
        <f>SUM(P21:T37)</f>
        <v>15779400</v>
      </c>
      <c r="Q20" s="1111"/>
      <c r="R20" s="1111"/>
      <c r="S20" s="1111"/>
      <c r="T20" s="1112"/>
      <c r="U20" s="1110">
        <f>SUM(U21:Y37)</f>
        <v>11265000</v>
      </c>
      <c r="V20" s="1111"/>
      <c r="W20" s="1111"/>
      <c r="X20" s="1111"/>
      <c r="Y20" s="1113"/>
      <c r="AC20" s="3" t="s">
        <v>488</v>
      </c>
      <c r="AD20" s="3">
        <v>3</v>
      </c>
      <c r="AF20" s="1029" t="s">
        <v>491</v>
      </c>
      <c r="AG20" s="1027"/>
      <c r="AH20" s="1027"/>
      <c r="AI20" s="1027"/>
      <c r="AJ20" s="1027"/>
      <c r="AK20" s="1027" t="s">
        <v>492</v>
      </c>
      <c r="AL20" s="1027"/>
      <c r="AM20" s="1027"/>
      <c r="AN20" s="1027"/>
      <c r="AO20" s="1027"/>
      <c r="AP20" s="1027" t="s">
        <v>498</v>
      </c>
      <c r="AQ20" s="1027"/>
      <c r="AR20" s="1027"/>
      <c r="AS20" s="1027"/>
      <c r="AT20" s="1028"/>
    </row>
    <row r="21" spans="2:46" ht="18.75" customHeight="1">
      <c r="B21" s="1106"/>
      <c r="C21" s="1114" t="s">
        <v>30</v>
      </c>
      <c r="D21" s="1115"/>
      <c r="E21" s="1116"/>
      <c r="F21" s="1119" t="s">
        <v>496</v>
      </c>
      <c r="G21" s="1120"/>
      <c r="H21" s="1117">
        <f>MAX('様式２（クラブ児童数等報告書）'!P12,'様式２（クラブ児童数等報告書）'!P20)</f>
        <v>35</v>
      </c>
      <c r="I21" s="1117"/>
      <c r="J21" s="1118"/>
      <c r="K21" s="1018">
        <f>+P21-U21</f>
        <v>1684000</v>
      </c>
      <c r="L21" s="1018"/>
      <c r="M21" s="1018"/>
      <c r="N21" s="1018"/>
      <c r="O21" s="1018"/>
      <c r="P21" s="1018">
        <f>IF(H17="原則、設備運営基準どおり支援員等を配置している。", AF21, IF(H17="【常勤２名】原則、設備運営基準どおり放課後児童支援員（常勤職員）を２名以上配置している。", AP21, ""))</f>
        <v>6526000</v>
      </c>
      <c r="Q21" s="1018"/>
      <c r="R21" s="1018"/>
      <c r="S21" s="1018"/>
      <c r="T21" s="1018"/>
      <c r="U21" s="933">
        <v>4842000</v>
      </c>
      <c r="V21" s="933"/>
      <c r="W21" s="933"/>
      <c r="X21" s="933"/>
      <c r="Y21" s="934"/>
      <c r="AC21" s="3" t="s">
        <v>489</v>
      </c>
      <c r="AD21" s="3">
        <v>2</v>
      </c>
      <c r="AF21" s="1020">
        <f>IF(AND(H23&gt;=250,1&lt;=H21,H21&lt;=19),2629000-(19-H21)*29000,IF(AND(H23&gt;=250,20&lt;=H21,H21&lt;=35),4868000-(36-H21)*26000,IF(AND(H23&gt;=250,36&lt;=H21,H21&lt;=45),4868000,IF(AND(H23&gt;=250,46&lt;=H21,H21&lt;=70),4868000-(H21-45)*75000,IF(AND(200&lt;=H23,H23&lt;=249,H21&gt;=20),3185000,IF(AND(200&lt;=H23,H23&lt;=249,1&lt;=H21,H21&lt;=20),1766000,""))))))</f>
        <v>4842000</v>
      </c>
      <c r="AG21" s="1012"/>
      <c r="AH21" s="1012"/>
      <c r="AI21" s="1012"/>
      <c r="AJ21" s="1012"/>
      <c r="AK21" s="1012">
        <f>IF(AND(H23&gt;=250,1&lt;=H21,H21&lt;=19),4313000-(19-H21)*29000,IF(AND(H23&gt;=250,20&lt;=H21,H21&lt;=35),6552000-(36-H21)*26000,IF(AND(H23&gt;=250,36&lt;=H21,H21&lt;=45),6552000,IF(AND(H23&gt;=250,46&lt;=H21,H21&lt;=70),6552000-(H21-45)*75000,IF(AND(200&lt;=H23,H23&lt;=249,H21&gt;=20),4552000,IF(AND(200&lt;=H23,H23&lt;=249,1&lt;=H21,H21&lt;=20),3102000,""))))))</f>
        <v>6526000</v>
      </c>
      <c r="AL21" s="1012"/>
      <c r="AM21" s="1012"/>
      <c r="AN21" s="1012"/>
      <c r="AO21" s="1012"/>
      <c r="AP21" s="1012">
        <f>ROUNDDOWN(AF21*(12-T18)/12+AK21*T18/12,-3)</f>
        <v>6526000</v>
      </c>
      <c r="AQ21" s="1012"/>
      <c r="AR21" s="1012"/>
      <c r="AS21" s="1012"/>
      <c r="AT21" s="1013"/>
    </row>
    <row r="22" spans="2:46" ht="18.75" customHeight="1">
      <c r="B22" s="1106"/>
      <c r="C22" s="1088" t="s">
        <v>74</v>
      </c>
      <c r="D22" s="1089"/>
      <c r="E22" s="1089"/>
      <c r="F22" s="1089"/>
      <c r="G22" s="1089"/>
      <c r="H22" s="1089"/>
      <c r="I22" s="1089"/>
      <c r="J22" s="1093"/>
      <c r="K22" s="1018">
        <f>+P22-U22</f>
        <v>0</v>
      </c>
      <c r="L22" s="1018"/>
      <c r="M22" s="1018"/>
      <c r="N22" s="1018"/>
      <c r="O22" s="1018"/>
      <c r="P22" s="1018">
        <f>IF(H21&lt;=19,643000,0)</f>
        <v>0</v>
      </c>
      <c r="Q22" s="1018"/>
      <c r="R22" s="1018"/>
      <c r="S22" s="1018"/>
      <c r="T22" s="1018"/>
      <c r="U22" s="933">
        <v>0</v>
      </c>
      <c r="V22" s="933"/>
      <c r="W22" s="933"/>
      <c r="X22" s="933"/>
      <c r="Y22" s="934"/>
      <c r="AC22" s="3" t="s">
        <v>490</v>
      </c>
      <c r="AD22" s="3">
        <v>1</v>
      </c>
      <c r="AF22" s="1020"/>
      <c r="AG22" s="1012"/>
      <c r="AH22" s="1012"/>
      <c r="AI22" s="1012"/>
      <c r="AJ22" s="1012"/>
      <c r="AK22" s="1012"/>
      <c r="AL22" s="1012"/>
      <c r="AM22" s="1012"/>
      <c r="AN22" s="1012"/>
      <c r="AO22" s="1012"/>
      <c r="AP22" s="1012"/>
      <c r="AQ22" s="1012"/>
      <c r="AR22" s="1012"/>
      <c r="AS22" s="1012"/>
      <c r="AT22" s="1013"/>
    </row>
    <row r="23" spans="2:46" ht="18.75" customHeight="1">
      <c r="B23" s="1106"/>
      <c r="C23" s="1090" t="s">
        <v>27</v>
      </c>
      <c r="D23" s="1091"/>
      <c r="E23" s="1092"/>
      <c r="F23" s="1121" t="s">
        <v>497</v>
      </c>
      <c r="G23" s="1092"/>
      <c r="H23" s="1122">
        <f>MAX('様式２（クラブ児童数等報告書）'!P13,'様式２（クラブ児童数等報告書）'!P21)</f>
        <v>289</v>
      </c>
      <c r="I23" s="1123"/>
      <c r="J23" s="1124"/>
      <c r="K23" s="1018">
        <f t="shared" ref="K23:K37" si="0">+P23-U23</f>
        <v>834000</v>
      </c>
      <c r="L23" s="1018"/>
      <c r="M23" s="1018"/>
      <c r="N23" s="1018"/>
      <c r="O23" s="1018"/>
      <c r="P23" s="1018">
        <f>IF(H17="原則、設備運営基準どおり支援員等を配置している。", AF23, IF(H17="【常勤２名】原則、設備運営基準どおり放課後児童支援員（常勤職員）を２名以上配置している。", AP23, ""))</f>
        <v>1014000</v>
      </c>
      <c r="Q23" s="1018"/>
      <c r="R23" s="1018"/>
      <c r="S23" s="1018"/>
      <c r="T23" s="1018"/>
      <c r="U23" s="933">
        <v>180000</v>
      </c>
      <c r="V23" s="933"/>
      <c r="W23" s="933"/>
      <c r="X23" s="933"/>
      <c r="Y23" s="934"/>
      <c r="AF23" s="1020">
        <f>IF(H23&gt;250,様式４年間開所カレンダー!K375,0)*20000</f>
        <v>780000</v>
      </c>
      <c r="AG23" s="1012"/>
      <c r="AH23" s="1012"/>
      <c r="AI23" s="1012"/>
      <c r="AJ23" s="1012"/>
      <c r="AK23" s="1012">
        <f>IF(H23&gt;250,様式４年間開所カレンダー!K375,0)*26000</f>
        <v>1014000</v>
      </c>
      <c r="AL23" s="1012"/>
      <c r="AM23" s="1012"/>
      <c r="AN23" s="1012"/>
      <c r="AO23" s="1012"/>
      <c r="AP23" s="1012">
        <f>ROUNDDOWN(AF23*(12-T18)/12+AK23*T18/12,-3)</f>
        <v>1014000</v>
      </c>
      <c r="AQ23" s="1012"/>
      <c r="AR23" s="1012"/>
      <c r="AS23" s="1012"/>
      <c r="AT23" s="1013"/>
    </row>
    <row r="24" spans="2:46" ht="18.75" customHeight="1">
      <c r="B24" s="1106"/>
      <c r="C24" s="1016" t="s">
        <v>32</v>
      </c>
      <c r="D24" s="1017"/>
      <c r="E24" s="1017"/>
      <c r="F24" s="1017"/>
      <c r="G24" s="1017"/>
      <c r="H24" s="1017"/>
      <c r="I24" s="1017"/>
      <c r="J24" s="1017"/>
      <c r="K24" s="1018">
        <f t="shared" si="0"/>
        <v>-71000</v>
      </c>
      <c r="L24" s="1018"/>
      <c r="M24" s="1018"/>
      <c r="N24" s="1018"/>
      <c r="O24" s="1018"/>
      <c r="P24" s="1018">
        <f>IF(H17="原則、設備運営基準どおり支援員等を配置している。", AF24, IF(H17="【常勤２名】原則、設備運営基準どおり放課後児童支援員（常勤職員）を２名以上配置している。", AP24, ""))</f>
        <v>0</v>
      </c>
      <c r="Q24" s="1018"/>
      <c r="R24" s="1018"/>
      <c r="S24" s="1018"/>
      <c r="T24" s="1018"/>
      <c r="U24" s="933">
        <v>71000</v>
      </c>
      <c r="V24" s="933"/>
      <c r="W24" s="933"/>
      <c r="X24" s="933"/>
      <c r="Y24" s="934"/>
      <c r="AF24" s="1020">
        <f>ROUNDDOWN(様式４年間開所カレンダー!F375*421000,-3)</f>
        <v>0</v>
      </c>
      <c r="AG24" s="1012"/>
      <c r="AH24" s="1012"/>
      <c r="AI24" s="1012"/>
      <c r="AJ24" s="1012"/>
      <c r="AK24" s="1012">
        <f>ROUNDDOWN(様式４年間開所カレンダー!F375*671000,-3)</f>
        <v>0</v>
      </c>
      <c r="AL24" s="1012"/>
      <c r="AM24" s="1012"/>
      <c r="AN24" s="1012"/>
      <c r="AO24" s="1012"/>
      <c r="AP24" s="1012">
        <f>ROUNDDOWN(AF24*(12-T18)/12+AK24*T18/12,-3)</f>
        <v>0</v>
      </c>
      <c r="AQ24" s="1012"/>
      <c r="AR24" s="1012"/>
      <c r="AS24" s="1012"/>
      <c r="AT24" s="1013"/>
    </row>
    <row r="25" spans="2:46" ht="18.75" customHeight="1" thickBot="1">
      <c r="B25" s="1106"/>
      <c r="C25" s="1016" t="s">
        <v>33</v>
      </c>
      <c r="D25" s="1017"/>
      <c r="E25" s="1017"/>
      <c r="F25" s="1017"/>
      <c r="G25" s="1017"/>
      <c r="H25" s="1017"/>
      <c r="I25" s="1017"/>
      <c r="J25" s="1017"/>
      <c r="K25" s="1018">
        <f t="shared" si="0"/>
        <v>547000</v>
      </c>
      <c r="L25" s="1018"/>
      <c r="M25" s="1018"/>
      <c r="N25" s="1018"/>
      <c r="O25" s="1018"/>
      <c r="P25" s="1018">
        <f>IF(H17="原則、設備運営基準どおり支援員等を配置している。", AF25, IF(H17="【常勤２名】原則、設備運営基準どおり放課後児童支援員（常勤職員）を２名以上配置している。", AP25, ""))</f>
        <v>640000</v>
      </c>
      <c r="Q25" s="1018"/>
      <c r="R25" s="1018"/>
      <c r="S25" s="1018"/>
      <c r="T25" s="1018"/>
      <c r="U25" s="933">
        <v>93000</v>
      </c>
      <c r="V25" s="933"/>
      <c r="W25" s="933"/>
      <c r="X25" s="933"/>
      <c r="Y25" s="934"/>
      <c r="AF25" s="1019">
        <f>ROUNDDOWN(様式４年間開所カレンダー!F376*190000,-3)</f>
        <v>402000</v>
      </c>
      <c r="AG25" s="1014"/>
      <c r="AH25" s="1014"/>
      <c r="AI25" s="1014"/>
      <c r="AJ25" s="1014"/>
      <c r="AK25" s="1014">
        <f>ROUNDDOWN(様式４年間開所カレンダー!F376*302000,-3)</f>
        <v>640000</v>
      </c>
      <c r="AL25" s="1014"/>
      <c r="AM25" s="1014"/>
      <c r="AN25" s="1014"/>
      <c r="AO25" s="1014"/>
      <c r="AP25" s="1014">
        <f>ROUNDDOWN(AF25*(12-T18)/12+AK25*T18/12,-3)</f>
        <v>640000</v>
      </c>
      <c r="AQ25" s="1014"/>
      <c r="AR25" s="1014"/>
      <c r="AS25" s="1014"/>
      <c r="AT25" s="1015"/>
    </row>
    <row r="26" spans="2:46" ht="18.75" customHeight="1" thickTop="1">
      <c r="B26" s="1106"/>
      <c r="C26" s="1016" t="s">
        <v>34</v>
      </c>
      <c r="D26" s="1017"/>
      <c r="E26" s="1017"/>
      <c r="F26" s="1017"/>
      <c r="G26" s="1017"/>
      <c r="H26" s="1017"/>
      <c r="I26" s="1017"/>
      <c r="J26" s="1017"/>
      <c r="K26" s="1018">
        <f t="shared" si="0"/>
        <v>232000</v>
      </c>
      <c r="L26" s="1018"/>
      <c r="M26" s="1018"/>
      <c r="N26" s="1018"/>
      <c r="O26" s="1018"/>
      <c r="P26" s="1018">
        <f>'様式２（クラブ児童数等報告書）'!O25</f>
        <v>2232000</v>
      </c>
      <c r="Q26" s="1018"/>
      <c r="R26" s="1018"/>
      <c r="S26" s="1018"/>
      <c r="T26" s="1018"/>
      <c r="U26" s="933">
        <v>2000000</v>
      </c>
      <c r="V26" s="933"/>
      <c r="W26" s="933"/>
      <c r="X26" s="933"/>
      <c r="Y26" s="934"/>
    </row>
    <row r="27" spans="2:46" ht="18.75" customHeight="1">
      <c r="B27" s="1106"/>
      <c r="C27" s="1016" t="s">
        <v>35</v>
      </c>
      <c r="D27" s="1017"/>
      <c r="E27" s="1017"/>
      <c r="F27" s="1017"/>
      <c r="G27" s="1017"/>
      <c r="H27" s="1017"/>
      <c r="I27" s="1017"/>
      <c r="J27" s="1017"/>
      <c r="K27" s="1018">
        <f t="shared" si="0"/>
        <v>0</v>
      </c>
      <c r="L27" s="1018"/>
      <c r="M27" s="1018"/>
      <c r="N27" s="1018"/>
      <c r="O27" s="1018"/>
      <c r="P27" s="1018">
        <f>'様式２（クラブ児童数等報告書）'!O26</f>
        <v>0</v>
      </c>
      <c r="Q27" s="1018"/>
      <c r="R27" s="1018"/>
      <c r="S27" s="1018"/>
      <c r="T27" s="1018"/>
      <c r="U27" s="933">
        <v>0</v>
      </c>
      <c r="V27" s="933"/>
      <c r="W27" s="933"/>
      <c r="X27" s="933"/>
      <c r="Y27" s="934"/>
    </row>
    <row r="28" spans="2:46" ht="18.75" customHeight="1">
      <c r="B28" s="1106"/>
      <c r="C28" s="1016" t="s">
        <v>36</v>
      </c>
      <c r="D28" s="1017"/>
      <c r="E28" s="1017"/>
      <c r="F28" s="1017"/>
      <c r="G28" s="1017"/>
      <c r="H28" s="1017"/>
      <c r="I28" s="1017"/>
      <c r="J28" s="1017"/>
      <c r="K28" s="1018">
        <f t="shared" si="0"/>
        <v>0</v>
      </c>
      <c r="L28" s="1018"/>
      <c r="M28" s="1018"/>
      <c r="N28" s="1018"/>
      <c r="O28" s="1018"/>
      <c r="P28" s="1018">
        <f>'様式２（クラブ児童数等報告書）'!O27</f>
        <v>1300000</v>
      </c>
      <c r="Q28" s="1018"/>
      <c r="R28" s="1018"/>
      <c r="S28" s="1018"/>
      <c r="T28" s="1018"/>
      <c r="U28" s="933">
        <v>1300000</v>
      </c>
      <c r="V28" s="933"/>
      <c r="W28" s="933"/>
      <c r="X28" s="933"/>
      <c r="Y28" s="934"/>
    </row>
    <row r="29" spans="2:46" ht="18.75" customHeight="1">
      <c r="B29" s="1106"/>
      <c r="C29" s="1016" t="s">
        <v>102</v>
      </c>
      <c r="D29" s="1017"/>
      <c r="E29" s="1017"/>
      <c r="F29" s="1017"/>
      <c r="G29" s="1017"/>
      <c r="H29" s="1017"/>
      <c r="I29" s="1017"/>
      <c r="J29" s="1017"/>
      <c r="K29" s="1018">
        <f t="shared" si="0"/>
        <v>0</v>
      </c>
      <c r="L29" s="1018"/>
      <c r="M29" s="1018"/>
      <c r="N29" s="1018"/>
      <c r="O29" s="1018"/>
      <c r="P29" s="1018">
        <f>様式３職員名簿および各種加算等一覧!W33</f>
        <v>0</v>
      </c>
      <c r="Q29" s="1018"/>
      <c r="R29" s="1018"/>
      <c r="S29" s="1018"/>
      <c r="T29" s="1018"/>
      <c r="U29" s="933">
        <v>0</v>
      </c>
      <c r="V29" s="933"/>
      <c r="W29" s="933"/>
      <c r="X29" s="933"/>
      <c r="Y29" s="934"/>
    </row>
    <row r="30" spans="2:46" ht="18.75" customHeight="1">
      <c r="B30" s="1106"/>
      <c r="C30" s="1016" t="s">
        <v>116</v>
      </c>
      <c r="D30" s="1017"/>
      <c r="E30" s="1017"/>
      <c r="F30" s="1017"/>
      <c r="G30" s="1017"/>
      <c r="H30" s="1017"/>
      <c r="I30" s="1017"/>
      <c r="J30" s="1017"/>
      <c r="K30" s="1018">
        <f t="shared" si="0"/>
        <v>-69000</v>
      </c>
      <c r="L30" s="1018"/>
      <c r="M30" s="1018"/>
      <c r="N30" s="1018"/>
      <c r="O30" s="1018"/>
      <c r="P30" s="1018">
        <f>様式３職員名簿および各種加算等一覧!X33</f>
        <v>850000</v>
      </c>
      <c r="Q30" s="1018"/>
      <c r="R30" s="1018"/>
      <c r="S30" s="1018"/>
      <c r="T30" s="1018"/>
      <c r="U30" s="933">
        <v>919000</v>
      </c>
      <c r="V30" s="933"/>
      <c r="W30" s="933"/>
      <c r="X30" s="933"/>
      <c r="Y30" s="934"/>
    </row>
    <row r="31" spans="2:46" ht="18.75" customHeight="1">
      <c r="B31" s="1106"/>
      <c r="C31" s="1016" t="s">
        <v>456</v>
      </c>
      <c r="D31" s="1017"/>
      <c r="E31" s="1017"/>
      <c r="F31" s="1017"/>
      <c r="G31" s="1017"/>
      <c r="H31" s="1017"/>
      <c r="I31" s="1017"/>
      <c r="J31" s="1017"/>
      <c r="K31" s="1018">
        <f t="shared" si="0"/>
        <v>686400</v>
      </c>
      <c r="L31" s="1018"/>
      <c r="M31" s="1018"/>
      <c r="N31" s="1018"/>
      <c r="O31" s="1018"/>
      <c r="P31" s="1018">
        <f>'別紙様式２　事業実績報告書'!R11</f>
        <v>686400</v>
      </c>
      <c r="Q31" s="1018"/>
      <c r="R31" s="1018"/>
      <c r="S31" s="1018"/>
      <c r="T31" s="1018"/>
      <c r="U31" s="933">
        <v>0</v>
      </c>
      <c r="V31" s="933"/>
      <c r="W31" s="933"/>
      <c r="X31" s="933"/>
      <c r="Y31" s="934"/>
    </row>
    <row r="32" spans="2:46" ht="18.75" customHeight="1">
      <c r="B32" s="1106"/>
      <c r="C32" s="1016" t="s">
        <v>346</v>
      </c>
      <c r="D32" s="1017"/>
      <c r="E32" s="1017"/>
      <c r="F32" s="1017"/>
      <c r="G32" s="1017"/>
      <c r="H32" s="1017"/>
      <c r="I32" s="1017"/>
      <c r="J32" s="1017"/>
      <c r="K32" s="1018">
        <f t="shared" si="0"/>
        <v>90000</v>
      </c>
      <c r="L32" s="1018"/>
      <c r="M32" s="1018"/>
      <c r="N32" s="1018"/>
      <c r="O32" s="1018"/>
      <c r="P32" s="1018">
        <f>様式３職員名簿および各種加算等一覧!Z33</f>
        <v>1500000</v>
      </c>
      <c r="Q32" s="1018"/>
      <c r="R32" s="1018"/>
      <c r="S32" s="1018"/>
      <c r="T32" s="1018"/>
      <c r="U32" s="933">
        <v>1410000</v>
      </c>
      <c r="V32" s="933"/>
      <c r="W32" s="933"/>
      <c r="X32" s="933"/>
      <c r="Y32" s="934"/>
    </row>
    <row r="33" spans="2:25" ht="18.75" customHeight="1">
      <c r="B33" s="1106"/>
      <c r="C33" s="1088" t="s">
        <v>347</v>
      </c>
      <c r="D33" s="1089"/>
      <c r="E33" s="1089"/>
      <c r="F33" s="1089"/>
      <c r="G33" s="1089"/>
      <c r="H33" s="1089"/>
      <c r="I33" s="968">
        <v>12</v>
      </c>
      <c r="J33" s="969"/>
      <c r="K33" s="1018">
        <f t="shared" si="0"/>
        <v>581000</v>
      </c>
      <c r="L33" s="1018"/>
      <c r="M33" s="1018"/>
      <c r="N33" s="1018"/>
      <c r="O33" s="1018"/>
      <c r="P33" s="1018">
        <f>様式３職員名簿および各種加算等一覧!Y33</f>
        <v>581000</v>
      </c>
      <c r="Q33" s="1018"/>
      <c r="R33" s="1018"/>
      <c r="S33" s="1018"/>
      <c r="T33" s="1018"/>
      <c r="U33" s="933">
        <v>0</v>
      </c>
      <c r="V33" s="933"/>
      <c r="W33" s="933"/>
      <c r="X33" s="933"/>
      <c r="Y33" s="934"/>
    </row>
    <row r="34" spans="2:25" ht="18.75" customHeight="1">
      <c r="B34" s="1106"/>
      <c r="C34" s="1016" t="s">
        <v>76</v>
      </c>
      <c r="D34" s="1017"/>
      <c r="E34" s="1017"/>
      <c r="F34" s="1017"/>
      <c r="G34" s="1017"/>
      <c r="H34" s="1017"/>
      <c r="I34" s="1017"/>
      <c r="J34" s="1017"/>
      <c r="K34" s="1018">
        <f t="shared" si="0"/>
        <v>0</v>
      </c>
      <c r="L34" s="1018"/>
      <c r="M34" s="1018"/>
      <c r="N34" s="1018"/>
      <c r="O34" s="1018"/>
      <c r="P34" s="1018">
        <f>'様式１（放課後児童名簿・利用料割引者名簿）'!U73</f>
        <v>180000</v>
      </c>
      <c r="Q34" s="1018"/>
      <c r="R34" s="1018"/>
      <c r="S34" s="1018"/>
      <c r="T34" s="1018"/>
      <c r="U34" s="933">
        <v>180000</v>
      </c>
      <c r="V34" s="933"/>
      <c r="W34" s="933"/>
      <c r="X34" s="933"/>
      <c r="Y34" s="934"/>
    </row>
    <row r="35" spans="2:25" ht="18.75" customHeight="1">
      <c r="B35" s="1106"/>
      <c r="C35" s="1016" t="s">
        <v>103</v>
      </c>
      <c r="D35" s="1017"/>
      <c r="E35" s="1017"/>
      <c r="F35" s="1017"/>
      <c r="G35" s="1017"/>
      <c r="H35" s="1017"/>
      <c r="I35" s="1017"/>
      <c r="J35" s="1017"/>
      <c r="K35" s="1018">
        <f t="shared" si="0"/>
        <v>0</v>
      </c>
      <c r="L35" s="1018"/>
      <c r="M35" s="1018"/>
      <c r="N35" s="1018"/>
      <c r="O35" s="1018"/>
      <c r="P35" s="1018">
        <f>'様式１（放課後児童名簿・利用料割引者名簿）'!V73</f>
        <v>270000</v>
      </c>
      <c r="Q35" s="1018"/>
      <c r="R35" s="1018"/>
      <c r="S35" s="1018"/>
      <c r="T35" s="1018"/>
      <c r="U35" s="933">
        <v>270000</v>
      </c>
      <c r="V35" s="933"/>
      <c r="W35" s="933"/>
      <c r="X35" s="933"/>
      <c r="Y35" s="934"/>
    </row>
    <row r="36" spans="2:25" ht="18.75" customHeight="1">
      <c r="B36" s="1106"/>
      <c r="C36" s="1090" t="s">
        <v>104</v>
      </c>
      <c r="D36" s="1091"/>
      <c r="E36" s="1091"/>
      <c r="F36" s="1091"/>
      <c r="G36" s="1091"/>
      <c r="H36" s="1092"/>
      <c r="I36" s="930">
        <v>0</v>
      </c>
      <c r="J36" s="931"/>
      <c r="K36" s="1018">
        <f t="shared" si="0"/>
        <v>0</v>
      </c>
      <c r="L36" s="1018"/>
      <c r="M36" s="1018"/>
      <c r="N36" s="1018"/>
      <c r="O36" s="1018"/>
      <c r="P36" s="1018">
        <f>MIN(ROUNDDOWN(I36,-3),10000)</f>
        <v>0</v>
      </c>
      <c r="Q36" s="1018"/>
      <c r="R36" s="1018"/>
      <c r="S36" s="1018"/>
      <c r="T36" s="1018"/>
      <c r="U36" s="933">
        <v>0</v>
      </c>
      <c r="V36" s="933"/>
      <c r="W36" s="933"/>
      <c r="X36" s="933"/>
      <c r="Y36" s="934"/>
    </row>
    <row r="37" spans="2:25" ht="18.75" customHeight="1" thickBot="1">
      <c r="B37" s="1106"/>
      <c r="C37" s="1088" t="s">
        <v>75</v>
      </c>
      <c r="D37" s="1089"/>
      <c r="E37" s="1089"/>
      <c r="F37" s="1089"/>
      <c r="G37" s="1089"/>
      <c r="H37" s="1093"/>
      <c r="I37" s="1103">
        <v>0</v>
      </c>
      <c r="J37" s="1104"/>
      <c r="K37" s="1018">
        <f t="shared" si="0"/>
        <v>0</v>
      </c>
      <c r="L37" s="1018"/>
      <c r="M37" s="1018"/>
      <c r="N37" s="1018"/>
      <c r="O37" s="1018"/>
      <c r="P37" s="1018">
        <f>ROUNDDOWN(MIN(I37*12,3374000),-3)</f>
        <v>0</v>
      </c>
      <c r="Q37" s="1018"/>
      <c r="R37" s="1018"/>
      <c r="S37" s="1018"/>
      <c r="T37" s="1018"/>
      <c r="U37" s="933">
        <v>0</v>
      </c>
      <c r="V37" s="933"/>
      <c r="W37" s="933"/>
      <c r="X37" s="933"/>
      <c r="Y37" s="934"/>
    </row>
    <row r="38" spans="2:25" ht="18.75" customHeight="1">
      <c r="B38" s="1064" t="s">
        <v>493</v>
      </c>
      <c r="C38" s="1085" t="s">
        <v>494</v>
      </c>
      <c r="D38" s="1086"/>
      <c r="E38" s="1086"/>
      <c r="F38" s="1086"/>
      <c r="G38" s="1086"/>
      <c r="H38" s="1086"/>
      <c r="I38" s="1086"/>
      <c r="J38" s="1087"/>
      <c r="K38" s="1097">
        <f>P38</f>
        <v>0</v>
      </c>
      <c r="L38" s="1098"/>
      <c r="M38" s="1098"/>
      <c r="N38" s="1098"/>
      <c r="O38" s="1099"/>
      <c r="P38" s="1100">
        <v>0</v>
      </c>
      <c r="Q38" s="1101"/>
      <c r="R38" s="1101"/>
      <c r="S38" s="1101"/>
      <c r="T38" s="1102"/>
      <c r="U38" s="1082"/>
      <c r="V38" s="1083"/>
      <c r="W38" s="1083"/>
      <c r="X38" s="1083"/>
      <c r="Y38" s="1084"/>
    </row>
    <row r="39" spans="2:25" ht="18.75" customHeight="1" thickBot="1">
      <c r="B39" s="1065"/>
      <c r="C39" s="1094" t="s">
        <v>495</v>
      </c>
      <c r="D39" s="1095"/>
      <c r="E39" s="1095"/>
      <c r="F39" s="1095"/>
      <c r="G39" s="1095"/>
      <c r="H39" s="1095"/>
      <c r="I39" s="1095"/>
      <c r="J39" s="1096"/>
      <c r="K39" s="1060">
        <f>P39</f>
        <v>0</v>
      </c>
      <c r="L39" s="1061"/>
      <c r="M39" s="1061"/>
      <c r="N39" s="1061"/>
      <c r="O39" s="1062"/>
      <c r="P39" s="1075">
        <v>0</v>
      </c>
      <c r="Q39" s="1076"/>
      <c r="R39" s="1076"/>
      <c r="S39" s="1076"/>
      <c r="T39" s="1077"/>
      <c r="U39" s="961"/>
      <c r="V39" s="962"/>
      <c r="W39" s="962"/>
      <c r="X39" s="962"/>
      <c r="Y39" s="963"/>
    </row>
    <row r="40" spans="2:25" ht="18.75" customHeight="1" thickTop="1" thickBot="1">
      <c r="B40" s="18"/>
      <c r="C40" s="1078" t="s">
        <v>22</v>
      </c>
      <c r="D40" s="1079"/>
      <c r="E40" s="1079"/>
      <c r="F40" s="1079"/>
      <c r="G40" s="1079"/>
      <c r="H40" s="1079"/>
      <c r="I40" s="1079"/>
      <c r="J40" s="1080"/>
      <c r="K40" s="1044">
        <f>SUM(K20,K38,K39)</f>
        <v>4514400</v>
      </c>
      <c r="L40" s="1045"/>
      <c r="M40" s="1045"/>
      <c r="N40" s="1045"/>
      <c r="O40" s="1046"/>
      <c r="P40" s="1081">
        <f>SUM(P20,P38,P39)</f>
        <v>15779400</v>
      </c>
      <c r="Q40" s="1067"/>
      <c r="R40" s="1067"/>
      <c r="S40" s="1067"/>
      <c r="T40" s="1068"/>
      <c r="U40" s="1066">
        <f>U20</f>
        <v>11265000</v>
      </c>
      <c r="V40" s="1067"/>
      <c r="W40" s="1067"/>
      <c r="X40" s="1067"/>
      <c r="Y40" s="1068"/>
    </row>
    <row r="41" spans="2:25" ht="15" thickTop="1">
      <c r="B41" s="1057" t="s">
        <v>77</v>
      </c>
      <c r="C41" s="1058"/>
      <c r="D41" s="1058"/>
      <c r="E41" s="1058"/>
      <c r="F41" s="1059"/>
      <c r="G41" s="1071">
        <v>45747</v>
      </c>
      <c r="H41" s="1072"/>
      <c r="I41" s="1072"/>
      <c r="J41" s="1072"/>
      <c r="K41" s="1072"/>
      <c r="L41" s="1072"/>
      <c r="M41" s="1072"/>
      <c r="N41" s="1072"/>
      <c r="O41" s="1072"/>
      <c r="P41" s="1072"/>
      <c r="Q41" s="1072"/>
      <c r="R41" s="1072"/>
      <c r="S41" s="1072"/>
      <c r="T41" s="1072"/>
      <c r="U41" s="1072"/>
      <c r="V41" s="1072"/>
      <c r="W41" s="1072"/>
      <c r="X41" s="1072"/>
      <c r="Y41" s="1073"/>
    </row>
    <row r="42" spans="2:25">
      <c r="B42" s="859"/>
      <c r="C42" s="860"/>
      <c r="D42" s="860"/>
      <c r="E42" s="860"/>
      <c r="F42" s="861"/>
      <c r="G42" s="859"/>
      <c r="H42" s="860"/>
      <c r="I42" s="860"/>
      <c r="J42" s="860"/>
      <c r="K42" s="860"/>
      <c r="L42" s="860"/>
      <c r="M42" s="860"/>
      <c r="N42" s="860"/>
      <c r="O42" s="860"/>
      <c r="P42" s="860"/>
      <c r="Q42" s="860"/>
      <c r="R42" s="860"/>
      <c r="S42" s="860"/>
      <c r="T42" s="860"/>
      <c r="U42" s="860"/>
      <c r="V42" s="860"/>
      <c r="W42" s="860"/>
      <c r="X42" s="860"/>
      <c r="Y42" s="861"/>
    </row>
    <row r="43" spans="2:25">
      <c r="B43" s="820" t="s">
        <v>78</v>
      </c>
      <c r="C43" s="1063"/>
      <c r="D43" s="1063"/>
      <c r="E43" s="1063"/>
      <c r="F43" s="821"/>
      <c r="G43" s="1055"/>
      <c r="H43" s="1055"/>
      <c r="I43" s="1055"/>
      <c r="J43" s="1055"/>
      <c r="K43" s="1055"/>
      <c r="L43" s="1055"/>
      <c r="M43" s="1055"/>
      <c r="N43" s="1055"/>
      <c r="O43" s="1055"/>
      <c r="P43" s="1055"/>
      <c r="Q43" s="1055"/>
      <c r="R43" s="1055"/>
      <c r="S43" s="1055"/>
      <c r="T43" s="1055"/>
      <c r="U43" s="1055"/>
      <c r="V43" s="1055"/>
      <c r="W43" s="1055"/>
      <c r="X43" s="1055"/>
      <c r="Y43" s="1056"/>
    </row>
    <row r="44" spans="2:25">
      <c r="B44" s="822"/>
      <c r="C44" s="1012"/>
      <c r="D44" s="1012"/>
      <c r="E44" s="1012"/>
      <c r="F44" s="823"/>
      <c r="G44" s="1069"/>
      <c r="H44" s="1069"/>
      <c r="I44" s="1069"/>
      <c r="J44" s="1069"/>
      <c r="K44" s="1069"/>
      <c r="L44" s="1069"/>
      <c r="M44" s="1069"/>
      <c r="N44" s="1069"/>
      <c r="O44" s="1069"/>
      <c r="P44" s="1069"/>
      <c r="Q44" s="1069"/>
      <c r="R44" s="1069"/>
      <c r="S44" s="1069"/>
      <c r="T44" s="1069"/>
      <c r="U44" s="1069"/>
      <c r="V44" s="1069"/>
      <c r="W44" s="1069"/>
      <c r="X44" s="1069"/>
      <c r="Y44" s="1070"/>
    </row>
    <row r="45" spans="2:25">
      <c r="B45" s="822"/>
      <c r="C45" s="1012"/>
      <c r="D45" s="1012"/>
      <c r="E45" s="1012"/>
      <c r="F45" s="823"/>
      <c r="G45" s="1069"/>
      <c r="H45" s="1069"/>
      <c r="I45" s="1069"/>
      <c r="J45" s="1069"/>
      <c r="K45" s="1069"/>
      <c r="L45" s="1069"/>
      <c r="M45" s="1069"/>
      <c r="N45" s="1069"/>
      <c r="O45" s="1069"/>
      <c r="P45" s="1069"/>
      <c r="Q45" s="1069"/>
      <c r="R45" s="1069"/>
      <c r="S45" s="1069"/>
      <c r="T45" s="1069"/>
      <c r="U45" s="1069"/>
      <c r="V45" s="1069"/>
      <c r="W45" s="1069"/>
      <c r="X45" s="1069"/>
      <c r="Y45" s="1070"/>
    </row>
    <row r="46" spans="2:25">
      <c r="B46" s="822"/>
      <c r="C46" s="1012"/>
      <c r="D46" s="1012"/>
      <c r="E46" s="1012"/>
      <c r="F46" s="823"/>
      <c r="G46" s="1069"/>
      <c r="H46" s="1069"/>
      <c r="I46" s="1069"/>
      <c r="J46" s="1069"/>
      <c r="K46" s="1069"/>
      <c r="L46" s="1069"/>
      <c r="M46" s="1069"/>
      <c r="N46" s="1069"/>
      <c r="O46" s="1069"/>
      <c r="P46" s="1069"/>
      <c r="Q46" s="1069"/>
      <c r="R46" s="1069"/>
      <c r="S46" s="1069"/>
      <c r="T46" s="1069"/>
      <c r="U46" s="1069"/>
      <c r="V46" s="1069"/>
      <c r="W46" s="1069"/>
      <c r="X46" s="1069"/>
      <c r="Y46" s="1070"/>
    </row>
    <row r="47" spans="2:25">
      <c r="B47" s="822"/>
      <c r="C47" s="1012"/>
      <c r="D47" s="1012"/>
      <c r="E47" s="1012"/>
      <c r="F47" s="823"/>
      <c r="G47" s="1074"/>
      <c r="H47" s="1069"/>
      <c r="I47" s="1069"/>
      <c r="J47" s="1069"/>
      <c r="K47" s="1069"/>
      <c r="L47" s="1069"/>
      <c r="M47" s="1069"/>
      <c r="N47" s="1069"/>
      <c r="O47" s="1069"/>
      <c r="P47" s="1069"/>
      <c r="Q47" s="1069"/>
      <c r="R47" s="1069"/>
      <c r="S47" s="1069"/>
      <c r="T47" s="1069"/>
      <c r="U47" s="1069"/>
      <c r="V47" s="1069"/>
      <c r="W47" s="1069"/>
      <c r="X47" s="1069"/>
      <c r="Y47" s="1070"/>
    </row>
    <row r="48" spans="2:25">
      <c r="B48" s="822"/>
      <c r="C48" s="1012"/>
      <c r="D48" s="1012"/>
      <c r="E48" s="1012"/>
      <c r="F48" s="823"/>
      <c r="G48" s="1069"/>
      <c r="H48" s="1069"/>
      <c r="I48" s="1069"/>
      <c r="J48" s="1069"/>
      <c r="K48" s="1069"/>
      <c r="L48" s="1069"/>
      <c r="M48" s="1069"/>
      <c r="N48" s="1069"/>
      <c r="O48" s="1069"/>
      <c r="P48" s="1069"/>
      <c r="Q48" s="1069"/>
      <c r="R48" s="1069"/>
      <c r="S48" s="1069"/>
      <c r="T48" s="1069"/>
      <c r="U48" s="1069"/>
      <c r="V48" s="1069"/>
      <c r="W48" s="1069"/>
      <c r="X48" s="1069"/>
      <c r="Y48" s="1070"/>
    </row>
    <row r="49" spans="2:25">
      <c r="B49" s="824"/>
      <c r="C49" s="1047"/>
      <c r="D49" s="1047"/>
      <c r="E49" s="1047"/>
      <c r="F49" s="825"/>
      <c r="G49" s="1053"/>
      <c r="H49" s="1053"/>
      <c r="I49" s="1053"/>
      <c r="J49" s="1053"/>
      <c r="K49" s="1053"/>
      <c r="L49" s="1053"/>
      <c r="M49" s="1053"/>
      <c r="N49" s="1053"/>
      <c r="O49" s="1053"/>
      <c r="P49" s="1053"/>
      <c r="Q49" s="1053"/>
      <c r="R49" s="1053"/>
      <c r="S49" s="1053"/>
      <c r="T49" s="1053"/>
      <c r="U49" s="1053"/>
      <c r="V49" s="1053"/>
      <c r="W49" s="1053"/>
      <c r="X49" s="1053"/>
      <c r="Y49" s="1054"/>
    </row>
    <row r="50" spans="2:25">
      <c r="B50" s="820" t="s">
        <v>69</v>
      </c>
      <c r="C50" s="1063"/>
      <c r="D50" s="1063"/>
      <c r="E50" s="1063"/>
      <c r="F50" s="821"/>
      <c r="G50" s="1055"/>
      <c r="H50" s="1055"/>
      <c r="I50" s="1055"/>
      <c r="J50" s="1055"/>
      <c r="K50" s="1055"/>
      <c r="L50" s="1055"/>
      <c r="M50" s="1055"/>
      <c r="N50" s="1055"/>
      <c r="O50" s="1055"/>
      <c r="P50" s="1055"/>
      <c r="Q50" s="1055"/>
      <c r="R50" s="1055"/>
      <c r="S50" s="1055"/>
      <c r="T50" s="1055"/>
      <c r="U50" s="1055"/>
      <c r="V50" s="1055"/>
      <c r="W50" s="1055"/>
      <c r="X50" s="1055"/>
      <c r="Y50" s="1056"/>
    </row>
    <row r="51" spans="2:25">
      <c r="B51" s="822"/>
      <c r="C51" s="1012"/>
      <c r="D51" s="1012"/>
      <c r="E51" s="1012"/>
      <c r="F51" s="823"/>
      <c r="G51" s="1069"/>
      <c r="H51" s="1069"/>
      <c r="I51" s="1069"/>
      <c r="J51" s="1069"/>
      <c r="K51" s="1069"/>
      <c r="L51" s="1069"/>
      <c r="M51" s="1069"/>
      <c r="N51" s="1069"/>
      <c r="O51" s="1069"/>
      <c r="P51" s="1069"/>
      <c r="Q51" s="1069"/>
      <c r="R51" s="1069"/>
      <c r="S51" s="1069"/>
      <c r="T51" s="1069"/>
      <c r="U51" s="1069"/>
      <c r="V51" s="1069"/>
      <c r="W51" s="1069"/>
      <c r="X51" s="1069"/>
      <c r="Y51" s="1070"/>
    </row>
    <row r="52" spans="2:25">
      <c r="B52" s="822"/>
      <c r="C52" s="1012"/>
      <c r="D52" s="1012"/>
      <c r="E52" s="1012"/>
      <c r="F52" s="823"/>
      <c r="G52" s="1069"/>
      <c r="H52" s="1069"/>
      <c r="I52" s="1069"/>
      <c r="J52" s="1069"/>
      <c r="K52" s="1069"/>
      <c r="L52" s="1069"/>
      <c r="M52" s="1069"/>
      <c r="N52" s="1069"/>
      <c r="O52" s="1069"/>
      <c r="P52" s="1069"/>
      <c r="Q52" s="1069"/>
      <c r="R52" s="1069"/>
      <c r="S52" s="1069"/>
      <c r="T52" s="1069"/>
      <c r="U52" s="1069"/>
      <c r="V52" s="1069"/>
      <c r="W52" s="1069"/>
      <c r="X52" s="1069"/>
      <c r="Y52" s="1070"/>
    </row>
    <row r="53" spans="2:25">
      <c r="B53" s="822"/>
      <c r="C53" s="1012"/>
      <c r="D53" s="1012"/>
      <c r="E53" s="1012"/>
      <c r="F53" s="823"/>
      <c r="G53" s="1069"/>
      <c r="H53" s="1069"/>
      <c r="I53" s="1069"/>
      <c r="J53" s="1069"/>
      <c r="K53" s="1069"/>
      <c r="L53" s="1069"/>
      <c r="M53" s="1069"/>
      <c r="N53" s="1069"/>
      <c r="O53" s="1069"/>
      <c r="P53" s="1069"/>
      <c r="Q53" s="1069"/>
      <c r="R53" s="1069"/>
      <c r="S53" s="1069"/>
      <c r="T53" s="1069"/>
      <c r="U53" s="1069"/>
      <c r="V53" s="1069"/>
      <c r="W53" s="1069"/>
      <c r="X53" s="1069"/>
      <c r="Y53" s="1070"/>
    </row>
    <row r="54" spans="2:25">
      <c r="B54" s="824"/>
      <c r="C54" s="1047"/>
      <c r="D54" s="1047"/>
      <c r="E54" s="1047"/>
      <c r="F54" s="825"/>
      <c r="G54" s="1053"/>
      <c r="H54" s="1053"/>
      <c r="I54" s="1053"/>
      <c r="J54" s="1053"/>
      <c r="K54" s="1053"/>
      <c r="L54" s="1053"/>
      <c r="M54" s="1053"/>
      <c r="N54" s="1053"/>
      <c r="O54" s="1053"/>
      <c r="P54" s="1053"/>
      <c r="Q54" s="1053"/>
      <c r="R54" s="1053"/>
      <c r="S54" s="1053"/>
      <c r="T54" s="1053"/>
      <c r="U54" s="1053"/>
      <c r="V54" s="1053"/>
      <c r="W54" s="1053"/>
      <c r="X54" s="1053"/>
      <c r="Y54" s="1054"/>
    </row>
    <row r="55" spans="2:25" ht="15">
      <c r="B55" s="183" t="s">
        <v>447</v>
      </c>
    </row>
  </sheetData>
  <mergeCells count="152">
    <mergeCell ref="B19:B37"/>
    <mergeCell ref="C20:J20"/>
    <mergeCell ref="K20:O20"/>
    <mergeCell ref="P20:T20"/>
    <mergeCell ref="U20:Y20"/>
    <mergeCell ref="U37:Y37"/>
    <mergeCell ref="C34:J34"/>
    <mergeCell ref="C21:E21"/>
    <mergeCell ref="C22:J22"/>
    <mergeCell ref="H21:J21"/>
    <mergeCell ref="F21:G21"/>
    <mergeCell ref="F23:G23"/>
    <mergeCell ref="H23:J23"/>
    <mergeCell ref="U19:Y19"/>
    <mergeCell ref="K19:O19"/>
    <mergeCell ref="P19:T19"/>
    <mergeCell ref="C23:E23"/>
    <mergeCell ref="U34:Y34"/>
    <mergeCell ref="P27:T27"/>
    <mergeCell ref="P28:T28"/>
    <mergeCell ref="P34:T34"/>
    <mergeCell ref="P35:T35"/>
    <mergeCell ref="P36:T36"/>
    <mergeCell ref="U28:Y28"/>
    <mergeCell ref="U22:Y22"/>
    <mergeCell ref="U23:Y23"/>
    <mergeCell ref="U24:Y24"/>
    <mergeCell ref="C29:J29"/>
    <mergeCell ref="C31:J31"/>
    <mergeCell ref="K31:O31"/>
    <mergeCell ref="P23:T23"/>
    <mergeCell ref="P24:T24"/>
    <mergeCell ref="P25:T25"/>
    <mergeCell ref="P31:T31"/>
    <mergeCell ref="U31:Y31"/>
    <mergeCell ref="C33:H33"/>
    <mergeCell ref="I33:J33"/>
    <mergeCell ref="K29:O29"/>
    <mergeCell ref="C25:J25"/>
    <mergeCell ref="G50:Y50"/>
    <mergeCell ref="K35:O35"/>
    <mergeCell ref="K36:O36"/>
    <mergeCell ref="C36:H36"/>
    <mergeCell ref="I36:J36"/>
    <mergeCell ref="C37:H37"/>
    <mergeCell ref="C35:J35"/>
    <mergeCell ref="K37:O37"/>
    <mergeCell ref="P37:T37"/>
    <mergeCell ref="C39:J39"/>
    <mergeCell ref="K38:O38"/>
    <mergeCell ref="P38:T38"/>
    <mergeCell ref="I37:J37"/>
    <mergeCell ref="C32:J32"/>
    <mergeCell ref="P32:T32"/>
    <mergeCell ref="U32:Y32"/>
    <mergeCell ref="K33:O33"/>
    <mergeCell ref="P33:T33"/>
    <mergeCell ref="U33:Y33"/>
    <mergeCell ref="K32:O32"/>
    <mergeCell ref="G54:Y54"/>
    <mergeCell ref="G43:Y43"/>
    <mergeCell ref="B41:F42"/>
    <mergeCell ref="K39:O39"/>
    <mergeCell ref="B43:F49"/>
    <mergeCell ref="B38:B39"/>
    <mergeCell ref="U39:Y39"/>
    <mergeCell ref="U40:Y40"/>
    <mergeCell ref="G52:Y52"/>
    <mergeCell ref="G53:Y53"/>
    <mergeCell ref="G41:Y42"/>
    <mergeCell ref="G46:Y46"/>
    <mergeCell ref="G47:Y47"/>
    <mergeCell ref="G48:Y48"/>
    <mergeCell ref="G49:Y49"/>
    <mergeCell ref="G51:Y51"/>
    <mergeCell ref="P39:T39"/>
    <mergeCell ref="B50:F54"/>
    <mergeCell ref="C40:J40"/>
    <mergeCell ref="P40:T40"/>
    <mergeCell ref="G44:Y44"/>
    <mergeCell ref="U38:Y38"/>
    <mergeCell ref="C38:J38"/>
    <mergeCell ref="G45:Y45"/>
    <mergeCell ref="A3:X3"/>
    <mergeCell ref="U35:Y35"/>
    <mergeCell ref="U36:Y36"/>
    <mergeCell ref="K40:O40"/>
    <mergeCell ref="U21:Y21"/>
    <mergeCell ref="K27:O27"/>
    <mergeCell ref="K28:O28"/>
    <mergeCell ref="K34:O34"/>
    <mergeCell ref="P26:T26"/>
    <mergeCell ref="K21:O21"/>
    <mergeCell ref="K22:O22"/>
    <mergeCell ref="K23:O23"/>
    <mergeCell ref="K24:O24"/>
    <mergeCell ref="K25:O25"/>
    <mergeCell ref="C9:E14"/>
    <mergeCell ref="P29:T29"/>
    <mergeCell ref="U29:Y29"/>
    <mergeCell ref="F9:I9"/>
    <mergeCell ref="J9:Y9"/>
    <mergeCell ref="J10:Y10"/>
    <mergeCell ref="J11:K12"/>
    <mergeCell ref="J13:K14"/>
    <mergeCell ref="L11:W12"/>
    <mergeCell ref="L13:W14"/>
    <mergeCell ref="B15:G15"/>
    <mergeCell ref="B16:G16"/>
    <mergeCell ref="H15:Y15"/>
    <mergeCell ref="H16:Y16"/>
    <mergeCell ref="F10:I10"/>
    <mergeCell ref="F11:I14"/>
    <mergeCell ref="AP20:AT20"/>
    <mergeCell ref="AP21:AT21"/>
    <mergeCell ref="AP22:AT22"/>
    <mergeCell ref="AK20:AO20"/>
    <mergeCell ref="AK21:AO21"/>
    <mergeCell ref="AK22:AO22"/>
    <mergeCell ref="AF21:AJ21"/>
    <mergeCell ref="AF20:AJ20"/>
    <mergeCell ref="AF22:AJ22"/>
    <mergeCell ref="P21:T21"/>
    <mergeCell ref="C19:J19"/>
    <mergeCell ref="P22:T22"/>
    <mergeCell ref="B17:G17"/>
    <mergeCell ref="H17:Y17"/>
    <mergeCell ref="B18:G18"/>
    <mergeCell ref="N18:S18"/>
    <mergeCell ref="T18:Y18"/>
    <mergeCell ref="H18:M18"/>
    <mergeCell ref="AP23:AT23"/>
    <mergeCell ref="AP24:AT24"/>
    <mergeCell ref="AP25:AT25"/>
    <mergeCell ref="C30:J30"/>
    <mergeCell ref="K30:O30"/>
    <mergeCell ref="P30:T30"/>
    <mergeCell ref="U30:Y30"/>
    <mergeCell ref="U26:Y26"/>
    <mergeCell ref="U27:Y27"/>
    <mergeCell ref="AF25:AJ25"/>
    <mergeCell ref="AK23:AO23"/>
    <mergeCell ref="AK24:AO24"/>
    <mergeCell ref="C27:J27"/>
    <mergeCell ref="C26:J26"/>
    <mergeCell ref="AF23:AJ23"/>
    <mergeCell ref="AF24:AJ24"/>
    <mergeCell ref="C28:J28"/>
    <mergeCell ref="AK25:AO25"/>
    <mergeCell ref="K26:O26"/>
    <mergeCell ref="C24:J24"/>
    <mergeCell ref="U25:Y25"/>
  </mergeCells>
  <phoneticPr fontId="1"/>
  <conditionalFormatting sqref="H18 T18">
    <cfRule type="expression" dxfId="3" priority="1">
      <formula>$H$17="原則、設備運営基準どおり支援員等を配置している。"</formula>
    </cfRule>
  </conditionalFormatting>
  <dataValidations count="2">
    <dataValidation type="list" allowBlank="1" showInputMessage="1" showErrorMessage="1" sqref="H18" xr:uid="{EFA72304-271B-4460-BEAC-379632172ABE}">
      <formula1>$AC$11:$AC$23</formula1>
    </dataValidation>
    <dataValidation type="list" allowBlank="1" showInputMessage="1" showErrorMessage="1" sqref="H17:Y17" xr:uid="{8FF6966C-3D7E-4EFF-A8D7-851601E0542D}">
      <formula1>$AC$8:$AC$9</formula1>
    </dataValidation>
  </dataValidations>
  <printOptions horizontalCentered="1"/>
  <pageMargins left="0.31496062992125984" right="0.11811023622047245" top="0.35433070866141736" bottom="0.35433070866141736" header="0.31496062992125984" footer="0.31496062992125984"/>
  <pageSetup paperSize="9" scale="91"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F23DD-DBB0-4351-80BD-7022C6CBAC24}">
  <sheetPr>
    <pageSetUpPr fitToPage="1"/>
  </sheetPr>
  <dimension ref="A1:N31"/>
  <sheetViews>
    <sheetView view="pageBreakPreview" zoomScale="115" zoomScaleNormal="100" zoomScaleSheetLayoutView="115" workbookViewId="0">
      <selection activeCell="F16" sqref="F16"/>
    </sheetView>
  </sheetViews>
  <sheetFormatPr defaultRowHeight="13.5"/>
  <cols>
    <col min="1" max="1" width="4.375" customWidth="1"/>
    <col min="2" max="2" width="10.625" customWidth="1"/>
    <col min="4" max="4" width="42.375" customWidth="1"/>
    <col min="5" max="6" width="20.625" customWidth="1"/>
    <col min="7" max="7" width="20.625" style="118" customWidth="1"/>
    <col min="8" max="8" width="17" customWidth="1"/>
    <col min="9" max="10" width="15.125" customWidth="1"/>
  </cols>
  <sheetData>
    <row r="1" spans="1:14">
      <c r="A1" s="11" t="s">
        <v>611</v>
      </c>
      <c r="B1" s="11"/>
      <c r="C1" s="11"/>
      <c r="D1" s="11"/>
      <c r="E1" s="11"/>
      <c r="F1" s="11"/>
      <c r="G1" s="274"/>
    </row>
    <row r="2" spans="1:14">
      <c r="A2" s="11"/>
      <c r="B2" s="11"/>
      <c r="C2" s="11"/>
      <c r="D2" s="275"/>
      <c r="E2" s="275" t="s">
        <v>1</v>
      </c>
      <c r="F2" s="1130" t="str">
        <f>使わない!J10</f>
        <v>はぐくみ学童クラブ</v>
      </c>
      <c r="G2" s="1130"/>
    </row>
    <row r="3" spans="1:14">
      <c r="A3" s="11"/>
      <c r="B3" s="11"/>
      <c r="C3" s="11"/>
      <c r="D3" s="275"/>
      <c r="E3" s="275" t="s">
        <v>511</v>
      </c>
      <c r="F3" s="1129" t="str">
        <f>使わない!H17</f>
        <v>【常勤２名】原則、設備運営基準どおり放課後児童支援員（常勤職員）を２名以上配置している。</v>
      </c>
      <c r="G3" s="1129"/>
    </row>
    <row r="4" spans="1:14">
      <c r="A4" s="11"/>
      <c r="B4" s="11"/>
      <c r="C4" s="11"/>
      <c r="D4" s="275"/>
      <c r="E4" s="275"/>
      <c r="F4" s="368"/>
      <c r="G4" s="368"/>
    </row>
    <row r="5" spans="1:14" ht="14.25" thickBot="1">
      <c r="A5" s="11"/>
      <c r="B5" s="11"/>
      <c r="C5" s="11"/>
      <c r="D5" s="275"/>
      <c r="E5" s="366" t="s">
        <v>523</v>
      </c>
      <c r="F5" s="367" t="s">
        <v>501</v>
      </c>
      <c r="G5" s="377"/>
    </row>
    <row r="6" spans="1:14" ht="13.5" customHeight="1">
      <c r="A6" s="11"/>
      <c r="B6" s="31" t="s">
        <v>304</v>
      </c>
      <c r="C6" s="276"/>
      <c r="D6" s="276"/>
      <c r="E6" s="1131"/>
      <c r="F6" s="1132"/>
      <c r="G6" s="378">
        <v>14000000</v>
      </c>
      <c r="I6" s="339"/>
      <c r="J6" s="339"/>
      <c r="K6" s="339"/>
      <c r="L6" s="339"/>
      <c r="M6" s="339"/>
      <c r="N6" s="339"/>
    </row>
    <row r="7" spans="1:14">
      <c r="A7" s="11"/>
      <c r="B7" s="31" t="s">
        <v>500</v>
      </c>
      <c r="C7" s="276"/>
      <c r="D7" s="369" t="s">
        <v>305</v>
      </c>
      <c r="E7" s="1131"/>
      <c r="F7" s="1132"/>
      <c r="G7" s="379">
        <f>'様式２（クラブ児童数等報告書）'!O25</f>
        <v>2232000</v>
      </c>
    </row>
    <row r="8" spans="1:14">
      <c r="A8" s="11"/>
      <c r="B8" s="31"/>
      <c r="C8" s="276"/>
      <c r="D8" s="369" t="s">
        <v>306</v>
      </c>
      <c r="E8" s="1131"/>
      <c r="F8" s="1132"/>
      <c r="G8" s="379">
        <f>'様式２（クラブ児童数等報告書）'!O26</f>
        <v>0</v>
      </c>
    </row>
    <row r="9" spans="1:14">
      <c r="A9" s="11"/>
      <c r="B9" s="31"/>
      <c r="C9" s="276"/>
      <c r="D9" s="369" t="s">
        <v>307</v>
      </c>
      <c r="E9" s="1131"/>
      <c r="F9" s="1132"/>
      <c r="G9" s="379">
        <f>'様式２（クラブ児童数等報告書）'!O27</f>
        <v>1300000</v>
      </c>
    </row>
    <row r="10" spans="1:14">
      <c r="A10" s="11"/>
      <c r="B10" s="31"/>
      <c r="C10" s="276"/>
      <c r="D10" s="369" t="s">
        <v>308</v>
      </c>
      <c r="E10" s="1131"/>
      <c r="F10" s="1132"/>
      <c r="G10" s="379">
        <f>様式３職員名簿および各種加算等一覧!X33</f>
        <v>850000</v>
      </c>
    </row>
    <row r="11" spans="1:14">
      <c r="A11" s="11"/>
      <c r="B11" s="31"/>
      <c r="C11" s="276"/>
      <c r="D11" s="369" t="s">
        <v>432</v>
      </c>
      <c r="E11" s="1131"/>
      <c r="F11" s="1132"/>
      <c r="G11" s="379">
        <f>'別紙様式２　事業実績報告書'!R11</f>
        <v>686400</v>
      </c>
    </row>
    <row r="12" spans="1:14" ht="14.25" thickBot="1">
      <c r="A12" s="11"/>
      <c r="B12" s="31"/>
      <c r="C12" s="276"/>
      <c r="D12" s="370" t="s">
        <v>419</v>
      </c>
      <c r="E12" s="1131"/>
      <c r="F12" s="1132"/>
      <c r="G12" s="379">
        <f>様式３職員名簿および各種加算等一覧!Z28+様式３職員名簿および各種加算等一覧!Z30</f>
        <v>1000000</v>
      </c>
      <c r="H12" t="s">
        <v>513</v>
      </c>
    </row>
    <row r="13" spans="1:14">
      <c r="A13" s="11"/>
      <c r="B13" s="31"/>
      <c r="C13" s="276"/>
      <c r="D13" s="370" t="s">
        <v>431</v>
      </c>
      <c r="E13" s="1131"/>
      <c r="F13" s="1132"/>
      <c r="G13" s="379">
        <f>様式３職員名簿および各種加算等一覧!Y28+様式３職員名簿および各種加算等一覧!Y30</f>
        <v>600000</v>
      </c>
      <c r="H13" s="386" t="s">
        <v>509</v>
      </c>
      <c r="I13" s="387" t="s">
        <v>510</v>
      </c>
    </row>
    <row r="14" spans="1:14">
      <c r="A14" s="11"/>
      <c r="B14" s="31" t="s">
        <v>502</v>
      </c>
      <c r="C14" s="276"/>
      <c r="D14" s="276"/>
      <c r="E14" s="375" t="s">
        <v>612</v>
      </c>
      <c r="F14" s="376" t="s">
        <v>613</v>
      </c>
      <c r="G14" s="380">
        <f t="shared" ref="G14:G19" si="0">IF($F$3="原則、設備運営基準どおり支援員等を配置している。", H14, IF($F$3="【常勤２名】原則、設備運営基準どおり放課後児童支援員（常勤職員）を２名以上配置している。",I14, ""))</f>
        <v>0</v>
      </c>
      <c r="H14" s="388">
        <f>IF(AND(使わない!H23:J23&gt;=250,1&lt;=使わない!H21:J21,使わない!H21:J21&lt;=19),4137000,0)</f>
        <v>0</v>
      </c>
      <c r="I14" s="389">
        <f>IF(AND(使わない!H23:J23&gt;=250,1&lt;=使わない!H21:J21,使わない!H21:J21&lt;=19),7505000,0)</f>
        <v>0</v>
      </c>
    </row>
    <row r="15" spans="1:14">
      <c r="A15" s="11"/>
      <c r="B15" s="385" t="s">
        <v>503</v>
      </c>
      <c r="C15" s="276"/>
      <c r="D15" s="276"/>
      <c r="E15" s="1133" t="s">
        <v>614</v>
      </c>
      <c r="F15" s="1134"/>
      <c r="G15" s="380">
        <f t="shared" si="0"/>
        <v>0</v>
      </c>
      <c r="H15" s="388">
        <f>IF(I14&gt;=1,1286000,0)</f>
        <v>0</v>
      </c>
      <c r="I15" s="389">
        <f>IF(I14&gt;=1,1286000,0)</f>
        <v>0</v>
      </c>
    </row>
    <row r="16" spans="1:14">
      <c r="A16" s="11"/>
      <c r="B16" s="31" t="s">
        <v>504</v>
      </c>
      <c r="C16" s="276"/>
      <c r="D16" s="276"/>
      <c r="E16" s="375" t="s">
        <v>615</v>
      </c>
      <c r="F16" s="376" t="s">
        <v>616</v>
      </c>
      <c r="G16" s="380">
        <f t="shared" si="0"/>
        <v>10966000</v>
      </c>
      <c r="H16" s="388">
        <f>IF(AND(MIN(使わない!H23:J23)&gt;=250,
    MAX(使わない!H21:J21)&gt;=20,
    MIN(使わない!H21:J21)&lt;=70),7598000,0)</f>
        <v>7598000</v>
      </c>
      <c r="I16" s="389">
        <f>IF(AND(MIN(使わない!H23:J23)&gt;=250,
    MAX(使わない!H21:J21)&gt;=20,
    MIN(使わない!H21:J21)&lt;=70),10966000,0)</f>
        <v>10966000</v>
      </c>
    </row>
    <row r="17" spans="1:9">
      <c r="A17" s="11"/>
      <c r="B17" s="31" t="s">
        <v>505</v>
      </c>
      <c r="C17" s="276"/>
      <c r="D17" s="276"/>
      <c r="E17" s="375" t="s">
        <v>617</v>
      </c>
      <c r="F17" s="376" t="s">
        <v>618</v>
      </c>
      <c r="G17" s="380">
        <f t="shared" si="0"/>
        <v>1326000</v>
      </c>
      <c r="H17" s="388">
        <f>IF(使わない!H23:J23&gt;0,((使わない!H23:J23-250)*21000),0)</f>
        <v>819000</v>
      </c>
      <c r="I17" s="389">
        <f>IF(使わない!H23&gt;0,((使わない!H23-250)*34000),0)</f>
        <v>1326000</v>
      </c>
    </row>
    <row r="18" spans="1:9">
      <c r="A18" s="11"/>
      <c r="B18" s="31" t="s">
        <v>506</v>
      </c>
      <c r="C18" s="276"/>
      <c r="D18" s="276"/>
      <c r="E18" s="375" t="s">
        <v>619</v>
      </c>
      <c r="F18" s="376" t="s">
        <v>620</v>
      </c>
      <c r="G18" s="380">
        <f t="shared" si="0"/>
        <v>0</v>
      </c>
      <c r="H18" s="388">
        <f>様式４年間開所カレンダー!F375*789000</f>
        <v>0</v>
      </c>
      <c r="I18" s="389">
        <f>様式４年間開所カレンダー!F375*1290000</f>
        <v>0</v>
      </c>
    </row>
    <row r="19" spans="1:9" ht="14.25" thickBot="1">
      <c r="A19" s="11"/>
      <c r="B19" s="31" t="s">
        <v>507</v>
      </c>
      <c r="C19" s="276"/>
      <c r="D19" s="276"/>
      <c r="E19" s="375" t="s">
        <v>621</v>
      </c>
      <c r="F19" s="376" t="s">
        <v>622</v>
      </c>
      <c r="G19" s="380">
        <f t="shared" si="0"/>
        <v>1231720</v>
      </c>
      <c r="H19" s="390">
        <f>様式４年間開所カレンダー!F376*356000</f>
        <v>754720</v>
      </c>
      <c r="I19" s="391">
        <f>様式４年間開所カレンダー!F376*581000</f>
        <v>1231720</v>
      </c>
    </row>
    <row r="20" spans="1:9" ht="14.25" thickBot="1">
      <c r="A20" s="11"/>
      <c r="B20" s="31"/>
      <c r="C20" s="276"/>
      <c r="D20" s="276"/>
      <c r="E20" s="276"/>
      <c r="F20" s="277" t="s">
        <v>420</v>
      </c>
      <c r="G20" s="278">
        <f>G6-SUM(G7:G19)</f>
        <v>-6192120</v>
      </c>
    </row>
    <row r="21" spans="1:9" ht="15" thickTop="1" thickBot="1">
      <c r="A21" s="11"/>
      <c r="B21" s="11"/>
      <c r="C21" s="11"/>
      <c r="D21" s="11"/>
      <c r="E21" s="11"/>
      <c r="F21" s="275" t="s">
        <v>579</v>
      </c>
      <c r="G21" s="381">
        <f>MIN(G20,3158000)</f>
        <v>-6192120</v>
      </c>
    </row>
    <row r="22" spans="1:9" ht="14.25" thickTop="1">
      <c r="A22" s="11"/>
      <c r="B22" s="11"/>
      <c r="C22" s="11"/>
      <c r="D22" s="11"/>
      <c r="E22" s="11"/>
      <c r="F22" s="11"/>
      <c r="G22" s="274"/>
    </row>
    <row r="25" spans="1:9">
      <c r="D25" s="374"/>
      <c r="E25" s="371"/>
      <c r="F25" s="372"/>
    </row>
    <row r="26" spans="1:9">
      <c r="D26" s="374"/>
      <c r="E26" s="371"/>
      <c r="F26" s="373"/>
    </row>
    <row r="27" spans="1:9">
      <c r="D27" s="374"/>
      <c r="E27" s="371"/>
      <c r="F27" s="372"/>
    </row>
    <row r="28" spans="1:9">
      <c r="D28" s="374"/>
      <c r="E28" s="371"/>
      <c r="F28" s="372"/>
    </row>
    <row r="29" spans="1:9">
      <c r="D29" s="374"/>
      <c r="E29" s="371"/>
      <c r="F29" s="372"/>
    </row>
    <row r="30" spans="1:9">
      <c r="D30" s="374"/>
      <c r="E30" s="371"/>
      <c r="F30" s="372"/>
    </row>
    <row r="31" spans="1:9">
      <c r="D31" s="374"/>
      <c r="E31" s="371"/>
      <c r="F31" s="372"/>
    </row>
  </sheetData>
  <mergeCells count="11">
    <mergeCell ref="E15:F15"/>
    <mergeCell ref="E8:F8"/>
    <mergeCell ref="E9:F9"/>
    <mergeCell ref="E10:F10"/>
    <mergeCell ref="E11:F11"/>
    <mergeCell ref="E12:F12"/>
    <mergeCell ref="F3:G3"/>
    <mergeCell ref="F2:G2"/>
    <mergeCell ref="E6:F6"/>
    <mergeCell ref="E7:F7"/>
    <mergeCell ref="E13:F13"/>
  </mergeCells>
  <phoneticPr fontId="1"/>
  <pageMargins left="0.7" right="0.7" top="0.75" bottom="0.75" header="0.3" footer="0.3"/>
  <pageSetup paperSize="9" fitToHeight="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 id="{CD4C4BA9-0BFB-4DCC-9AA9-4B85C67318D5}">
            <xm:f>様式３職員名簿および各種加算等一覧!$Y$2="（A）家庭、学校等との連絡および情報交換等の育成支援に従事する職員を配置"</xm:f>
            <x14:dxf>
              <fill>
                <patternFill>
                  <bgColor theme="1"/>
                </patternFill>
              </fill>
            </x14:dxf>
          </x14:cfRule>
          <xm:sqref>G6:G21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16</vt:i4>
      </vt:variant>
    </vt:vector>
  </HeadingPairs>
  <TitlesOfParts>
    <vt:vector size="31" baseType="lpstr">
      <vt:lpstr>鑑</vt:lpstr>
      <vt:lpstr>様式１（放課後児童名簿・利用料割引者名簿）</vt:lpstr>
      <vt:lpstr>様式２（クラブ児童数等報告書）</vt:lpstr>
      <vt:lpstr>様式３職員名簿および各種加算等一覧</vt:lpstr>
      <vt:lpstr>様式４年間開所カレンダー</vt:lpstr>
      <vt:lpstr>様式５（請求書）</vt:lpstr>
      <vt:lpstr>様式６（事業計画変更申請書）</vt:lpstr>
      <vt:lpstr>使わない</vt:lpstr>
      <vt:lpstr>●常勤処遇改善の交付額</vt:lpstr>
      <vt:lpstr>別紙様式２　事業実績報告書</vt:lpstr>
      <vt:lpstr>別紙様式２別添１　賃金改善内訳 </vt:lpstr>
      <vt:lpstr>参考</vt:lpstr>
      <vt:lpstr>別紙様式1　賃金改善計画書</vt:lpstr>
      <vt:lpstr>別紙様式１別添１　賃金改善内訳</vt:lpstr>
      <vt:lpstr>補助金算出シート </vt:lpstr>
      <vt:lpstr>●常勤処遇改善の交付額!Print_Area</vt:lpstr>
      <vt:lpstr>鑑!Print_Area</vt:lpstr>
      <vt:lpstr>使わない!Print_Area</vt:lpstr>
      <vt:lpstr>'別紙様式1　賃金改善計画書'!Print_Area</vt:lpstr>
      <vt:lpstr>'別紙様式１別添１　賃金改善内訳'!Print_Area</vt:lpstr>
      <vt:lpstr>'別紙様式２　事業実績報告書'!Print_Area</vt:lpstr>
      <vt:lpstr>'別紙様式２別添１　賃金改善内訳 '!Print_Area</vt:lpstr>
      <vt:lpstr>'様式１（放課後児童名簿・利用料割引者名簿）'!Print_Area</vt:lpstr>
      <vt:lpstr>'様式２（クラブ児童数等報告書）'!Print_Area</vt:lpstr>
      <vt:lpstr>様式３職員名簿および各種加算等一覧!Print_Area</vt:lpstr>
      <vt:lpstr>様式４年間開所カレンダー!Print_Area</vt:lpstr>
      <vt:lpstr>'様式６（事業計画変更申請書）'!Print_Area</vt:lpstr>
      <vt:lpstr>'別紙様式１別添１　賃金改善内訳'!Print_Titles</vt:lpstr>
      <vt:lpstr>'別紙様式２別添１　賃金改善内訳 '!Print_Titles</vt:lpstr>
      <vt:lpstr>'様式１（放課後児童名簿・利用料割引者名簿）'!Print_Titles</vt:lpstr>
      <vt:lpstr>様式４年間開所カレンダー!Print_Titles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加藤　恒介</dc:creator>
  <cp:lastModifiedBy>横須賀市</cp:lastModifiedBy>
  <cp:lastPrinted>2025-02-05T09:02:38Z</cp:lastPrinted>
  <dcterms:created xsi:type="dcterms:W3CDTF">2006-09-13T11:12:02Z</dcterms:created>
  <dcterms:modified xsi:type="dcterms:W3CDTF">2026-01-26T02:48:28Z</dcterms:modified>
</cp:coreProperties>
</file>